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tables/table217.xml" ContentType="application/vnd.openxmlformats-officedocument.spreadsheetml.table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tables/table223.xml" ContentType="application/vnd.openxmlformats-officedocument.spreadsheetml.table+xml"/>
  <Override PartName="/xl/tables/table224.xml" ContentType="application/vnd.openxmlformats-officedocument.spreadsheetml.table+xml"/>
  <Override PartName="/xl/tables/table225.xml" ContentType="application/vnd.openxmlformats-officedocument.spreadsheetml.table+xml"/>
  <Override PartName="/xl/tables/table226.xml" ContentType="application/vnd.openxmlformats-officedocument.spreadsheetml.table+xml"/>
  <Override PartName="/xl/tables/table227.xml" ContentType="application/vnd.openxmlformats-officedocument.spreadsheetml.table+xml"/>
  <Override PartName="/xl/tables/table228.xml" ContentType="application/vnd.openxmlformats-officedocument.spreadsheetml.table+xml"/>
  <Override PartName="/xl/tables/table229.xml" ContentType="application/vnd.openxmlformats-officedocument.spreadsheetml.table+xml"/>
  <Override PartName="/xl/tables/table230.xml" ContentType="application/vnd.openxmlformats-officedocument.spreadsheetml.table+xml"/>
  <Override PartName="/xl/tables/table231.xml" ContentType="application/vnd.openxmlformats-officedocument.spreadsheetml.table+xml"/>
  <Override PartName="/xl/tables/table232.xml" ContentType="application/vnd.openxmlformats-officedocument.spreadsheetml.table+xml"/>
  <Override PartName="/xl/tables/table233.xml" ContentType="application/vnd.openxmlformats-officedocument.spreadsheetml.table+xml"/>
  <Override PartName="/xl/tables/table23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69F7C054-9A1D-42DA-85F5-7C52DC0F0A6C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86" r:id="rId1"/>
    <sheet name="産業大分類" sheetId="5" r:id="rId2"/>
    <sheet name="産業中分類" sheetId="6" r:id="rId3"/>
    <sheet name="産業小分類" sheetId="7" r:id="rId4"/>
    <sheet name="長野県" sheetId="8" r:id="rId5"/>
    <sheet name="長野市" sheetId="9" r:id="rId6"/>
    <sheet name="松本市" sheetId="10" r:id="rId7"/>
    <sheet name="上田市" sheetId="11" r:id="rId8"/>
    <sheet name="岡谷市" sheetId="12" r:id="rId9"/>
    <sheet name="飯田市" sheetId="13" r:id="rId10"/>
    <sheet name="諏訪市" sheetId="14" r:id="rId11"/>
    <sheet name="須坂市" sheetId="15" r:id="rId12"/>
    <sheet name="小諸市" sheetId="16" r:id="rId13"/>
    <sheet name="伊那市" sheetId="17" r:id="rId14"/>
    <sheet name="駒ヶ根市" sheetId="18" r:id="rId15"/>
    <sheet name="中野市" sheetId="19" r:id="rId16"/>
    <sheet name="大町市" sheetId="20" r:id="rId17"/>
    <sheet name="飯山市" sheetId="21" r:id="rId18"/>
    <sheet name="茅野市" sheetId="22" r:id="rId19"/>
    <sheet name="塩尻市" sheetId="23" r:id="rId20"/>
    <sheet name="佐久市" sheetId="24" r:id="rId21"/>
    <sheet name="千曲市" sheetId="25" r:id="rId22"/>
    <sheet name="東御市" sheetId="26" r:id="rId23"/>
    <sheet name="安曇野市" sheetId="27" r:id="rId24"/>
    <sheet name="南佐久郡小海町" sheetId="28" r:id="rId25"/>
    <sheet name="南佐久郡川上村" sheetId="29" r:id="rId26"/>
    <sheet name="南佐久郡南牧村" sheetId="30" r:id="rId27"/>
    <sheet name="南佐久郡南相木村" sheetId="31" r:id="rId28"/>
    <sheet name="南佐久郡北相木村" sheetId="32" r:id="rId29"/>
    <sheet name="南佐久郡佐久穂町" sheetId="33" r:id="rId30"/>
    <sheet name="北佐久郡軽井沢町" sheetId="34" r:id="rId31"/>
    <sheet name="北佐久郡御代田町" sheetId="35" r:id="rId32"/>
    <sheet name="北佐久郡立科町" sheetId="36" r:id="rId33"/>
    <sheet name="小県郡青木村" sheetId="37" r:id="rId34"/>
    <sheet name="小県郡長和町" sheetId="38" r:id="rId35"/>
    <sheet name="諏訪郡下諏訪町" sheetId="39" r:id="rId36"/>
    <sheet name="諏訪郡富士見町" sheetId="40" r:id="rId37"/>
    <sheet name="諏訪郡原村" sheetId="41" r:id="rId38"/>
    <sheet name="上伊那郡辰野町" sheetId="42" r:id="rId39"/>
    <sheet name="上伊那郡箕輪町" sheetId="43" r:id="rId40"/>
    <sheet name="上伊那郡飯島町" sheetId="44" r:id="rId41"/>
    <sheet name="上伊那郡南箕輪村" sheetId="45" r:id="rId42"/>
    <sheet name="上伊那郡中川村" sheetId="46" r:id="rId43"/>
    <sheet name="上伊那郡宮田村" sheetId="47" r:id="rId44"/>
    <sheet name="下伊那郡松川町" sheetId="48" r:id="rId45"/>
    <sheet name="下伊那郡高森町" sheetId="49" r:id="rId46"/>
    <sheet name="下伊那郡阿南町" sheetId="50" r:id="rId47"/>
    <sheet name="下伊那郡阿智村" sheetId="51" r:id="rId48"/>
    <sheet name="下伊那郡平谷村" sheetId="52" r:id="rId49"/>
    <sheet name="下伊那郡根羽村" sheetId="53" r:id="rId50"/>
    <sheet name="下伊那郡下條村" sheetId="54" r:id="rId51"/>
    <sheet name="下伊那郡売木村" sheetId="55" r:id="rId52"/>
    <sheet name="下伊那郡天龍村" sheetId="56" r:id="rId53"/>
    <sheet name="下伊那郡泰阜村" sheetId="57" r:id="rId54"/>
    <sheet name="下伊那郡喬木村" sheetId="58" r:id="rId55"/>
    <sheet name="下伊那郡豊丘村" sheetId="59" r:id="rId56"/>
    <sheet name="下伊那郡大鹿村" sheetId="60" r:id="rId57"/>
    <sheet name="木曽郡上松町" sheetId="61" r:id="rId58"/>
    <sheet name="木曽郡南木曽町" sheetId="62" r:id="rId59"/>
    <sheet name="木曽郡木祖村" sheetId="63" r:id="rId60"/>
    <sheet name="木曽郡王滝村" sheetId="64" r:id="rId61"/>
    <sheet name="木曽郡大桑村" sheetId="65" r:id="rId62"/>
    <sheet name="木曽郡木曽町" sheetId="66" r:id="rId63"/>
    <sheet name="東筑摩郡麻績村" sheetId="67" r:id="rId64"/>
    <sheet name="東筑摩郡生坂村" sheetId="68" r:id="rId65"/>
    <sheet name="東筑摩郡山形村" sheetId="69" r:id="rId66"/>
    <sheet name="東筑摩郡朝日村" sheetId="70" r:id="rId67"/>
    <sheet name="東筑摩郡筑北村" sheetId="71" r:id="rId68"/>
    <sheet name="北安曇郡池田町" sheetId="72" r:id="rId69"/>
    <sheet name="北安曇郡松川村" sheetId="73" r:id="rId70"/>
    <sheet name="北安曇郡白馬村" sheetId="74" r:id="rId71"/>
    <sheet name="北安曇郡小谷村" sheetId="75" r:id="rId72"/>
    <sheet name="埴科郡坂城町" sheetId="76" r:id="rId73"/>
    <sheet name="上高井郡小布施町" sheetId="77" r:id="rId74"/>
    <sheet name="上高井郡高山村" sheetId="78" r:id="rId75"/>
    <sheet name="下高井郡山ノ内町" sheetId="79" r:id="rId76"/>
    <sheet name="下高井郡木島平村" sheetId="80" r:id="rId77"/>
    <sheet name="下高井郡野沢温泉村" sheetId="81" r:id="rId78"/>
    <sheet name="上水内郡信濃町" sheetId="82" r:id="rId79"/>
    <sheet name="上水内郡小川村" sheetId="83" r:id="rId80"/>
    <sheet name="上水内郡飯綱町" sheetId="84" r:id="rId81"/>
    <sheet name="下水内郡栄村" sheetId="85" r:id="rId82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85" r:id="rId83"/>
    <pivotCache cacheId="2186" r:id="rId84"/>
    <pivotCache cacheId="2187" r:id="rId8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85" l="1"/>
  <c r="G21" i="85"/>
  <c r="E21" i="85"/>
  <c r="I20" i="85"/>
  <c r="G20" i="85"/>
  <c r="E20" i="85"/>
  <c r="C20" i="85"/>
  <c r="I21" i="84"/>
  <c r="G21" i="84"/>
  <c r="E21" i="84"/>
  <c r="I20" i="84"/>
  <c r="G20" i="84"/>
  <c r="E20" i="84"/>
  <c r="C20" i="84"/>
  <c r="I21" i="83"/>
  <c r="G21" i="83"/>
  <c r="E21" i="83"/>
  <c r="I20" i="83"/>
  <c r="G20" i="83"/>
  <c r="E20" i="83"/>
  <c r="C20" i="83"/>
  <c r="I21" i="82"/>
  <c r="G21" i="82"/>
  <c r="E21" i="82"/>
  <c r="I20" i="82"/>
  <c r="G20" i="82"/>
  <c r="E20" i="82"/>
  <c r="C20" i="82"/>
  <c r="I21" i="81"/>
  <c r="G21" i="81"/>
  <c r="E21" i="81"/>
  <c r="I20" i="81"/>
  <c r="G20" i="81"/>
  <c r="E20" i="81"/>
  <c r="C20" i="81"/>
  <c r="I21" i="80"/>
  <c r="G21" i="80"/>
  <c r="E21" i="80"/>
  <c r="I20" i="80"/>
  <c r="G20" i="80"/>
  <c r="E20" i="80"/>
  <c r="C20" i="80"/>
  <c r="I21" i="79"/>
  <c r="G21" i="79"/>
  <c r="E21" i="79"/>
  <c r="I20" i="79"/>
  <c r="G20" i="79"/>
  <c r="E20" i="79"/>
  <c r="C20" i="79"/>
  <c r="I21" i="78"/>
  <c r="G21" i="78"/>
  <c r="E21" i="78"/>
  <c r="I20" i="78"/>
  <c r="G20" i="78"/>
  <c r="E20" i="78"/>
  <c r="C20" i="78"/>
  <c r="I21" i="77"/>
  <c r="G21" i="77"/>
  <c r="E21" i="77"/>
  <c r="I20" i="77"/>
  <c r="G20" i="77"/>
  <c r="E20" i="77"/>
  <c r="C20" i="77"/>
  <c r="I21" i="76"/>
  <c r="G21" i="76"/>
  <c r="E21" i="76"/>
  <c r="I20" i="76"/>
  <c r="G20" i="76"/>
  <c r="E20" i="76"/>
  <c r="C20" i="76"/>
  <c r="I21" i="75"/>
  <c r="G21" i="75"/>
  <c r="E21" i="75"/>
  <c r="I20" i="75"/>
  <c r="G20" i="75"/>
  <c r="E20" i="75"/>
  <c r="C20" i="75"/>
  <c r="I21" i="74"/>
  <c r="G21" i="74"/>
  <c r="E21" i="74"/>
  <c r="I20" i="74"/>
  <c r="G20" i="74"/>
  <c r="E20" i="74"/>
  <c r="C20" i="74"/>
  <c r="I21" i="73"/>
  <c r="G21" i="73"/>
  <c r="E21" i="73"/>
  <c r="I20" i="73"/>
  <c r="G20" i="73"/>
  <c r="E20" i="73"/>
  <c r="C20" i="73"/>
  <c r="I21" i="72"/>
  <c r="G21" i="72"/>
  <c r="E21" i="72"/>
  <c r="I20" i="72"/>
  <c r="G20" i="72"/>
  <c r="E20" i="72"/>
  <c r="C20" i="72"/>
  <c r="I21" i="71"/>
  <c r="G21" i="71"/>
  <c r="E21" i="71"/>
  <c r="I20" i="71"/>
  <c r="G20" i="71"/>
  <c r="E20" i="71"/>
  <c r="C20" i="71"/>
  <c r="I21" i="70"/>
  <c r="G21" i="70"/>
  <c r="E21" i="70"/>
  <c r="I20" i="70"/>
  <c r="G20" i="70"/>
  <c r="E20" i="70"/>
  <c r="C20" i="70"/>
  <c r="I21" i="69"/>
  <c r="G21" i="69"/>
  <c r="E21" i="69"/>
  <c r="I20" i="69"/>
  <c r="G20" i="69"/>
  <c r="E20" i="69"/>
  <c r="C20" i="69"/>
  <c r="I21" i="68"/>
  <c r="G21" i="68"/>
  <c r="E21" i="68"/>
  <c r="I20" i="68"/>
  <c r="G20" i="68"/>
  <c r="E20" i="68"/>
  <c r="C20" i="68"/>
  <c r="I21" i="67"/>
  <c r="G21" i="67"/>
  <c r="E21" i="67"/>
  <c r="I20" i="67"/>
  <c r="G20" i="67"/>
  <c r="E20" i="67"/>
  <c r="C20" i="67"/>
  <c r="I21" i="66"/>
  <c r="G21" i="66"/>
  <c r="E21" i="66"/>
  <c r="I20" i="66"/>
  <c r="G20" i="66"/>
  <c r="E20" i="66"/>
  <c r="C20" i="66"/>
  <c r="I21" i="65"/>
  <c r="G21" i="65"/>
  <c r="E21" i="65"/>
  <c r="I20" i="65"/>
  <c r="G20" i="65"/>
  <c r="E20" i="65"/>
  <c r="C20" i="65"/>
  <c r="I21" i="64"/>
  <c r="G21" i="64"/>
  <c r="E21" i="64"/>
  <c r="I20" i="64"/>
  <c r="G20" i="64"/>
  <c r="E20" i="64"/>
  <c r="C20" i="64"/>
  <c r="I21" i="63"/>
  <c r="G21" i="63"/>
  <c r="E21" i="63"/>
  <c r="I20" i="63"/>
  <c r="G20" i="63"/>
  <c r="E20" i="63"/>
  <c r="C20" i="63"/>
  <c r="I21" i="62"/>
  <c r="G21" i="62"/>
  <c r="E21" i="62"/>
  <c r="I20" i="62"/>
  <c r="G20" i="62"/>
  <c r="E20" i="62"/>
  <c r="C20" i="62"/>
  <c r="I21" i="61"/>
  <c r="G21" i="61"/>
  <c r="E21" i="61"/>
  <c r="I20" i="61"/>
  <c r="G20" i="61"/>
  <c r="E20" i="61"/>
  <c r="C20" i="61"/>
  <c r="I21" i="60"/>
  <c r="G21" i="60"/>
  <c r="E21" i="60"/>
  <c r="I20" i="60"/>
  <c r="G20" i="60"/>
  <c r="E20" i="60"/>
  <c r="C20" i="60"/>
  <c r="I21" i="59"/>
  <c r="G21" i="59"/>
  <c r="E21" i="59"/>
  <c r="I20" i="59"/>
  <c r="G20" i="59"/>
  <c r="E20" i="59"/>
  <c r="C20" i="59"/>
  <c r="I21" i="58"/>
  <c r="G21" i="58"/>
  <c r="E21" i="58"/>
  <c r="I20" i="58"/>
  <c r="G20" i="58"/>
  <c r="E20" i="58"/>
  <c r="C20" i="58"/>
  <c r="I21" i="57"/>
  <c r="G21" i="57"/>
  <c r="E21" i="57"/>
  <c r="I20" i="57"/>
  <c r="G20" i="57"/>
  <c r="E20" i="57"/>
  <c r="C20" i="57"/>
  <c r="I21" i="56"/>
  <c r="G21" i="56"/>
  <c r="E21" i="56"/>
  <c r="I20" i="56"/>
  <c r="G20" i="56"/>
  <c r="E20" i="56"/>
  <c r="C20" i="56"/>
  <c r="I21" i="55"/>
  <c r="G21" i="55"/>
  <c r="E21" i="55"/>
  <c r="I20" i="55"/>
  <c r="G20" i="55"/>
  <c r="E20" i="55"/>
  <c r="C20" i="55"/>
  <c r="I21" i="54"/>
  <c r="G21" i="54"/>
  <c r="E21" i="54"/>
  <c r="I20" i="54"/>
  <c r="G20" i="54"/>
  <c r="E20" i="54"/>
  <c r="C20" i="54"/>
  <c r="I21" i="53"/>
  <c r="G21" i="53"/>
  <c r="E21" i="53"/>
  <c r="I20" i="53"/>
  <c r="G20" i="53"/>
  <c r="E20" i="53"/>
  <c r="C20" i="53"/>
  <c r="I21" i="52"/>
  <c r="G21" i="52"/>
  <c r="E21" i="52"/>
  <c r="I20" i="52"/>
  <c r="G20" i="52"/>
  <c r="E20" i="52"/>
  <c r="C20" i="52"/>
  <c r="I21" i="51"/>
  <c r="G21" i="51"/>
  <c r="E21" i="51"/>
  <c r="I20" i="51"/>
  <c r="G20" i="51"/>
  <c r="E20" i="51"/>
  <c r="C20" i="51"/>
  <c r="I21" i="50"/>
  <c r="G21" i="50"/>
  <c r="E21" i="50"/>
  <c r="I20" i="50"/>
  <c r="G20" i="50"/>
  <c r="E20" i="50"/>
  <c r="C20" i="50"/>
  <c r="I21" i="49"/>
  <c r="G21" i="49"/>
  <c r="E21" i="49"/>
  <c r="I20" i="49"/>
  <c r="G20" i="49"/>
  <c r="E20" i="49"/>
  <c r="C20" i="49"/>
  <c r="I21" i="48"/>
  <c r="G21" i="48"/>
  <c r="E21" i="48"/>
  <c r="I20" i="48"/>
  <c r="G20" i="48"/>
  <c r="E20" i="48"/>
  <c r="C20" i="48"/>
  <c r="I21" i="47"/>
  <c r="G21" i="47"/>
  <c r="E21" i="47"/>
  <c r="I20" i="47"/>
  <c r="G20" i="47"/>
  <c r="E20" i="47"/>
  <c r="C20" i="47"/>
  <c r="I21" i="46"/>
  <c r="G21" i="46"/>
  <c r="E21" i="46"/>
  <c r="I20" i="46"/>
  <c r="G20" i="46"/>
  <c r="E20" i="46"/>
  <c r="C20" i="46"/>
  <c r="I21" i="45"/>
  <c r="G21" i="45"/>
  <c r="E21" i="45"/>
  <c r="I20" i="45"/>
  <c r="G20" i="45"/>
  <c r="E20" i="45"/>
  <c r="C20" i="45"/>
  <c r="I21" i="44"/>
  <c r="G21" i="44"/>
  <c r="E21" i="44"/>
  <c r="I20" i="44"/>
  <c r="G20" i="44"/>
  <c r="E20" i="44"/>
  <c r="C20" i="44"/>
  <c r="I21" i="43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<sst xmlns="http://schemas.openxmlformats.org/spreadsheetml/2006/main" count="12310" uniqueCount="523">
  <si>
    <t>20000 長野県</t>
  </si>
  <si>
    <t>20201 長野市</t>
  </si>
  <si>
    <t>20202 松本市</t>
  </si>
  <si>
    <t>20203 上田市</t>
  </si>
  <si>
    <t>20204 岡谷市</t>
  </si>
  <si>
    <t>20205 飯田市</t>
  </si>
  <si>
    <t>20206 諏訪市</t>
  </si>
  <si>
    <t>20207 須坂市</t>
  </si>
  <si>
    <t>20208 小諸市</t>
  </si>
  <si>
    <t>20209 伊那市</t>
  </si>
  <si>
    <t>20210 駒ヶ根市</t>
  </si>
  <si>
    <t>20211 中野市</t>
  </si>
  <si>
    <t>20212 大町市</t>
  </si>
  <si>
    <t>20213 飯山市</t>
  </si>
  <si>
    <t>20214 茅野市</t>
  </si>
  <si>
    <t>20215 塩尻市</t>
  </si>
  <si>
    <t>20217 佐久市</t>
  </si>
  <si>
    <t>20218 千曲市</t>
  </si>
  <si>
    <t>20219 東御市</t>
  </si>
  <si>
    <t>20220 安曇野市</t>
  </si>
  <si>
    <t>20303 南佐久郡小海町</t>
  </si>
  <si>
    <t>20304 南佐久郡川上村</t>
  </si>
  <si>
    <t>20305 南佐久郡南牧村</t>
  </si>
  <si>
    <t>20306 南佐久郡南相木村</t>
  </si>
  <si>
    <t>20307 南佐久郡北相木村</t>
  </si>
  <si>
    <t>20309 南佐久郡佐久穂町</t>
  </si>
  <si>
    <t>20321 北佐久郡軽井沢町</t>
  </si>
  <si>
    <t>20323 北佐久郡御代田町</t>
  </si>
  <si>
    <t>20324 北佐久郡立科町</t>
  </si>
  <si>
    <t>20349 小県郡青木村</t>
  </si>
  <si>
    <t>20350 小県郡長和町</t>
  </si>
  <si>
    <t>20361 諏訪郡下諏訪町</t>
  </si>
  <si>
    <t>20362 諏訪郡富士見町</t>
  </si>
  <si>
    <t>20363 諏訪郡原村</t>
  </si>
  <si>
    <t>20382 上伊那郡辰野町</t>
  </si>
  <si>
    <t>20383 上伊那郡箕輪町</t>
  </si>
  <si>
    <t>20384 上伊那郡飯島町</t>
  </si>
  <si>
    <t>20385 上伊那郡南箕輪村</t>
  </si>
  <si>
    <t>20386 上伊那郡中川村</t>
  </si>
  <si>
    <t>20388 上伊那郡宮田村</t>
  </si>
  <si>
    <t>20402 下伊那郡松川町</t>
  </si>
  <si>
    <t>20403 下伊那郡高森町</t>
  </si>
  <si>
    <t>20404 下伊那郡阿南町</t>
  </si>
  <si>
    <t>20407 下伊那郡阿智村</t>
  </si>
  <si>
    <t>20409 下伊那郡平谷村</t>
  </si>
  <si>
    <t>20410 下伊那郡根羽村</t>
  </si>
  <si>
    <t>20411 下伊那郡下條村</t>
  </si>
  <si>
    <t>20412 下伊那郡売木村</t>
  </si>
  <si>
    <t>20413 下伊那郡天龍村</t>
  </si>
  <si>
    <t>20414 下伊那郡泰阜村</t>
  </si>
  <si>
    <t>20415 下伊那郡喬木村</t>
  </si>
  <si>
    <t>20416 下伊那郡豊丘村</t>
  </si>
  <si>
    <t>20417 下伊那郡大鹿村</t>
  </si>
  <si>
    <t>20422 木曽郡上松町</t>
  </si>
  <si>
    <t>20423 木曽郡南木曽町</t>
  </si>
  <si>
    <t>20425 木曽郡木祖村</t>
  </si>
  <si>
    <t>20429 木曽郡王滝村</t>
  </si>
  <si>
    <t>20430 木曽郡大桑村</t>
  </si>
  <si>
    <t>20432 木曽郡木曽町</t>
  </si>
  <si>
    <t>20446 東筑摩郡麻績村</t>
  </si>
  <si>
    <t>20448 東筑摩郡生坂村</t>
  </si>
  <si>
    <t>20450 東筑摩郡山形村</t>
  </si>
  <si>
    <t>20451 東筑摩郡朝日村</t>
  </si>
  <si>
    <t>20452 東筑摩郡筑北村</t>
  </si>
  <si>
    <t>20481 北安曇郡池田町</t>
  </si>
  <si>
    <t>20482 北安曇郡松川村</t>
  </si>
  <si>
    <t>20485 北安曇郡白馬村</t>
  </si>
  <si>
    <t>20486 北安曇郡小谷村</t>
  </si>
  <si>
    <t>20521 埴科郡坂城町</t>
  </si>
  <si>
    <t>20541 上高井郡小布施町</t>
  </si>
  <si>
    <t>20543 上高井郡高山村</t>
  </si>
  <si>
    <t>20561 下高井郡山ノ内町</t>
  </si>
  <si>
    <t>20562 下高井郡木島平村</t>
  </si>
  <si>
    <t>20563 下高井郡野沢温泉村</t>
  </si>
  <si>
    <t>20583 上水内郡信濃町</t>
  </si>
  <si>
    <t>20588 上水内郡小川村</t>
  </si>
  <si>
    <t>20590 上水内郡飯綱町</t>
  </si>
  <si>
    <t>20602 下水内郡栄村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</si>
  <si>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</si>
  <si>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</si>
  <si>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</si>
  <si>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</si>
  <si>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</si>
  <si>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</si>
  <si>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</si>
  <si>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</si>
  <si>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</si>
  <si>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</si>
  <si>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</si>
  <si>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</si>
  <si>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</si>
  <si>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</si>
  <si>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</si>
  <si>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</si>
  <si>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</si>
  <si>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</si>
  <si>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</si>
  <si>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</si>
  <si>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</si>
  <si>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</si>
  <si>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</si>
  <si>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</si>
  <si>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</si>
  <si>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</si>
  <si>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24 金属製品製造業</t>
  </si>
  <si>
    <t>26 生産用機械器具製造業</t>
  </si>
  <si>
    <t>54 機械器具卸売業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</si>
  <si>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</si>
  <si>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</si>
  <si>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</si>
  <si>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</si>
  <si>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</si>
  <si>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</si>
  <si>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</si>
  <si>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75 宿泊業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</si>
  <si>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</si>
  <si>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</si>
  <si>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</si>
  <si>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</si>
  <si>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</si>
  <si>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89 自動車整備業</t>
  </si>
  <si>
    <t>53 建築材料，鉱物・金属材料等卸売業</t>
  </si>
  <si>
    <t>55 その他の卸売業</t>
  </si>
  <si>
    <t>68 不動産取引業</t>
  </si>
  <si>
    <t>92 その他の事業サービス業</t>
  </si>
  <si>
    <t>52 飲食料品卸売業</t>
  </si>
  <si>
    <t>25 はん用機械器具製造業</t>
  </si>
  <si>
    <t>09 食料品製造業</t>
  </si>
  <si>
    <t>14 パルプ・紙・紙加工品製造業</t>
  </si>
  <si>
    <t>77 持ち帰り・配達飲食サービス業</t>
  </si>
  <si>
    <t>13 家具・装備品製造業</t>
  </si>
  <si>
    <t>79 その他の生活関連サービス業</t>
  </si>
  <si>
    <t>80 娯楽業</t>
  </si>
  <si>
    <t>61 無店舗小売業</t>
  </si>
  <si>
    <t>67 保険業（保険媒介代理業，保険サービス業を含む）</t>
  </si>
  <si>
    <t>32 その他の製造業</t>
  </si>
  <si>
    <t>29 電気機械器具製造業</t>
  </si>
  <si>
    <t>12 木材・木製品製造業（家具を除く）</t>
  </si>
  <si>
    <t>16 化学工業</t>
  </si>
  <si>
    <t>36 水道業</t>
  </si>
  <si>
    <t>43 道路旅客運送業</t>
  </si>
  <si>
    <t>95 その他のサービス業</t>
  </si>
  <si>
    <t>10 飲料・たばこ・飼料製造業</t>
  </si>
  <si>
    <t>21 窯業・土石製品製造業</t>
  </si>
  <si>
    <t>33 電気業</t>
  </si>
  <si>
    <t>44 道路貨物運送業</t>
  </si>
  <si>
    <t>48 運輸に附帯するサービス業</t>
  </si>
  <si>
    <t>90 機械等修理業（別掲を除く）</t>
  </si>
  <si>
    <t>91 職業紹介・労働者派遣業</t>
  </si>
  <si>
    <t>05 鉱業，採石業，砂利採取業</t>
  </si>
  <si>
    <t>38 放送業</t>
  </si>
  <si>
    <t>20 なめし革・同製品・毛皮製造業</t>
  </si>
  <si>
    <t>27 業務用機械器具製造業</t>
  </si>
  <si>
    <t>70 物品賃貸業</t>
  </si>
  <si>
    <t>31 輸送用機械器具製造業</t>
  </si>
  <si>
    <t>15 印刷・同関連業</t>
  </si>
  <si>
    <t>18 プラスチック製品製造業（別掲を除く）</t>
  </si>
  <si>
    <t>11 繊維工業</t>
  </si>
  <si>
    <t>28 電子部品・デバイス・電子回路製造業</t>
  </si>
  <si>
    <t>39 情報サービス業</t>
  </si>
  <si>
    <t>23 非鉄金属製造業</t>
  </si>
  <si>
    <t>22 鉄鋼業</t>
  </si>
  <si>
    <t>41 映像・音声・文字情報制作業</t>
  </si>
  <si>
    <t>88 廃棄物処理業</t>
  </si>
  <si>
    <t>71 学術・開発研究機関</t>
  </si>
  <si>
    <t>40 インターネット附随サービス業</t>
  </si>
  <si>
    <t>56 各種商品小売業</t>
  </si>
  <si>
    <t>30 情報通信機械器具製造業</t>
  </si>
  <si>
    <t>17 石油製品・石炭製品製造業</t>
  </si>
  <si>
    <t>47 倉庫業</t>
  </si>
  <si>
    <t>42 鉄道業</t>
  </si>
  <si>
    <t>51 繊維・衣服等卸売業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</si>
  <si>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</si>
  <si>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</si>
  <si>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</si>
  <si>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</si>
  <si>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</si>
  <si>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</si>
  <si>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083 管工事業（さく井工事業を除く）</t>
  </si>
  <si>
    <t>589 その他の飲食料品小売業</t>
  </si>
  <si>
    <t>591 自動車小売業</t>
  </si>
  <si>
    <t>609 他に分類されない小売業</t>
  </si>
  <si>
    <t>691 不動産賃貸業（貸家業，貸間業を除く）</t>
  </si>
  <si>
    <t>692 貸家業，貸間業</t>
  </si>
  <si>
    <t>742 土木建築サービス業</t>
  </si>
  <si>
    <t>751 旅館，ホテル</t>
  </si>
  <si>
    <t>761 食堂，レストラン（専門料理店を除く）</t>
  </si>
  <si>
    <t>762 専門料理店</t>
  </si>
  <si>
    <t>765 酒場，ビヤホール</t>
  </si>
  <si>
    <t>766 バー，キャバレー，ナイトクラブ</t>
  </si>
  <si>
    <t>782 理容業</t>
  </si>
  <si>
    <t>783 美容業</t>
  </si>
  <si>
    <t>824 教養・技能教授業</t>
  </si>
  <si>
    <t>835 療術業</t>
  </si>
  <si>
    <t>603 医薬品・化粧品小売業</t>
  </si>
  <si>
    <t>693 駐車場業</t>
  </si>
  <si>
    <t>573 婦人・子供服小売業</t>
  </si>
  <si>
    <t>586 菓子・パン小売業</t>
  </si>
  <si>
    <t>767 喫茶店</t>
  </si>
  <si>
    <t>781 洗濯業</t>
  </si>
  <si>
    <t>891 自動車整備業</t>
  </si>
  <si>
    <t>077 塗装工事業</t>
  </si>
  <si>
    <t>259 その他のはん用機械・同部分品製造業</t>
  </si>
  <si>
    <t>266 金属加工機械製造業</t>
  </si>
  <si>
    <t>269 その他の生産用機械・同部分品製造業</t>
  </si>
  <si>
    <t>593 機械器具小売業（自動車，自転車を除く）</t>
  </si>
  <si>
    <t>541 産業機械器具卸売業</t>
  </si>
  <si>
    <t>772 配達飲食サービス業</t>
  </si>
  <si>
    <t>066 建築リフォーム工事業</t>
  </si>
  <si>
    <t>823 学習塾</t>
  </si>
  <si>
    <t>071 大工工事業</t>
  </si>
  <si>
    <t>531 建築材料卸売業</t>
  </si>
  <si>
    <t>674 保険媒介代理業</t>
  </si>
  <si>
    <t>521 農畜産物・水産物卸売業</t>
  </si>
  <si>
    <t>585 酒小売業</t>
  </si>
  <si>
    <t>604 農耕用品小売業</t>
  </si>
  <si>
    <t>605 燃料小売業</t>
  </si>
  <si>
    <t>853 児童福祉事業</t>
  </si>
  <si>
    <t>076 板金・金物工事業</t>
  </si>
  <si>
    <t>601 家具・建具・畳小売業</t>
  </si>
  <si>
    <t>763 そば・うどん店</t>
  </si>
  <si>
    <t>327 漆器製造業</t>
  </si>
  <si>
    <t>602 じゅう器小売業</t>
  </si>
  <si>
    <t>821 社会教育</t>
  </si>
  <si>
    <t>075 左官工事業</t>
  </si>
  <si>
    <t>522 食料・飲料卸売業</t>
  </si>
  <si>
    <t>579 その他の織物・衣服・身の回り品小売業</t>
  </si>
  <si>
    <t>582 野菜・果実小売業</t>
  </si>
  <si>
    <t>799 他に分類されない生活関連サービス業</t>
  </si>
  <si>
    <t>804 スポーツ施設提供業</t>
  </si>
  <si>
    <t>121 製材業，木製品製造業</t>
  </si>
  <si>
    <t>328 畳等生活雑貨製品製造業</t>
  </si>
  <si>
    <t>360 管理，補助的経済活動を行う事業所</t>
  </si>
  <si>
    <t>581 各種食料品小売業</t>
  </si>
  <si>
    <t>759 その他の宿泊業</t>
  </si>
  <si>
    <t>106 飼料・有機質肥料製造業</t>
  </si>
  <si>
    <t>131 家具製造業</t>
  </si>
  <si>
    <t>212 セメント・同製品製造業</t>
  </si>
  <si>
    <t>331 電気業</t>
  </si>
  <si>
    <t>361 上水道業</t>
  </si>
  <si>
    <t>441 一般貨物自動車運送業</t>
  </si>
  <si>
    <t>482 貨物運送取扱業（集配利用運送業を除く）</t>
  </si>
  <si>
    <t>611 通信販売・訪問販売小売業</t>
  </si>
  <si>
    <t>612 自動販売機による小売業</t>
  </si>
  <si>
    <t>694 不動産管理業</t>
  </si>
  <si>
    <t>722 公証人役場，司法書士事務所，土地家屋調査士事務所</t>
  </si>
  <si>
    <t>741 獣医業</t>
  </si>
  <si>
    <t>752 簡易宿所</t>
  </si>
  <si>
    <t>771 持ち帰り飲食サービス業</t>
  </si>
  <si>
    <t>809 その他の娯楽業</t>
  </si>
  <si>
    <t>901 機械修理業（電気機械器具を除く）</t>
  </si>
  <si>
    <t>911 職業紹介業</t>
  </si>
  <si>
    <t>054 採石業，砂・砂利・玉石採取業</t>
  </si>
  <si>
    <t>073 鉄骨・鉄筋工事業</t>
  </si>
  <si>
    <t>329 他に分類されない製造業</t>
  </si>
  <si>
    <t>383 有線放送業</t>
  </si>
  <si>
    <t>681 建物売買業，土地売買業</t>
  </si>
  <si>
    <t>785 その他の公衆浴場業</t>
  </si>
  <si>
    <t>805 公園，遊園地</t>
  </si>
  <si>
    <t>929 他に分類されない事業サービス業</t>
  </si>
  <si>
    <t>063 舗装工事業</t>
  </si>
  <si>
    <t>079 その他の職別工事業</t>
  </si>
  <si>
    <t>093 野菜缶詰・果実缶詰・農産保存食料品製造業</t>
  </si>
  <si>
    <t>207 袋物製造業</t>
  </si>
  <si>
    <t>854 老人福祉・介護事業</t>
  </si>
  <si>
    <t>682 不動産代理業・仲介業</t>
  </si>
  <si>
    <t>072 とび・土工・コンクリート工事業</t>
  </si>
  <si>
    <t>089 その他の設備工事業</t>
  </si>
  <si>
    <t>183 工業用プラスチック製品製造業</t>
  </si>
  <si>
    <t>291 発電用・送電用・配電用電気機械器具製造業</t>
  </si>
  <si>
    <t>836 医療に附帯するサービス業</t>
  </si>
  <si>
    <t>855 障害者福祉事業</t>
  </si>
  <si>
    <t>218 骨材・石工品等製造業</t>
  </si>
  <si>
    <t>261 農業用機械製造業（農業用器具を除く）</t>
  </si>
  <si>
    <t>246 金属被覆・彫刻業，熱処理業（ほうろう鉄器を除く）</t>
  </si>
  <si>
    <t>311 自動車・同附属品製造業</t>
  </si>
  <si>
    <t>391 ソフトウェア業</t>
  </si>
  <si>
    <t>275 光学機械器具・レンズ製造業</t>
  </si>
  <si>
    <t>833 歯科診療所</t>
  </si>
  <si>
    <t>151 印刷業</t>
  </si>
  <si>
    <t>724 公認会計士事務所，税理士事務所</t>
  </si>
  <si>
    <t>244 建設用・建築用金属製品製造業（製缶板金業を含む）</t>
  </si>
  <si>
    <t>607 スポーツ用品・がん具・娯楽用品・楽器小売業</t>
  </si>
  <si>
    <t>789 その他の洗濯・理容・美容・浴場業</t>
  </si>
  <si>
    <t>119 その他の繊維製品製造業</t>
  </si>
  <si>
    <t>211 ガラス・同製品製造業</t>
  </si>
  <si>
    <t>078 床・内装工事業</t>
  </si>
  <si>
    <t>061 一般土木建築工事業</t>
  </si>
  <si>
    <t>606 書籍・文房具小売業</t>
  </si>
  <si>
    <t>859 その他の社会保険・社会福祉・介護事業</t>
  </si>
  <si>
    <t>881 一般廃棄物処理業</t>
  </si>
  <si>
    <t>392 情報処理・提供サービス業</t>
  </si>
  <si>
    <t>711 自然科学研究所</t>
  </si>
  <si>
    <t>769 その他の飲食店</t>
  </si>
  <si>
    <t>133 建具製造業</t>
  </si>
  <si>
    <t>559 他に分類されない卸売業</t>
  </si>
  <si>
    <t>583 食肉小売業</t>
  </si>
  <si>
    <t>764 すし店</t>
  </si>
  <si>
    <t>129 その他の木製品製造業（竹，とうを含む）</t>
  </si>
  <si>
    <t>139 その他の家具・装備品製造業</t>
  </si>
  <si>
    <t>411 映像情報制作・配給業</t>
  </si>
  <si>
    <t>702 産業用機械器具賃貸業</t>
  </si>
  <si>
    <t>726 デザイン業</t>
  </si>
  <si>
    <t>094 調味料製造業</t>
  </si>
  <si>
    <t>363 下水道業</t>
  </si>
  <si>
    <t>432 一般乗用旅客自動車運送業</t>
  </si>
  <si>
    <t>882 産業廃棄物処理業</t>
  </si>
  <si>
    <t>084 機械器具設置工事業</t>
  </si>
  <si>
    <t>099 その他の食料品製造業</t>
  </si>
  <si>
    <t>293 民生用電気機械器具製造業</t>
  </si>
  <si>
    <t>536 再生資源卸売業</t>
  </si>
  <si>
    <t>101 清涼飲料製造業</t>
  </si>
  <si>
    <t>245 金属素形材製品製造業</t>
  </si>
  <si>
    <t>091 畜産食料品製造業</t>
  </si>
  <si>
    <t>116 外衣・シャツ製造業（和式を除く）</t>
  </si>
  <si>
    <t>162 無機化学工業製品製造業</t>
  </si>
  <si>
    <t>489 その他の運輸に附帯するサービス業</t>
  </si>
  <si>
    <t>749 その他の技術サービス業</t>
  </si>
  <si>
    <t>123 木製容器製造業（竹，とうを含む）</t>
  </si>
  <si>
    <t>551 家具・建具・じゅう器等卸売業</t>
  </si>
  <si>
    <t>122 造作材・合板・建築用組立材料製造業</t>
  </si>
  <si>
    <t>214 陶磁器・同関連製品製造業</t>
  </si>
  <si>
    <t>705 スポーツ・娯楽用品賃貸業</t>
  </si>
  <si>
    <t>074 石工・れんが・タイル・ブロック工事業</t>
  </si>
  <si>
    <t>729 その他の専門サービス業</t>
  </si>
  <si>
    <t>728 経営コンサルタント業，純粋持株会社</t>
  </si>
  <si>
    <t>746 写真業</t>
  </si>
  <si>
    <t>182 プラスチックフィルム・シート・床材・合成皮革製造業</t>
  </si>
  <si>
    <t>247 金属線製品製造業（ねじ類を除く）</t>
  </si>
  <si>
    <t>303 電子計算機・同附属装置製造業</t>
  </si>
  <si>
    <t>725 社会保険労務士事務所</t>
  </si>
  <si>
    <t>902 電気機械器具修理業</t>
  </si>
  <si>
    <t>922 建物サービス業</t>
  </si>
  <si>
    <t>060 管理，補助的経済活動を行う事業所</t>
  </si>
  <si>
    <t>174 舗装材料製造業</t>
  </si>
  <si>
    <t>292 産業用電気機械器具製造業</t>
  </si>
  <si>
    <t>322 装身具・装飾品・ボタン・同関連品製造業（貴金属・宝石製を除く）</t>
  </si>
  <si>
    <t>542 自動車卸売業</t>
  </si>
  <si>
    <t>132 宗教用具製造業</t>
  </si>
  <si>
    <t>153 製本業，印刷物加工業</t>
  </si>
  <si>
    <t>225 鉄素形材製造業</t>
  </si>
  <si>
    <t>324 楽器製造業</t>
  </si>
  <si>
    <t>443 貨物軽自動車運送業</t>
  </si>
  <si>
    <t>471 倉庫業（冷蔵倉庫業を除く）</t>
  </si>
  <si>
    <t>550 管理，補助的経済活動を行う事業所</t>
  </si>
  <si>
    <t>580 管理，補助的経済活動を行う事業所</t>
  </si>
  <si>
    <t>442 特定貨物自動車運送業</t>
  </si>
  <si>
    <t>592 自転車小売業</t>
  </si>
  <si>
    <t>189 その他のプラスチック製品製造業</t>
  </si>
  <si>
    <t>262 建設機械・鉱山機械製造業</t>
  </si>
  <si>
    <t>265 基礎素材産業用機械製造業</t>
  </si>
  <si>
    <t>284 電子回路製造業</t>
  </si>
  <si>
    <t>608 写真機・時計・眼鏡小売業</t>
  </si>
  <si>
    <t>242 洋食器・刃物・手道具・金物類製造業</t>
  </si>
  <si>
    <t>206 かばん製造業</t>
  </si>
  <si>
    <t>552 医薬品・化粧品等卸売業</t>
  </si>
  <si>
    <t>571 呉服・服地・寝具小売業</t>
  </si>
  <si>
    <t>533 石油・鉱物卸売業</t>
  </si>
  <si>
    <t>793 衣服裁縫修理業</t>
  </si>
  <si>
    <t>796 冠婚葬祭業</t>
  </si>
  <si>
    <t>産業小分類</t>
  </si>
  <si>
    <t>20000　長野県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</si>
  <si>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</si>
  <si>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</si>
  <si>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</si>
  <si>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</si>
  <si>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</si>
  <si>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20201　長野市</t>
  </si>
  <si>
    <t>20202　松本市</t>
  </si>
  <si>
    <t>20203　上田市</t>
  </si>
  <si>
    <t>20204　岡谷市</t>
  </si>
  <si>
    <t>20205　飯田市</t>
  </si>
  <si>
    <t>20206　諏訪市</t>
  </si>
  <si>
    <t>20207　須坂市</t>
  </si>
  <si>
    <t>20208　小諸市</t>
  </si>
  <si>
    <t>20209　伊那市</t>
  </si>
  <si>
    <t>20210　駒ヶ根市</t>
  </si>
  <si>
    <t>20211　中野市</t>
  </si>
  <si>
    <t>20212　大町市</t>
  </si>
  <si>
    <t>20213　飯山市</t>
  </si>
  <si>
    <t>20214　茅野市</t>
  </si>
  <si>
    <t>20215　塩尻市</t>
  </si>
  <si>
    <t>20217　佐久市</t>
  </si>
  <si>
    <t>20218　千曲市</t>
  </si>
  <si>
    <t>20219　東御市</t>
  </si>
  <si>
    <t>20220　安曇野市</t>
  </si>
  <si>
    <t>20303　南佐久郡小海町</t>
  </si>
  <si>
    <t>20304　南佐久郡川上村</t>
  </si>
  <si>
    <t>20305　南佐久郡南牧村</t>
  </si>
  <si>
    <t>20306　南佐久郡南相木村</t>
  </si>
  <si>
    <t>20307　南佐久郡北相木村</t>
  </si>
  <si>
    <t>20309　南佐久郡佐久穂町</t>
  </si>
  <si>
    <t>20321　北佐久郡軽井沢町</t>
  </si>
  <si>
    <t>20323　北佐久郡御代田町</t>
  </si>
  <si>
    <t>20324　北佐久郡立科町</t>
  </si>
  <si>
    <t>20349　小県郡青木村</t>
  </si>
  <si>
    <t>20350　小県郡長和町</t>
  </si>
  <si>
    <t>20361　諏訪郡下諏訪町</t>
  </si>
  <si>
    <t>20362　諏訪郡富士見町</t>
  </si>
  <si>
    <t>20363　諏訪郡原村</t>
  </si>
  <si>
    <t>20382　上伊那郡辰野町</t>
  </si>
  <si>
    <t>20383　上伊那郡箕輪町</t>
  </si>
  <si>
    <t>20384　上伊那郡飯島町</t>
  </si>
  <si>
    <t>20385　上伊那郡南箕輪村</t>
  </si>
  <si>
    <t>20386　上伊那郡中川村</t>
  </si>
  <si>
    <t>20388　上伊那郡宮田村</t>
  </si>
  <si>
    <t>20402　下伊那郡松川町</t>
  </si>
  <si>
    <t>20403　下伊那郡高森町</t>
  </si>
  <si>
    <t>20404　下伊那郡阿南町</t>
  </si>
  <si>
    <t>20407　下伊那郡阿智村</t>
  </si>
  <si>
    <t>20409　下伊那郡平谷村</t>
  </si>
  <si>
    <t>20410　下伊那郡根羽村</t>
  </si>
  <si>
    <t>20411　下伊那郡下條村</t>
  </si>
  <si>
    <t>20412　下伊那郡売木村</t>
  </si>
  <si>
    <t>20413　下伊那郡天龍村</t>
  </si>
  <si>
    <t>20414　下伊那郡泰阜村</t>
  </si>
  <si>
    <t>20415　下伊那郡喬木村</t>
  </si>
  <si>
    <t>20416　下伊那郡豊丘村</t>
  </si>
  <si>
    <t>20417　下伊那郡大鹿村</t>
  </si>
  <si>
    <t>20422　木曽郡上松町</t>
  </si>
  <si>
    <t>20423　木曽郡南木曽町</t>
  </si>
  <si>
    <t>20425　木曽郡木祖村</t>
  </si>
  <si>
    <t>20429　木曽郡王滝村</t>
  </si>
  <si>
    <t>20430　木曽郡大桑村</t>
  </si>
  <si>
    <t>20432　木曽郡木曽町</t>
  </si>
  <si>
    <t>20446　東筑摩郡麻績村</t>
  </si>
  <si>
    <t>20448　東筑摩郡生坂村</t>
  </si>
  <si>
    <t>20450　東筑摩郡山形村</t>
  </si>
  <si>
    <t>20451　東筑摩郡朝日村</t>
  </si>
  <si>
    <t>20452　東筑摩郡筑北村</t>
  </si>
  <si>
    <t>20481　北安曇郡池田町</t>
  </si>
  <si>
    <t>20482　北安曇郡松川村</t>
  </si>
  <si>
    <t>20485　北安曇郡白馬村</t>
  </si>
  <si>
    <t>20486　北安曇郡小谷村</t>
  </si>
  <si>
    <t>20521　埴科郡坂城町</t>
  </si>
  <si>
    <t>20541　上高井郡小布施町</t>
  </si>
  <si>
    <t>20543　上高井郡高山村</t>
  </si>
  <si>
    <t>20561　下高井郡山ノ内町</t>
  </si>
  <si>
    <t>20562　下高井郡木島平村</t>
  </si>
  <si>
    <t>20563　下高井郡野沢温泉村</t>
  </si>
  <si>
    <t>20583　上水内郡信濃町</t>
  </si>
  <si>
    <t>20588　上水内郡小川村</t>
  </si>
  <si>
    <t>20590　上水内郡飯綱町</t>
  </si>
  <si>
    <t>20602　下水内郡栄村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</si>
  <si>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</si>
  <si>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</si>
  <si>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</si>
  <si>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</si>
  <si>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</si>
  <si>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</si>
  <si>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</si>
  <si>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</si>
  <si>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</si>
  <si>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</si>
  <si>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</si>
  <si>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</si>
  <si>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</si>
  <si>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</si>
  <si>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</si>
  <si>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</si>
  <si>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</si>
  <si>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</si>
  <si>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</si>
  <si>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</si>
  <si>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南佐久郡小海町</t>
  </si>
  <si>
    <t>南佐久郡川上村</t>
  </si>
  <si>
    <t>南佐久郡南牧村</t>
  </si>
  <si>
    <t>南佐久郡南相木村</t>
  </si>
  <si>
    <t>南佐久郡北相木村</t>
  </si>
  <si>
    <t>南佐久郡佐久穂町</t>
  </si>
  <si>
    <t>北佐久郡軽井沢町</t>
  </si>
  <si>
    <t>北佐久郡御代田町</t>
  </si>
  <si>
    <t>北佐久郡立科町</t>
  </si>
  <si>
    <t>小県郡青木村</t>
  </si>
  <si>
    <t>小県郡長和町</t>
  </si>
  <si>
    <t>諏訪郡下諏訪町</t>
  </si>
  <si>
    <t>諏訪郡富士見町</t>
  </si>
  <si>
    <t>諏訪郡原村</t>
  </si>
  <si>
    <t>上伊那郡辰野町</t>
  </si>
  <si>
    <t>上伊那郡箕輪町</t>
  </si>
  <si>
    <t>上伊那郡飯島町</t>
  </si>
  <si>
    <t>上伊那郡南箕輪村</t>
  </si>
  <si>
    <t>上伊那郡中川村</t>
  </si>
  <si>
    <t>上伊那郡宮田村</t>
  </si>
  <si>
    <t>下伊那郡松川町</t>
  </si>
  <si>
    <t>下伊那郡高森町</t>
  </si>
  <si>
    <t>下伊那郡阿南町</t>
  </si>
  <si>
    <t>下伊那郡阿智村</t>
  </si>
  <si>
    <t>下伊那郡平谷村</t>
  </si>
  <si>
    <t>下伊那郡根羽村</t>
  </si>
  <si>
    <t>下伊那郡下條村</t>
  </si>
  <si>
    <t>下伊那郡売木村</t>
  </si>
  <si>
    <t>下伊那郡天龍村</t>
  </si>
  <si>
    <t>下伊那郡泰阜村</t>
  </si>
  <si>
    <t>下伊那郡喬木村</t>
  </si>
  <si>
    <t>下伊那郡豊丘村</t>
  </si>
  <si>
    <t>下伊那郡大鹿村</t>
  </si>
  <si>
    <t>木曽郡上松町</t>
  </si>
  <si>
    <t>木曽郡南木曽町</t>
  </si>
  <si>
    <t>木曽郡木祖村</t>
  </si>
  <si>
    <t>木曽郡王滝村</t>
  </si>
  <si>
    <t>木曽郡大桑村</t>
  </si>
  <si>
    <t>木曽郡木曽町</t>
  </si>
  <si>
    <t>東筑摩郡麻績村</t>
  </si>
  <si>
    <t>東筑摩郡生坂村</t>
  </si>
  <si>
    <t>東筑摩郡山形村</t>
  </si>
  <si>
    <t>東筑摩郡朝日村</t>
  </si>
  <si>
    <t>東筑摩郡筑北村</t>
  </si>
  <si>
    <t>北安曇郡池田町</t>
  </si>
  <si>
    <t>北安曇郡松川村</t>
  </si>
  <si>
    <t>北安曇郡白馬村</t>
  </si>
  <si>
    <t>北安曇郡小谷村</t>
  </si>
  <si>
    <t>埴科郡坂城町</t>
  </si>
  <si>
    <t>上高井郡小布施町</t>
  </si>
  <si>
    <t>上高井郡高山村</t>
  </si>
  <si>
    <t>下高井郡山ノ内町</t>
  </si>
  <si>
    <t>下高井郡木島平村</t>
  </si>
  <si>
    <t>下高井郡野沢温泉村</t>
  </si>
  <si>
    <t>上水内郡信濃町</t>
  </si>
  <si>
    <t>上水内郡小川村</t>
  </si>
  <si>
    <t>上水内郡飯綱町</t>
  </si>
  <si>
    <t>下水内郡栄村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</si>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</sst>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142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pivotCacheDefinition" Target="pivotCache/pivotCacheDefinition2.xml"/><Relationship Id="rId89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calcChain" Target="calcChain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pivotCacheDefinition" Target="pivotCache/pivotCacheDefinition1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onnections" Target="connection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3785763886" createdVersion="5" refreshedVersion="8" minRefreshableVersion="3" recordCount="1170" xr:uid="{564CF8F4-9A29-48FB-BC23-B4B9BF94706D}">
  <cacheSource type="external" connectionId="1"/>
  <cacheFields count="11">
    <cacheField name="都道府県" numFmtId="0" sqlType="-9">
      <sharedItems count="1">
        <s v="20 長野県"/>
      </sharedItems>
    </cacheField>
    <cacheField name="自治体名" numFmtId="0" sqlType="-9">
      <sharedItems/>
    </cacheField>
    <cacheField name="自治体" numFmtId="0" sqlType="-9">
      <sharedItems count="78">
        <s v="20000 長野県"/>
        <s v="20201 長野市"/>
        <s v="20202 松本市"/>
        <s v="20203 上田市"/>
        <s v="20204 岡谷市"/>
        <s v="20205 飯田市"/>
        <s v="20206 諏訪市"/>
        <s v="20207 須坂市"/>
        <s v="20208 小諸市"/>
        <s v="20209 伊那市"/>
        <s v="20210 駒ヶ根市"/>
        <s v="20211 中野市"/>
        <s v="20212 大町市"/>
        <s v="20213 飯山市"/>
        <s v="20214 茅野市"/>
        <s v="20215 塩尻市"/>
        <s v="20217 佐久市"/>
        <s v="20218 千曲市"/>
        <s v="20219 東御市"/>
        <s v="20220 安曇野市"/>
        <s v="20303 南佐久郡小海町"/>
        <s v="20304 南佐久郡川上村"/>
        <s v="20305 南佐久郡南牧村"/>
        <s v="20306 南佐久郡南相木村"/>
        <s v="20307 南佐久郡北相木村"/>
        <s v="20309 南佐久郡佐久穂町"/>
        <s v="20321 北佐久郡軽井沢町"/>
        <s v="20323 北佐久郡御代田町"/>
        <s v="20324 北佐久郡立科町"/>
        <s v="20349 小県郡青木村"/>
        <s v="20350 小県郡長和町"/>
        <s v="20361 諏訪郡下諏訪町"/>
        <s v="20362 諏訪郡富士見町"/>
        <s v="20363 諏訪郡原村"/>
        <s v="20382 上伊那郡辰野町"/>
        <s v="20383 上伊那郡箕輪町"/>
        <s v="20384 上伊那郡飯島町"/>
        <s v="20385 上伊那郡南箕輪村"/>
        <s v="20386 上伊那郡中川村"/>
        <s v="20388 上伊那郡宮田村"/>
        <s v="20402 下伊那郡松川町"/>
        <s v="20403 下伊那郡高森町"/>
        <s v="20404 下伊那郡阿南町"/>
        <s v="20407 下伊那郡阿智村"/>
        <s v="20409 下伊那郡平谷村"/>
        <s v="20410 下伊那郡根羽村"/>
        <s v="20411 下伊那郡下條村"/>
        <s v="20412 下伊那郡売木村"/>
        <s v="20413 下伊那郡天龍村"/>
        <s v="20414 下伊那郡泰阜村"/>
        <s v="20415 下伊那郡喬木村"/>
        <s v="20416 下伊那郡豊丘村"/>
        <s v="20417 下伊那郡大鹿村"/>
        <s v="20422 木曽郡上松町"/>
        <s v="20423 木曽郡南木曽町"/>
        <s v="20425 木曽郡木祖村"/>
        <s v="20429 木曽郡王滝村"/>
        <s v="20430 木曽郡大桑村"/>
        <s v="20432 木曽郡木曽町"/>
        <s v="20446 東筑摩郡麻績村"/>
        <s v="20448 東筑摩郡生坂村"/>
        <s v="20450 東筑摩郡山形村"/>
        <s v="20451 東筑摩郡朝日村"/>
        <s v="20452 東筑摩郡筑北村"/>
        <s v="20481 北安曇郡池田町"/>
        <s v="20482 北安曇郡松川村"/>
        <s v="20485 北安曇郡白馬村"/>
        <s v="20486 北安曇郡小谷村"/>
        <s v="20521 埴科郡坂城町"/>
        <s v="20541 上高井郡小布施町"/>
        <s v="20543 上高井郡高山村"/>
        <s v="20561 下高井郡山ノ内町"/>
        <s v="20562 下高井郡木島平村"/>
        <s v="20563 下高井郡野沢温泉村"/>
        <s v="20583 上水内郡信濃町"/>
        <s v="20588 上水内郡小川村"/>
        <s v="20590 上水内郡飯綱町"/>
        <s v="20602 下水内郡栄村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13161"/>
    </cacheField>
    <cacheField name="構成比" numFmtId="0" sqlType="3">
      <sharedItems containsSemiMixedTypes="0" containsString="0" containsNumber="1" minValue="0" maxValue="63.98"/>
    </cacheField>
    <cacheField name="総数（個人）" numFmtId="0" sqlType="4">
      <sharedItems containsSemiMixedTypes="0" containsString="0" containsNumber="1" containsInteger="1" minValue="0" maxValue="7059"/>
    </cacheField>
    <cacheField name="構成比（個人）" numFmtId="0" sqlType="3">
      <sharedItems containsSemiMixedTypes="0" containsString="0" containsNumber="1" minValue="0" maxValue="78.28"/>
    </cacheField>
    <cacheField name="総数（法人）" numFmtId="0" sqlType="4">
      <sharedItems containsSemiMixedTypes="0" containsString="0" containsNumber="1" containsInteger="1" minValue="0" maxValue="7532"/>
    </cacheField>
    <cacheField name="構成比（法人）" numFmtId="0" sqlType="3">
      <sharedItems containsSemiMixedTypes="0" containsString="0" containsNumber="1" minValue="0" maxValue="80"/>
    </cacheField>
    <cacheField name="総数（法人以外の団体）" numFmtId="0" sqlType="4">
      <sharedItems containsSemiMixedTypes="0" containsString="0" containsNumber="1" containsInteger="1" minValue="0" maxValue="41" count="12">
        <n v="0"/>
        <n v="7"/>
        <n v="2"/>
        <n v="3"/>
        <n v="22"/>
        <n v="28"/>
        <n v="1"/>
        <n v="6"/>
        <n v="4"/>
        <n v="11"/>
        <n v="17"/>
        <n v="4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3915046295" createdVersion="5" refreshedVersion="8" minRefreshableVersion="3" recordCount="1750" xr:uid="{7A8E7DDC-B567-41F4-947E-1FA1FE38D36E}">
  <cacheSource type="external" connectionId="2"/>
  <cacheFields count="14">
    <cacheField name="都道府県" numFmtId="0" sqlType="-9">
      <sharedItems count="1">
        <s v="20 長野県"/>
      </sharedItems>
    </cacheField>
    <cacheField name="自治体名" numFmtId="0" sqlType="-9">
      <sharedItems count="78">
        <s v="長野県"/>
        <s v="長野市"/>
        <s v="松本市"/>
        <s v="上田市"/>
        <s v="岡谷市"/>
        <s v="飯田市"/>
        <s v="諏訪市"/>
        <s v="須坂市"/>
        <s v="小諸市"/>
        <s v="伊那市"/>
        <s v="駒ヶ根市"/>
        <s v="中野市"/>
        <s v="大町市"/>
        <s v="飯山市"/>
        <s v="茅野市"/>
        <s v="塩尻市"/>
        <s v="佐久市"/>
        <s v="千曲市"/>
        <s v="東御市"/>
        <s v="安曇野市"/>
        <s v="南佐久郡小海町"/>
        <s v="南佐久郡川上村"/>
        <s v="南佐久郡南牧村"/>
        <s v="南佐久郡南相木村"/>
        <s v="南佐久郡北相木村"/>
        <s v="南佐久郡佐久穂町"/>
        <s v="北佐久郡軽井沢町"/>
        <s v="北佐久郡御代田町"/>
        <s v="北佐久郡立科町"/>
        <s v="小県郡青木村"/>
        <s v="小県郡長和町"/>
        <s v="諏訪郡下諏訪町"/>
        <s v="諏訪郡富士見町"/>
        <s v="諏訪郡原村"/>
        <s v="上伊那郡辰野町"/>
        <s v="上伊那郡箕輪町"/>
        <s v="上伊那郡飯島町"/>
        <s v="上伊那郡南箕輪村"/>
        <s v="上伊那郡中川村"/>
        <s v="上伊那郡宮田村"/>
        <s v="下伊那郡松川町"/>
        <s v="下伊那郡高森町"/>
        <s v="下伊那郡阿南町"/>
        <s v="下伊那郡阿智村"/>
        <s v="下伊那郡平谷村"/>
        <s v="下伊那郡根羽村"/>
        <s v="下伊那郡下條村"/>
        <s v="下伊那郡売木村"/>
        <s v="下伊那郡天龍村"/>
        <s v="下伊那郡泰阜村"/>
        <s v="下伊那郡喬木村"/>
        <s v="下伊那郡豊丘村"/>
        <s v="下伊那郡大鹿村"/>
        <s v="木曽郡上松町"/>
        <s v="木曽郡南木曽町"/>
        <s v="木曽郡木祖村"/>
        <s v="木曽郡王滝村"/>
        <s v="木曽郡大桑村"/>
        <s v="木曽郡木曽町"/>
        <s v="東筑摩郡麻績村"/>
        <s v="東筑摩郡生坂村"/>
        <s v="東筑摩郡山形村"/>
        <s v="東筑摩郡朝日村"/>
        <s v="東筑摩郡筑北村"/>
        <s v="北安曇郡池田町"/>
        <s v="北安曇郡松川村"/>
        <s v="北安曇郡白馬村"/>
        <s v="北安曇郡小谷村"/>
        <s v="埴科郡坂城町"/>
        <s v="上高井郡小布施町"/>
        <s v="上高井郡高山村"/>
        <s v="下高井郡山ノ内町"/>
        <s v="下高井郡木島平村"/>
        <s v="下高井郡野沢温泉村"/>
        <s v="上水内郡信濃町"/>
        <s v="上水内郡小川村"/>
        <s v="上水内郡飯綱町"/>
        <s v="下水内郡栄村"/>
      </sharedItems>
    </cacheField>
    <cacheField name="自治体" numFmtId="0" sqlType="-9">
      <sharedItems count="78">
        <s v="20000 長野県"/>
        <s v="20201 長野市"/>
        <s v="20202 松本市"/>
        <s v="20203 上田市"/>
        <s v="20204 岡谷市"/>
        <s v="20205 飯田市"/>
        <s v="20206 諏訪市"/>
        <s v="20207 須坂市"/>
        <s v="20208 小諸市"/>
        <s v="20209 伊那市"/>
        <s v="20210 駒ヶ根市"/>
        <s v="20211 中野市"/>
        <s v="20212 大町市"/>
        <s v="20213 飯山市"/>
        <s v="20214 茅野市"/>
        <s v="20215 塩尻市"/>
        <s v="20217 佐久市"/>
        <s v="20218 千曲市"/>
        <s v="20219 東御市"/>
        <s v="20220 安曇野市"/>
        <s v="20303 南佐久郡小海町"/>
        <s v="20304 南佐久郡川上村"/>
        <s v="20305 南佐久郡南牧村"/>
        <s v="20306 南佐久郡南相木村"/>
        <s v="20307 南佐久郡北相木村"/>
        <s v="20309 南佐久郡佐久穂町"/>
        <s v="20321 北佐久郡軽井沢町"/>
        <s v="20323 北佐久郡御代田町"/>
        <s v="20324 北佐久郡立科町"/>
        <s v="20349 小県郡青木村"/>
        <s v="20350 小県郡長和町"/>
        <s v="20361 諏訪郡下諏訪町"/>
        <s v="20362 諏訪郡富士見町"/>
        <s v="20363 諏訪郡原村"/>
        <s v="20382 上伊那郡辰野町"/>
        <s v="20383 上伊那郡箕輪町"/>
        <s v="20384 上伊那郡飯島町"/>
        <s v="20385 上伊那郡南箕輪村"/>
        <s v="20386 上伊那郡中川村"/>
        <s v="20388 上伊那郡宮田村"/>
        <s v="20402 下伊那郡松川町"/>
        <s v="20403 下伊那郡高森町"/>
        <s v="20404 下伊那郡阿南町"/>
        <s v="20407 下伊那郡阿智村"/>
        <s v="20409 下伊那郡平谷村"/>
        <s v="20410 下伊那郡根羽村"/>
        <s v="20411 下伊那郡下條村"/>
        <s v="20412 下伊那郡売木村"/>
        <s v="20413 下伊那郡天龍村"/>
        <s v="20414 下伊那郡泰阜村"/>
        <s v="20415 下伊那郡喬木村"/>
        <s v="20416 下伊那郡豊丘村"/>
        <s v="20417 下伊那郡大鹿村"/>
        <s v="20422 木曽郡上松町"/>
        <s v="20423 木曽郡南木曽町"/>
        <s v="20425 木曽郡木祖村"/>
        <s v="20429 木曽郡王滝村"/>
        <s v="20430 木曽郡大桑村"/>
        <s v="20432 木曽郡木曽町"/>
        <s v="20446 東筑摩郡麻績村"/>
        <s v="20448 東筑摩郡生坂村"/>
        <s v="20450 東筑摩郡山形村"/>
        <s v="20451 東筑摩郡朝日村"/>
        <s v="20452 東筑摩郡筑北村"/>
        <s v="20481 北安曇郡池田町"/>
        <s v="20482 北安曇郡松川村"/>
        <s v="20485 北安曇郡白馬村"/>
        <s v="20486 北安曇郡小谷村"/>
        <s v="20521 埴科郡坂城町"/>
        <s v="20541 上高井郡小布施町"/>
        <s v="20543 上高井郡高山村"/>
        <s v="20561 下高井郡山ノ内町"/>
        <s v="20562 下高井郡木島平村"/>
        <s v="20563 下高井郡野沢温泉村"/>
        <s v="20583 上水内郡信濃町"/>
        <s v="20588 上水内郡小川村"/>
        <s v="20590 上水内郡飯綱町"/>
        <s v="20602 下水内郡栄村"/>
      </sharedItems>
    </cacheField>
    <cacheField name="産業分類コード" numFmtId="0" sqlType="-8">
      <sharedItems count="71">
        <s v="76"/>
        <s v="78"/>
        <s v="69"/>
        <s v="06"/>
        <s v="60"/>
        <s v="07"/>
        <s v="58"/>
        <s v="75"/>
        <s v="82"/>
        <s v="08"/>
        <s v="83"/>
        <s v="59"/>
        <s v="72"/>
        <s v="57"/>
        <s v="74"/>
        <s v="85"/>
        <s v="26"/>
        <s v="54"/>
        <s v="89"/>
        <s v="24"/>
        <s v="55"/>
        <s v="68"/>
        <s v="92"/>
        <s v="53"/>
        <s v="52"/>
        <s v="25"/>
        <s v="09"/>
        <s v="14"/>
        <s v="77"/>
        <s v="13"/>
        <s v="79"/>
        <s v="80"/>
        <s v="67"/>
        <s v="61"/>
        <s v="32"/>
        <s v="29"/>
        <s v="12"/>
        <s v="36"/>
        <s v="43"/>
        <s v="16"/>
        <s v="95"/>
        <s v="48"/>
        <s v="10"/>
        <s v="21"/>
        <s v="33"/>
        <s v="44"/>
        <s v="90"/>
        <s v="91"/>
        <s v="05"/>
        <s v="38"/>
        <s v="20"/>
        <s v="27"/>
        <s v="70"/>
        <s v="31"/>
        <s v="15"/>
        <s v="18"/>
        <s v="11"/>
        <s v="28"/>
        <s v="39"/>
        <s v="23"/>
        <s v="22"/>
        <s v="41"/>
        <s v="88"/>
        <s v="71"/>
        <s v="40"/>
        <s v="56"/>
        <s v="30"/>
        <s v="17"/>
        <s v="47"/>
        <s v="42"/>
        <s v="51"/>
      </sharedItems>
    </cacheField>
    <cacheField name="産業分類" numFmtId="0" sqlType="-9">
      <sharedItems count="71">
        <s v="飲食店"/>
        <s v="洗濯・理容・美容・浴場業"/>
        <s v="不動産賃貸業・管理業"/>
        <s v="総合工事業"/>
        <s v="その他の小売業"/>
        <s v="職別工事業（設備工事業を除く）"/>
        <s v="飲食料品小売業"/>
        <s v="宿泊業"/>
        <s v="その他の教育，学習支援業"/>
        <s v="設備工事業"/>
        <s v="医療業"/>
        <s v="機械器具小売業"/>
        <s v="専門サービス業（他に分類されないもの）"/>
        <s v="織物・衣服・身の回り品小売業"/>
        <s v="技術サービス業（他に分類されないもの）"/>
        <s v="社会保険・社会福祉・介護事業"/>
        <s v="生産用機械器具製造業"/>
        <s v="機械器具卸売業"/>
        <s v="自動車整備業"/>
        <s v="金属製品製造業"/>
        <s v="その他の卸売業"/>
        <s v="不動産取引業"/>
        <s v="その他の事業サービス業"/>
        <s v="建築材料，鉱物・金属材料等卸売業"/>
        <s v="飲食料品卸売業"/>
        <s v="はん用機械器具製造業"/>
        <s v="食料品製造業"/>
        <s v="パルプ・紙・紙加工品製造業"/>
        <s v="持ち帰り・配達飲食サービス業"/>
        <s v="家具・装備品製造業"/>
        <s v="その他の生活関連サービス業"/>
        <s v="娯楽業"/>
        <s v="保険業（保険媒介代理業，保険サービス業を含む）"/>
        <s v="無店舗小売業"/>
        <s v="その他の製造業"/>
        <s v="電気機械器具製造業"/>
        <s v="木材・木製品製造業（家具を除く）"/>
        <s v="水道業"/>
        <s v="道路旅客運送業"/>
        <s v="化学工業"/>
        <s v="その他のサービス業"/>
        <s v="運輸に附帯するサービス業"/>
        <s v="飲料・たばこ・飼料製造業"/>
        <s v="窯業・土石製品製造業"/>
        <s v="電気業"/>
        <s v="道路貨物運送業"/>
        <s v="機械等修理業（別掲を除く）"/>
        <s v="職業紹介・労働者派遣業"/>
        <s v="鉱業，採石業，砂利採取業"/>
        <s v="放送業"/>
        <s v="なめし革・同製品・毛皮製造業"/>
        <s v="業務用機械器具製造業"/>
        <s v="物品賃貸業"/>
        <s v="輸送用機械器具製造業"/>
        <s v="印刷・同関連業"/>
        <s v="プラスチック製品製造業（別掲を除く）"/>
        <s v="繊維工業"/>
        <s v="電子部品・デバイス・電子回路製造業"/>
        <s v="情報サービス業"/>
        <s v="非鉄金属製造業"/>
        <s v="鉄鋼業"/>
        <s v="映像・音声・文字情報制作業"/>
        <s v="廃棄物処理業"/>
        <s v="学術・開発研究機関"/>
        <s v="インターネット附随サービス業"/>
        <s v="各種商品小売業"/>
        <s v="情報通信機械器具製造業"/>
        <s v="石油製品・石炭製品製造業"/>
        <s v="倉庫業"/>
        <s v="鉄道業"/>
        <s v="繊維・衣服等卸売業"/>
      </sharedItems>
    </cacheField>
    <cacheField name="産業中分類" numFmtId="0" sqlType="-9">
      <sharedItems count="71">
        <s v="76 飲食店"/>
        <s v="78 洗濯・理容・美容・浴場業"/>
        <s v="69 不動産賃貸業・管理業"/>
        <s v="06 総合工事業"/>
        <s v="60 その他の小売業"/>
        <s v="07 職別工事業（設備工事業を除く）"/>
        <s v="58 飲食料品小売業"/>
        <s v="75 宿泊業"/>
        <s v="82 その他の教育，学習支援業"/>
        <s v="08 設備工事業"/>
        <s v="83 医療業"/>
        <s v="59 機械器具小売業"/>
        <s v="72 専門サービス業（他に分類されないもの）"/>
        <s v="57 織物・衣服・身の回り品小売業"/>
        <s v="74 技術サービス業（他に分類されないもの）"/>
        <s v="85 社会保険・社会福祉・介護事業"/>
        <s v="26 生産用機械器具製造業"/>
        <s v="54 機械器具卸売業"/>
        <s v="89 自動車整備業"/>
        <s v="24 金属製品製造業"/>
        <s v="55 その他の卸売業"/>
        <s v="68 不動産取引業"/>
        <s v="92 その他の事業サービス業"/>
        <s v="53 建築材料，鉱物・金属材料等卸売業"/>
        <s v="52 飲食料品卸売業"/>
        <s v="25 はん用機械器具製造業"/>
        <s v="09 食料品製造業"/>
        <s v="14 パルプ・紙・紙加工品製造業"/>
        <s v="77 持ち帰り・配達飲食サービス業"/>
        <s v="13 家具・装備品製造業"/>
        <s v="79 その他の生活関連サービス業"/>
        <s v="80 娯楽業"/>
        <s v="67 保険業（保険媒介代理業，保険サービス業を含む）"/>
        <s v="61 無店舗小売業"/>
        <s v="32 その他の製造業"/>
        <s v="29 電気機械器具製造業"/>
        <s v="12 木材・木製品製造業（家具を除く）"/>
        <s v="36 水道業"/>
        <s v="43 道路旅客運送業"/>
        <s v="16 化学工業"/>
        <s v="95 その他のサービス業"/>
        <s v="48 運輸に附帯するサービス業"/>
        <s v="10 飲料・たばこ・飼料製造業"/>
        <s v="21 窯業・土石製品製造業"/>
        <s v="33 電気業"/>
        <s v="44 道路貨物運送業"/>
        <s v="90 機械等修理業（別掲を除く）"/>
        <s v="91 職業紹介・労働者派遣業"/>
        <s v="05 鉱業，採石業，砂利採取業"/>
        <s v="38 放送業"/>
        <s v="20 なめし革・同製品・毛皮製造業"/>
        <s v="27 業務用機械器具製造業"/>
        <s v="70 物品賃貸業"/>
        <s v="31 輸送用機械器具製造業"/>
        <s v="15 印刷・同関連業"/>
        <s v="18 プラスチック製品製造業（別掲を除く）"/>
        <s v="11 繊維工業"/>
        <s v="28 電子部品・デバイス・電子回路製造業"/>
        <s v="39 情報サービス業"/>
        <s v="23 非鉄金属製造業"/>
        <s v="22 鉄鋼業"/>
        <s v="41 映像・音声・文字情報制作業"/>
        <s v="88 廃棄物処理業"/>
        <s v="71 学術・開発研究機関"/>
        <s v="40 インターネット附随サービス業"/>
        <s v="56 各種商品小売業"/>
        <s v="30 情報通信機械器具製造業"/>
        <s v="17 石油製品・石炭製品製造業"/>
        <s v="47 倉庫業"/>
        <s v="42 鉄道業"/>
        <s v="51 繊維・衣服等卸売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6564" count="208">
        <n v="6564"/>
        <n v="5682"/>
        <n v="4844"/>
        <n v="4178"/>
        <n v="4027"/>
        <n v="2954"/>
        <n v="2683"/>
        <n v="2206"/>
        <n v="2177"/>
        <n v="1904"/>
        <n v="1850"/>
        <n v="1824"/>
        <n v="1583"/>
        <n v="1381"/>
        <n v="1334"/>
        <n v="902"/>
        <n v="845"/>
        <n v="826"/>
        <n v="749"/>
        <n v="696"/>
        <n v="1416"/>
        <n v="951"/>
        <n v="938"/>
        <n v="608"/>
        <n v="606"/>
        <n v="490"/>
        <n v="349"/>
        <n v="348"/>
        <n v="336"/>
        <n v="328"/>
        <n v="303"/>
        <n v="286"/>
        <n v="259"/>
        <n v="229"/>
        <n v="168"/>
        <n v="164"/>
        <n v="160"/>
        <n v="139"/>
        <n v="129"/>
        <n v="128"/>
        <n v="928"/>
        <n v="789"/>
        <n v="717"/>
        <n v="465"/>
        <n v="329"/>
        <n v="311"/>
        <n v="279"/>
        <n v="257"/>
        <n v="234"/>
        <n v="223"/>
        <n v="210"/>
        <n v="196"/>
        <n v="191"/>
        <n v="179"/>
        <n v="162"/>
        <n v="148"/>
        <n v="137"/>
        <n v="107"/>
        <n v="104"/>
        <n v="90"/>
        <n v="431"/>
        <n v="396"/>
        <n v="378"/>
        <n v="284"/>
        <n v="175"/>
        <n v="152"/>
        <n v="136"/>
        <n v="126"/>
        <n v="122"/>
        <n v="99"/>
        <n v="84"/>
        <n v="82"/>
        <n v="63"/>
        <n v="60"/>
        <n v="59"/>
        <n v="135"/>
        <n v="113"/>
        <n v="105"/>
        <n v="87"/>
        <n v="80"/>
        <n v="73"/>
        <n v="58"/>
        <n v="56"/>
        <n v="54"/>
        <n v="47"/>
        <n v="38"/>
        <n v="36"/>
        <n v="35"/>
        <n v="33"/>
        <n v="32"/>
        <n v="28"/>
        <n v="27"/>
        <n v="472"/>
        <n v="384"/>
        <n v="359"/>
        <n v="239"/>
        <n v="183"/>
        <n v="155"/>
        <n v="125"/>
        <n v="117"/>
        <n v="115"/>
        <n v="109"/>
        <n v="100"/>
        <n v="93"/>
        <n v="86"/>
        <n v="48"/>
        <n v="39"/>
        <n v="34"/>
        <n v="261"/>
        <n v="209"/>
        <n v="91"/>
        <n v="65"/>
        <n v="52"/>
        <n v="46"/>
        <n v="42"/>
        <n v="41"/>
        <n v="153"/>
        <n v="133"/>
        <n v="98"/>
        <n v="78"/>
        <n v="71"/>
        <n v="57"/>
        <n v="49"/>
        <n v="43"/>
        <n v="37"/>
        <n v="26"/>
        <n v="24"/>
        <n v="21"/>
        <n v="20"/>
        <n v="18"/>
        <n v="17"/>
        <n v="147"/>
        <n v="111"/>
        <n v="79"/>
        <n v="77"/>
        <n v="67"/>
        <n v="55"/>
        <n v="31"/>
        <n v="30"/>
        <n v="19"/>
        <n v="16"/>
        <n v="15"/>
        <n v="243"/>
        <n v="216"/>
        <n v="132"/>
        <n v="95"/>
        <n v="83"/>
        <n v="62"/>
        <n v="61"/>
        <n v="110"/>
        <n v="69"/>
        <n v="50"/>
        <n v="22"/>
        <n v="14"/>
        <n v="13"/>
        <n v="12"/>
        <n v="11"/>
        <n v="119"/>
        <n v="92"/>
        <n v="70"/>
        <n v="64"/>
        <n v="40"/>
        <n v="23"/>
        <n v="72"/>
        <n v="44"/>
        <n v="10"/>
        <n v="53"/>
        <n v="29"/>
        <n v="9"/>
        <n v="150"/>
        <n v="81"/>
        <n v="51"/>
        <n v="45"/>
        <n v="25"/>
        <n v="154"/>
        <n v="134"/>
        <n v="121"/>
        <n v="74"/>
        <n v="337"/>
        <n v="293"/>
        <n v="225"/>
        <n v="206"/>
        <n v="167"/>
        <n v="123"/>
        <n v="66"/>
        <n v="171"/>
        <n v="170"/>
        <n v="166"/>
        <n v="114"/>
        <n v="102"/>
        <n v="244"/>
        <n v="221"/>
        <n v="140"/>
        <n v="120"/>
        <n v="116"/>
        <n v="6"/>
        <n v="5"/>
        <n v="4"/>
        <n v="3"/>
        <n v="8"/>
        <n v="2"/>
        <n v="1"/>
        <n v="7"/>
        <n v="163"/>
        <n v="75"/>
        <n v="397"/>
        <n v="106"/>
        <n v="101"/>
      </sharedItems>
    </cacheField>
    <cacheField name="構成比" numFmtId="0" sqlType="3">
      <sharedItems containsSemiMixedTypes="0" containsString="0" containsNumber="1" minValue="0.45" maxValue="50.62" count="604">
        <n v="10.63"/>
        <n v="9.2100000000000009"/>
        <n v="7.85"/>
        <n v="6.77"/>
        <n v="6.52"/>
        <n v="4.79"/>
        <n v="4.3499999999999996"/>
        <n v="3.57"/>
        <n v="3.53"/>
        <n v="3.08"/>
        <n v="3"/>
        <n v="2.95"/>
        <n v="2.56"/>
        <n v="2.2400000000000002"/>
        <n v="2.16"/>
        <n v="1.46"/>
        <n v="1.37"/>
        <n v="1.34"/>
        <n v="1.21"/>
        <n v="1.1299999999999999"/>
        <n v="13.97"/>
        <n v="9.3800000000000008"/>
        <n v="9.26"/>
        <n v="6"/>
        <n v="5.98"/>
        <n v="4.84"/>
        <n v="3.44"/>
        <n v="3.43"/>
        <n v="3.32"/>
        <n v="3.24"/>
        <n v="2.99"/>
        <n v="2.82"/>
        <n v="2.2599999999999998"/>
        <n v="1.66"/>
        <n v="1.62"/>
        <n v="1.58"/>
        <n v="1.27"/>
        <n v="1.26"/>
        <n v="12.63"/>
        <n v="10.73"/>
        <n v="9.76"/>
        <n v="6.33"/>
        <n v="4.4800000000000004"/>
        <n v="4.2300000000000004"/>
        <n v="3.8"/>
        <n v="3.5"/>
        <n v="3.18"/>
        <n v="3.03"/>
        <n v="2.86"/>
        <n v="2.67"/>
        <n v="2.6"/>
        <n v="2.44"/>
        <n v="2.2000000000000002"/>
        <n v="2.0099999999999998"/>
        <n v="1.86"/>
        <n v="1.41"/>
        <n v="1.22"/>
        <n v="10.02"/>
        <n v="8.7899999999999991"/>
        <n v="6.6"/>
        <n v="6.49"/>
        <n v="4.07"/>
        <n v="3.16"/>
        <n v="2.98"/>
        <n v="2.93"/>
        <n v="2.84"/>
        <n v="2.2999999999999998"/>
        <n v="1.95"/>
        <n v="1.91"/>
        <n v="1.39"/>
        <n v="8.75"/>
        <n v="7.32"/>
        <n v="6.8"/>
        <n v="5.64"/>
        <n v="5.18"/>
        <n v="4.7300000000000004"/>
        <n v="3.76"/>
        <n v="3.63"/>
        <n v="3.05"/>
        <n v="2.46"/>
        <n v="2.33"/>
        <n v="2.27"/>
        <n v="2.14"/>
        <n v="2.0699999999999998"/>
        <n v="1.81"/>
        <n v="1.75"/>
        <n v="13.22"/>
        <n v="10.76"/>
        <n v="10.06"/>
        <n v="6.7"/>
        <n v="5.13"/>
        <n v="4.34"/>
        <n v="3.28"/>
        <n v="3.22"/>
        <n v="2.8"/>
        <n v="2.61"/>
        <n v="2.41"/>
        <n v="1.68"/>
        <n v="1.0900000000000001"/>
        <n v="1.06"/>
        <n v="0.95"/>
        <n v="13.76"/>
        <n v="11.02"/>
        <n v="7.8"/>
        <n v="5.48"/>
        <n v="4.8"/>
        <n v="3.11"/>
        <n v="2.74"/>
        <n v="2.42"/>
        <n v="2.21"/>
        <n v="2.06"/>
        <n v="1.74"/>
        <n v="1.48"/>
        <n v="1.42"/>
        <n v="11"/>
        <n v="9.56"/>
        <n v="7.55"/>
        <n v="7.05"/>
        <n v="5.61"/>
        <n v="5.0999999999999996"/>
        <n v="4.0999999999999996"/>
        <n v="3.74"/>
        <n v="3.52"/>
        <n v="3.09"/>
        <n v="3.02"/>
        <n v="2.66"/>
        <n v="1.87"/>
        <n v="1.73"/>
        <n v="1.51"/>
        <n v="1.44"/>
        <n v="1.29"/>
        <n v="12.71"/>
        <n v="9.59"/>
        <n v="6.83"/>
        <n v="6.66"/>
        <n v="6.31"/>
        <n v="5.79"/>
        <n v="4.75"/>
        <n v="2.94"/>
        <n v="2.68"/>
        <n v="2.59"/>
        <n v="1.64"/>
        <n v="1.56"/>
        <n v="1.47"/>
        <n v="1.38"/>
        <n v="1.3"/>
        <n v="12.73"/>
        <n v="11.31"/>
        <n v="7.12"/>
        <n v="6.91"/>
        <n v="4.9800000000000004"/>
        <n v="4.5"/>
        <n v="3.72"/>
        <n v="3.25"/>
        <n v="3.2"/>
        <n v="2.83"/>
        <n v="1.94"/>
        <n v="1.36"/>
        <n v="1.1000000000000001"/>
        <n v="12.5"/>
        <n v="10.74"/>
        <n v="9.08"/>
        <n v="6.74"/>
        <n v="5.37"/>
        <n v="4.88"/>
        <n v="4.6900000000000004"/>
        <n v="4.2"/>
        <n v="3.61"/>
        <n v="2.73"/>
        <n v="2.54"/>
        <n v="2.15"/>
        <n v="1.17"/>
        <n v="1.07"/>
        <n v="9.85"/>
        <n v="9.69"/>
        <n v="7.62"/>
        <n v="5.38"/>
        <n v="5.3"/>
        <n v="4.47"/>
        <n v="3.31"/>
        <n v="3.06"/>
        <n v="2.57"/>
        <n v="1.9"/>
        <n v="1.49"/>
        <n v="1.24"/>
        <n v="13"/>
        <n v="9.5500000000000007"/>
        <n v="8.49"/>
        <n v="6.63"/>
        <n v="6.1"/>
        <n v="5.84"/>
        <n v="5.57"/>
        <n v="4.1100000000000003"/>
        <n v="2.92"/>
        <n v="2.65"/>
        <n v="2.52"/>
        <n v="2.12"/>
        <n v="1.99"/>
        <n v="1.72"/>
        <n v="1.59"/>
        <n v="1.33"/>
        <n v="12.68"/>
        <n v="9.61"/>
        <n v="7.74"/>
        <n v="7.34"/>
        <n v="7.08"/>
        <n v="6.68"/>
        <n v="6.14"/>
        <n v="3.87"/>
        <n v="2.4"/>
        <n v="1.6"/>
        <n v="1.2"/>
        <n v="9.07"/>
        <n v="8.2799999999999994"/>
        <n v="4.9000000000000004"/>
        <n v="4.29"/>
        <n v="3.75"/>
        <n v="3.45"/>
        <n v="3.14"/>
        <n v="2.72"/>
        <n v="2"/>
        <n v="1.63"/>
        <n v="10.35"/>
        <n v="8.91"/>
        <n v="7.75"/>
        <n v="7"/>
        <n v="6.19"/>
        <n v="4.51"/>
        <n v="4.28"/>
        <n v="3.59"/>
        <n v="3.47"/>
        <n v="3.07"/>
        <n v="1.97"/>
        <n v="1.85"/>
        <n v="1.5"/>
        <n v="11.88"/>
        <n v="10.33"/>
        <n v="7.93"/>
        <n v="7.26"/>
        <n v="5.89"/>
        <n v="3.84"/>
        <n v="10.45"/>
        <n v="10.38"/>
        <n v="10.14"/>
        <n v="6.96"/>
        <n v="6.23"/>
        <n v="5.25"/>
        <n v="3.67"/>
        <n v="2.63"/>
        <n v="2.5"/>
        <n v="1.89"/>
        <n v="1.83"/>
        <n v="1.71"/>
        <n v="1.65"/>
        <n v="1.28"/>
        <n v="10.11"/>
        <n v="9.23"/>
        <n v="8.7200000000000006"/>
        <n v="6.07"/>
        <n v="5.82"/>
        <n v="4.68"/>
        <n v="4.55"/>
        <n v="4.3"/>
        <n v="3.29"/>
        <n v="2.5299999999999998"/>
        <n v="2.2799999999999998"/>
        <n v="1.77"/>
        <n v="1.52"/>
        <n v="11.15"/>
        <n v="10.1"/>
        <n v="8"/>
        <n v="6.76"/>
        <n v="6.4"/>
        <n v="5.21"/>
        <n v="3.66"/>
        <n v="3.38"/>
        <n v="1.92"/>
        <n v="1.69"/>
        <n v="1.23"/>
        <n v="11.41"/>
        <n v="9.24"/>
        <n v="8.15"/>
        <n v="7.07"/>
        <n v="5.43"/>
        <n v="4.8899999999999997"/>
        <n v="3.26"/>
        <n v="2.17"/>
        <n v="13.16"/>
        <n v="12.28"/>
        <n v="8.77"/>
        <n v="7.02"/>
        <n v="4.3899999999999997"/>
        <n v="3.51"/>
        <n v="0.88"/>
        <n v="19.399999999999999"/>
        <n v="5.97"/>
        <n v="16.28"/>
        <n v="11.63"/>
        <n v="9.3000000000000007"/>
        <n v="6.98"/>
        <n v="4.6500000000000004"/>
        <n v="20"/>
        <n v="6.67"/>
        <n v="3.33"/>
        <n v="13.5"/>
        <n v="9.9700000000000006"/>
        <n v="7.72"/>
        <n v="6.75"/>
        <n v="6.43"/>
        <n v="3.86"/>
        <n v="3.54"/>
        <n v="2.89"/>
        <n v="1.93"/>
        <n v="1.61"/>
        <n v="15.22"/>
        <n v="10.55"/>
        <n v="8.59"/>
        <n v="8.5"/>
        <n v="7.47"/>
        <n v="7.38"/>
        <n v="4.76"/>
        <n v="2.0499999999999998"/>
        <n v="1.4"/>
        <n v="1.1200000000000001"/>
        <n v="1.03"/>
        <n v="0.84"/>
        <n v="15.24"/>
        <n v="8.84"/>
        <n v="6.71"/>
        <n v="5.49"/>
        <n v="4.2699999999999996"/>
        <n v="3.96"/>
        <n v="2.13"/>
        <n v="17.43"/>
        <n v="9.6300000000000008"/>
        <n v="6.88"/>
        <n v="6.42"/>
        <n v="5.96"/>
        <n v="4.59"/>
        <n v="4.13"/>
        <n v="2.75"/>
        <n v="2.29"/>
        <n v="0.92"/>
        <n v="9.16"/>
        <n v="8.4"/>
        <n v="6.87"/>
        <n v="6.11"/>
        <n v="5.34"/>
        <n v="4.58"/>
        <n v="3.82"/>
        <n v="1.53"/>
        <n v="18.88"/>
        <n v="11.16"/>
        <n v="6.44"/>
        <n v="5.58"/>
        <n v="5.15"/>
        <n v="0.86"/>
        <n v="12.04"/>
        <n v="11.4"/>
        <n v="5.78"/>
        <n v="3.69"/>
        <n v="3.37"/>
        <n v="10.4"/>
        <n v="10.130000000000001"/>
        <n v="6.93"/>
        <n v="5.87"/>
        <n v="5.07"/>
        <n v="3.73"/>
        <n v="19.8"/>
        <n v="11.07"/>
        <n v="5.7"/>
        <n v="4.7"/>
        <n v="4.3600000000000003"/>
        <n v="3.36"/>
        <n v="2.35"/>
        <n v="9.49"/>
        <n v="8.08"/>
        <n v="7.56"/>
        <n v="4.22"/>
        <n v="4.04"/>
        <n v="2.81"/>
        <n v="2.11"/>
        <n v="1.76"/>
        <n v="9.2200000000000006"/>
        <n v="7.51"/>
        <n v="7.17"/>
        <n v="5.8"/>
        <n v="4.95"/>
        <n v="4.4400000000000004"/>
        <n v="3.41"/>
        <n v="2.39"/>
        <n v="2.2200000000000002"/>
        <n v="1.88"/>
        <n v="12.64"/>
        <n v="9.67"/>
        <n v="5.95"/>
        <n v="4.83"/>
        <n v="4.46"/>
        <n v="3.35"/>
        <n v="2.23"/>
        <n v="13.42"/>
        <n v="4.03"/>
        <n v="11.67"/>
        <n v="9.17"/>
        <n v="8.33"/>
        <n v="5"/>
        <n v="1.67"/>
        <n v="0.83"/>
        <n v="12.69"/>
        <n v="7.69"/>
        <n v="6.92"/>
        <n v="3.85"/>
        <n v="2.31"/>
        <n v="1.54"/>
        <n v="1.1499999999999999"/>
        <n v="11.44"/>
        <n v="10.9"/>
        <n v="8.24"/>
        <n v="7.71"/>
        <n v="7.18"/>
        <n v="4.5199999999999996"/>
        <n v="4.26"/>
        <n v="3.46"/>
        <n v="12.03"/>
        <n v="8.5399999999999991"/>
        <n v="5.0599999999999996"/>
        <n v="4.43"/>
        <n v="3.48"/>
        <n v="2.85"/>
        <n v="18.239999999999998"/>
        <n v="10.81"/>
        <n v="8.7799999999999994"/>
        <n v="7.43"/>
        <n v="6.08"/>
        <n v="2.7"/>
        <n v="2.0299999999999998"/>
        <n v="1.35"/>
        <n v="11.48"/>
        <n v="4.8099999999999996"/>
        <n v="2.96"/>
        <n v="25.81"/>
        <n v="12.9"/>
        <n v="9.68"/>
        <n v="6.45"/>
        <n v="3.23"/>
        <n v="11.43"/>
        <n v="8.57"/>
        <n v="5.71"/>
        <n v="16.98"/>
        <n v="11.32"/>
        <n v="9.43"/>
        <n v="5.66"/>
        <n v="4.72"/>
        <n v="3.77"/>
        <n v="0.94"/>
        <n v="16.670000000000002"/>
        <n v="4.17"/>
        <n v="17.86"/>
        <n v="16.07"/>
        <n v="8.93"/>
        <n v="5.36"/>
        <n v="1.79"/>
        <n v="14.04"/>
        <n v="10.53"/>
        <n v="5.26"/>
        <n v="16.3"/>
        <n v="8.6999999999999993"/>
        <n v="7.61"/>
        <n v="14.47"/>
        <n v="7.24"/>
        <n v="6.58"/>
        <n v="5.92"/>
        <n v="4.6100000000000003"/>
        <n v="3.95"/>
        <n v="1.32"/>
        <n v="21.82"/>
        <n v="9.09"/>
        <n v="5.45"/>
        <n v="3.64"/>
        <n v="1.82"/>
        <n v="10.24"/>
        <n v="6.34"/>
        <n v="0.98"/>
        <n v="11.36"/>
        <n v="10.91"/>
        <n v="8.18"/>
        <n v="7.73"/>
        <n v="6.82"/>
        <n v="4.09"/>
        <n v="8.81"/>
        <n v="6.29"/>
        <n v="5.03"/>
        <n v="4.4000000000000004"/>
        <n v="34.69"/>
        <n v="14.29"/>
        <n v="10.199999999999999"/>
        <n v="6.12"/>
        <n v="4.08"/>
        <n v="2.04"/>
        <n v="13.46"/>
        <n v="10.26"/>
        <n v="6.41"/>
        <n v="5.77"/>
        <n v="4.49"/>
        <n v="12.8"/>
        <n v="12.01"/>
        <n v="8.86"/>
        <n v="8.27"/>
        <n v="7.48"/>
        <n v="2.36"/>
        <n v="1.57"/>
        <n v="1.18"/>
        <n v="11.7"/>
        <n v="10.64"/>
        <n v="9.57"/>
        <n v="6.38"/>
        <n v="5.32"/>
        <n v="3.19"/>
        <n v="25"/>
        <n v="11.22"/>
        <n v="3.9"/>
        <n v="7.5"/>
        <n v="1.25"/>
        <n v="9.4499999999999993"/>
        <n v="7.87"/>
        <n v="7.09"/>
        <n v="6.3"/>
        <n v="3.94"/>
        <n v="3.15"/>
        <n v="8.51"/>
        <n v="7.9"/>
        <n v="5.47"/>
        <n v="4.8600000000000003"/>
        <n v="3.04"/>
        <n v="2.4300000000000002"/>
        <n v="11.68"/>
        <n v="10.31"/>
        <n v="6.53"/>
        <n v="5.5"/>
        <n v="3.78"/>
        <n v="49.87"/>
        <n v="12.44"/>
        <n v="4.0199999999999996"/>
        <n v="2.76"/>
        <n v="1.01"/>
        <n v="0.75"/>
        <n v="0.63"/>
        <n v="0.5"/>
        <n v="47.53"/>
        <n v="6.28"/>
        <n v="4.93"/>
        <n v="0.9"/>
        <n v="0.45"/>
        <n v="13.02"/>
        <n v="7.86"/>
        <n v="7.13"/>
        <n v="5.16"/>
        <n v="4.91"/>
        <n v="4.42"/>
        <n v="3.93"/>
        <n v="10.68"/>
        <n v="9.39"/>
        <n v="9.06"/>
        <n v="8.09"/>
        <n v="6.15"/>
        <n v="5.83"/>
        <n v="4.53"/>
        <n v="3.56"/>
        <n v="2.91"/>
        <n v="0.97"/>
        <n v="10.77"/>
        <n v="4.62"/>
        <n v="22.75"/>
        <n v="10.59"/>
        <n v="8.56"/>
        <n v="5.86"/>
        <n v="3.83"/>
        <n v="2.48"/>
        <n v="0.68"/>
        <n v="17.16"/>
        <n v="9.6999999999999993"/>
        <n v="8.9600000000000009"/>
        <n v="8.2100000000000009"/>
        <n v="6.72"/>
        <n v="50.62"/>
        <n v="7.14"/>
        <n v="3.42"/>
        <n v="1.55"/>
        <n v="0.93"/>
        <n v="0.62"/>
        <n v="16.48"/>
        <n v="11.72"/>
        <n v="6.59"/>
        <n v="3.3"/>
        <n v="15.56"/>
        <n v="12.22"/>
        <n v="10"/>
        <n v="8.89"/>
        <n v="5.56"/>
        <n v="1.1100000000000001"/>
        <n v="9.52"/>
        <n v="6.06"/>
        <n v="0.87"/>
        <n v="13.33"/>
      </sharedItems>
    </cacheField>
    <cacheField name="総数（個人）" numFmtId="0" sqlType="4">
      <sharedItems containsSemiMixedTypes="0" containsString="0" containsNumber="1" containsInteger="1" minValue="0" maxValue="5478" count="150">
        <n v="5478"/>
        <n v="4819"/>
        <n v="2929"/>
        <n v="1204"/>
        <n v="1880"/>
        <n v="1675"/>
        <n v="1642"/>
        <n v="1494"/>
        <n v="1266"/>
        <n v="576"/>
        <n v="1682"/>
        <n v="916"/>
        <n v="1138"/>
        <n v="621"/>
        <n v="528"/>
        <n v="9"/>
        <n v="241"/>
        <n v="73"/>
        <n v="471"/>
        <n v="255"/>
        <n v="885"/>
        <n v="740"/>
        <n v="754"/>
        <n v="121"/>
        <n v="236"/>
        <n v="198"/>
        <n v="199"/>
        <n v="202"/>
        <n v="223"/>
        <n v="54"/>
        <n v="264"/>
        <n v="116"/>
        <n v="77"/>
        <n v="68"/>
        <n v="22"/>
        <n v="11"/>
        <n v="1"/>
        <n v="14"/>
        <n v="794"/>
        <n v="475"/>
        <n v="575"/>
        <n v="211"/>
        <n v="183"/>
        <n v="166"/>
        <n v="95"/>
        <n v="216"/>
        <n v="152"/>
        <n v="20"/>
        <n v="91"/>
        <n v="78"/>
        <n v="6"/>
        <n v="3"/>
        <n v="38"/>
        <n v="18"/>
        <n v="17"/>
        <n v="10"/>
        <n v="360"/>
        <n v="345"/>
        <n v="232"/>
        <n v="107"/>
        <n v="83"/>
        <n v="98"/>
        <n v="92"/>
        <n v="123"/>
        <n v="36"/>
        <n v="50"/>
        <n v="71"/>
        <n v="48"/>
        <n v="47"/>
        <n v="30"/>
        <n v="5"/>
        <n v="118"/>
        <n v="88"/>
        <n v="45"/>
        <n v="37"/>
        <n v="34"/>
        <n v="23"/>
        <n v="35"/>
        <n v="16"/>
        <n v="26"/>
        <n v="8"/>
        <n v="4"/>
        <n v="0"/>
        <n v="385"/>
        <n v="272"/>
        <n v="320"/>
        <n v="124"/>
        <n v="109"/>
        <n v="66"/>
        <n v="56"/>
        <n v="65"/>
        <n v="31"/>
        <n v="32"/>
        <n v="192"/>
        <n v="172"/>
        <n v="41"/>
        <n v="43"/>
        <n v="2"/>
        <n v="21"/>
        <n v="134"/>
        <n v="117"/>
        <n v="53"/>
        <n v="39"/>
        <n v="27"/>
        <n v="29"/>
        <n v="40"/>
        <n v="28"/>
        <n v="131"/>
        <n v="15"/>
        <n v="12"/>
        <n v="7"/>
        <n v="197"/>
        <n v="63"/>
        <n v="52"/>
        <n v="105"/>
        <n v="69"/>
        <n v="13"/>
        <n v="33"/>
        <n v="108"/>
        <n v="102"/>
        <n v="25"/>
        <n v="76"/>
        <n v="64"/>
        <n v="86"/>
        <n v="60"/>
        <n v="82"/>
        <n v="19"/>
        <n v="154"/>
        <n v="42"/>
        <n v="306"/>
        <n v="257"/>
        <n v="99"/>
        <n v="113"/>
        <n v="49"/>
        <n v="59"/>
        <n v="46"/>
        <n v="143"/>
        <n v="153"/>
        <n v="144"/>
        <n v="62"/>
        <n v="44"/>
        <n v="97"/>
        <n v="61"/>
        <n v="75"/>
        <n v="57"/>
        <n v="24"/>
        <n v="51"/>
        <n v="314"/>
        <n v="81"/>
        <n v="138"/>
      </sharedItems>
    </cacheField>
    <cacheField name="構成比（個人）" numFmtId="0" sqlType="3">
      <sharedItems containsSemiMixedTypes="0" containsString="0" containsNumber="1" minValue="0" maxValue="62.44" count="617">
        <n v="16.98"/>
        <n v="14.93"/>
        <n v="9.08"/>
        <n v="3.73"/>
        <n v="5.83"/>
        <n v="5.19"/>
        <n v="5.09"/>
        <n v="4.63"/>
        <n v="3.92"/>
        <n v="1.79"/>
        <n v="5.21"/>
        <n v="2.84"/>
        <n v="3.53"/>
        <n v="1.92"/>
        <n v="1.64"/>
        <n v="0.03"/>
        <n v="0.75"/>
        <n v="0.23"/>
        <n v="1.46"/>
        <n v="0.79"/>
        <n v="18.95"/>
        <n v="15.84"/>
        <n v="16.14"/>
        <n v="2.59"/>
        <n v="5.05"/>
        <n v="4.24"/>
        <n v="4.26"/>
        <n v="4.32"/>
        <n v="4.7699999999999996"/>
        <n v="1.1599999999999999"/>
        <n v="5.65"/>
        <n v="2.48"/>
        <n v="1.65"/>
        <n v="0.47"/>
        <n v="0.24"/>
        <n v="0.02"/>
        <n v="0.19"/>
        <n v="0.3"/>
        <n v="22.01"/>
        <n v="13.17"/>
        <n v="15.94"/>
        <n v="5.85"/>
        <n v="1.5"/>
        <n v="5.07"/>
        <n v="4.5999999999999996"/>
        <n v="2.63"/>
        <n v="5.99"/>
        <n v="4.21"/>
        <n v="0.55000000000000004"/>
        <n v="2.52"/>
        <n v="2.16"/>
        <n v="0.17"/>
        <n v="0.08"/>
        <n v="1.05"/>
        <n v="0.5"/>
        <n v="0.28000000000000003"/>
        <n v="16.34"/>
        <n v="15.66"/>
        <n v="10.53"/>
        <n v="4.8600000000000003"/>
        <n v="3.77"/>
        <n v="4.45"/>
        <n v="4.18"/>
        <n v="3.31"/>
        <n v="5.58"/>
        <n v="1.63"/>
        <n v="2.27"/>
        <n v="3.22"/>
        <n v="2.1800000000000002"/>
        <n v="0.14000000000000001"/>
        <n v="2.13"/>
        <n v="1.36"/>
        <n v="1.72"/>
        <n v="1"/>
        <n v="17.100000000000001"/>
        <n v="12.75"/>
        <n v="6.52"/>
        <n v="5.36"/>
        <n v="3.19"/>
        <n v="2.46"/>
        <n v="4.93"/>
        <n v="3.33"/>
        <n v="2.3199999999999998"/>
        <n v="0.43"/>
        <n v="0.72"/>
        <n v="0.57999999999999996"/>
        <n v="0"/>
        <n v="19.170000000000002"/>
        <n v="13.55"/>
        <n v="6.18"/>
        <n v="2.69"/>
        <n v="4.53"/>
        <n v="3.83"/>
        <n v="5.43"/>
        <n v="3.29"/>
        <n v="2.79"/>
        <n v="1.29"/>
        <n v="2.2400000000000002"/>
        <n v="3.24"/>
        <n v="1.54"/>
        <n v="0.05"/>
        <n v="1.59"/>
        <n v="0.45"/>
        <n v="0.4"/>
        <n v="20.96"/>
        <n v="18.78"/>
        <n v="12.88"/>
        <n v="2.4"/>
        <n v="4.4800000000000004"/>
        <n v="1.53"/>
        <n v="3.93"/>
        <n v="4.6900000000000004"/>
        <n v="3.28"/>
        <n v="0.22"/>
        <n v="2.29"/>
        <n v="1.97"/>
        <n v="0.66"/>
        <n v="0.33"/>
        <n v="0.44"/>
        <n v="18.260000000000002"/>
        <n v="7.22"/>
        <n v="5.31"/>
        <n v="5.86"/>
        <n v="3.68"/>
        <n v="3.95"/>
        <n v="5.45"/>
        <n v="5.04"/>
        <n v="3.81"/>
        <n v="4.22"/>
        <n v="0.82"/>
        <n v="1.0900000000000001"/>
        <n v="0.54"/>
        <n v="0.41"/>
        <n v="20.86"/>
        <n v="15.13"/>
        <n v="3.66"/>
        <n v="6.37"/>
        <n v="4.62"/>
        <n v="7.64"/>
        <n v="5.73"/>
        <n v="3.34"/>
        <n v="1.75"/>
        <n v="2.39"/>
        <n v="4.3"/>
        <n v="2.23"/>
        <n v="1.91"/>
        <n v="1.43"/>
        <n v="0.32"/>
        <n v="1.1100000000000001"/>
        <n v="0.64"/>
        <n v="0.96"/>
        <n v="20.309999999999999"/>
        <n v="18.87"/>
        <n v="6.49"/>
        <n v="3.09"/>
        <n v="5.46"/>
        <n v="4.6399999999999997"/>
        <n v="2.99"/>
        <n v="2.89"/>
        <n v="5.15"/>
        <n v="1.24"/>
        <n v="1.44"/>
        <n v="0.62"/>
        <n v="0.21"/>
        <n v="0.31"/>
        <n v="18.36"/>
        <n v="16.61"/>
        <n v="12.06"/>
        <n v="6.12"/>
        <n v="5.24"/>
        <n v="5.59"/>
        <n v="5.77"/>
        <n v="3.85"/>
        <n v="2.1"/>
        <n v="1.22"/>
        <n v="0.7"/>
        <n v="1.4"/>
        <n v="0.35"/>
        <n v="16.82"/>
        <n v="15.89"/>
        <n v="8.1"/>
        <n v="4.67"/>
        <n v="6.23"/>
        <n v="4.5199999999999996"/>
        <n v="5.14"/>
        <n v="3.58"/>
        <n v="5.61"/>
        <n v="1.25"/>
        <n v="3.89"/>
        <n v="1.56"/>
        <n v="0.16"/>
        <n v="0.78"/>
        <n v="18.86"/>
        <n v="15.88"/>
        <n v="5.71"/>
        <n v="7.2"/>
        <n v="6.2"/>
        <n v="4.96"/>
        <n v="2.73"/>
        <n v="3.47"/>
        <n v="1.49"/>
        <n v="1.74"/>
        <n v="19.5"/>
        <n v="13.61"/>
        <n v="5.67"/>
        <n v="8.39"/>
        <n v="8.16"/>
        <n v="6.58"/>
        <n v="3.4"/>
        <n v="2.04"/>
        <n v="2.72"/>
        <n v="1.1299999999999999"/>
        <n v="0.68"/>
        <n v="0.91"/>
        <n v="15.59"/>
        <n v="15.45"/>
        <n v="4.43"/>
        <n v="11.73"/>
        <n v="4.29"/>
        <n v="1.57"/>
        <n v="5.01"/>
        <n v="2.4300000000000002"/>
        <n v="3.86"/>
        <n v="6.72"/>
        <n v="3.72"/>
        <n v="2.58"/>
        <n v="0.28999999999999998"/>
        <n v="0.86"/>
        <n v="2"/>
        <n v="17.23"/>
        <n v="13.87"/>
        <n v="8.7200000000000006"/>
        <n v="9.17"/>
        <n v="4.47"/>
        <n v="4.8099999999999996"/>
        <n v="6.26"/>
        <n v="4.7"/>
        <n v="3.13"/>
        <n v="1.23"/>
        <n v="3.02"/>
        <n v="1.68"/>
        <n v="1.34"/>
        <n v="0.11"/>
        <n v="1.1200000000000001"/>
        <n v="18.84"/>
        <n v="15.83"/>
        <n v="4.0599999999999996"/>
        <n v="6.1"/>
        <n v="6.96"/>
        <n v="6.65"/>
        <n v="3.63"/>
        <n v="2.77"/>
        <n v="4.25"/>
        <n v="1.85"/>
        <n v="2.83"/>
        <n v="0.92"/>
        <n v="0.8"/>
        <n v="15.8"/>
        <n v="16.91"/>
        <n v="15.91"/>
        <n v="6.19"/>
        <n v="2.98"/>
        <n v="5.3"/>
        <n v="3.76"/>
        <n v="3.87"/>
        <n v="1.99"/>
        <n v="1.66"/>
        <n v="1.1000000000000001"/>
        <n v="1.77"/>
        <n v="8.06"/>
        <n v="15.9"/>
        <n v="14.29"/>
        <n v="3.69"/>
        <n v="4.6100000000000003"/>
        <n v="3.23"/>
        <n v="2.5299999999999998"/>
        <n v="4.1500000000000004"/>
        <n v="2.76"/>
        <n v="0.46"/>
        <n v="1.84"/>
        <n v="1.61"/>
        <n v="0.69"/>
        <n v="18.649999999999999"/>
        <n v="3.8"/>
        <n v="8.3800000000000008"/>
        <n v="5.44"/>
        <n v="5.27"/>
        <n v="6.48"/>
        <n v="6.13"/>
        <n v="1.81"/>
        <n v="6.3"/>
        <n v="3.37"/>
        <n v="1.38"/>
        <n v="2.25"/>
        <n v="0.52"/>
        <n v="0.26"/>
        <n v="10.85"/>
        <n v="13.18"/>
        <n v="7.75"/>
        <n v="4.6500000000000004"/>
        <n v="6.98"/>
        <n v="3.1"/>
        <n v="3.88"/>
        <n v="1.55"/>
        <n v="2.33"/>
        <n v="11.29"/>
        <n v="14.52"/>
        <n v="9.68"/>
        <n v="6.45"/>
        <n v="28.95"/>
        <n v="15.79"/>
        <n v="7.89"/>
        <n v="5.26"/>
        <n v="16.670000000000002"/>
        <n v="8.33"/>
        <n v="12.5"/>
        <n v="4.17"/>
        <n v="9.52"/>
        <n v="28.57"/>
        <n v="4.76"/>
        <n v="10.71"/>
        <n v="14.8"/>
        <n v="10.199999999999999"/>
        <n v="8.67"/>
        <n v="9.18"/>
        <n v="3.57"/>
        <n v="4.08"/>
        <n v="3.06"/>
        <n v="4.59"/>
        <n v="1.02"/>
        <n v="0.51"/>
        <n v="29.8"/>
        <n v="14.04"/>
        <n v="8.3699999999999992"/>
        <n v="3.2"/>
        <n v="1.48"/>
        <n v="0.49"/>
        <n v="2.96"/>
        <n v="2.71"/>
        <n v="4.1900000000000004"/>
        <n v="0.99"/>
        <n v="0.74"/>
        <n v="24.86"/>
        <n v="14.12"/>
        <n v="7.34"/>
        <n v="6.21"/>
        <n v="5.08"/>
        <n v="2.2599999999999998"/>
        <n v="2.82"/>
        <n v="1.69"/>
        <n v="0.56000000000000005"/>
        <n v="20.77"/>
        <n v="13.08"/>
        <n v="9.23"/>
        <n v="6.15"/>
        <n v="2.31"/>
        <n v="3.08"/>
        <n v="0.77"/>
        <n v="9.09"/>
        <n v="11.36"/>
        <n v="6.82"/>
        <n v="4.55"/>
        <n v="3.41"/>
        <n v="1.1399999999999999"/>
        <n v="25.81"/>
        <n v="15.48"/>
        <n v="7.74"/>
        <n v="1.94"/>
        <n v="0.65"/>
        <n v="19.23"/>
        <n v="16.86"/>
        <n v="3.25"/>
        <n v="7.69"/>
        <n v="4.4400000000000004"/>
        <n v="6.8"/>
        <n v="2.66"/>
        <n v="1.78"/>
        <n v="1.18"/>
        <n v="2.37"/>
        <n v="2.0699999999999998"/>
        <n v="0.59"/>
        <n v="0.89"/>
        <n v="6.29"/>
        <n v="12.58"/>
        <n v="11.32"/>
        <n v="6.92"/>
        <n v="1.89"/>
        <n v="0.63"/>
        <n v="1.26"/>
        <n v="3.14"/>
        <n v="26.29"/>
        <n v="8.25"/>
        <n v="10.31"/>
        <n v="2.06"/>
        <n v="3.61"/>
        <n v="15.69"/>
        <n v="14.46"/>
        <n v="8"/>
        <n v="4"/>
        <n v="5.23"/>
        <n v="4.92"/>
        <n v="5.54"/>
        <n v="2.15"/>
        <n v="13.29"/>
        <n v="12.24"/>
        <n v="5.94"/>
        <n v="6.64"/>
        <n v="2.8"/>
        <n v="16.96"/>
        <n v="8.19"/>
        <n v="14.62"/>
        <n v="4.68"/>
        <n v="7.6"/>
        <n v="3.51"/>
        <n v="2.92"/>
        <n v="2.34"/>
        <n v="1.17"/>
        <n v="24.82"/>
        <n v="10.64"/>
        <n v="7.09"/>
        <n v="1.42"/>
        <n v="7.8"/>
        <n v="0.71"/>
        <n v="5.33"/>
        <n v="13.33"/>
        <n v="12"/>
        <n v="9.33"/>
        <n v="6.67"/>
        <n v="1.33"/>
        <n v="2.67"/>
        <n v="18.13"/>
        <n v="8.77"/>
        <n v="4.09"/>
        <n v="7.02"/>
        <n v="17.649999999999999"/>
        <n v="4.9800000000000004"/>
        <n v="9.5"/>
        <n v="4.07"/>
        <n v="6.79"/>
        <n v="0.9"/>
        <n v="3.17"/>
        <n v="18.670000000000002"/>
        <n v="18"/>
        <n v="0.67"/>
        <n v="13.27"/>
        <n v="11.22"/>
        <n v="8.24"/>
        <n v="10.59"/>
        <n v="7.65"/>
        <n v="10"/>
        <n v="6.47"/>
        <n v="2.94"/>
        <n v="2.35"/>
        <n v="1.76"/>
        <n v="44.44"/>
        <n v="11.11"/>
        <n v="5.56"/>
        <n v="13.04"/>
        <n v="17.39"/>
        <n v="4.3499999999999996"/>
        <n v="8.6999999999999993"/>
        <n v="14.86"/>
        <n v="12.16"/>
        <n v="8.11"/>
        <n v="6.76"/>
        <n v="4.05"/>
        <n v="2.7"/>
        <n v="5.41"/>
        <n v="1.35"/>
        <n v="25"/>
        <n v="6.25"/>
        <n v="19.350000000000001"/>
        <n v="16.13"/>
        <n v="18.420000000000002"/>
        <n v="13.16"/>
        <n v="18.25"/>
        <n v="10.32"/>
        <n v="6.35"/>
        <n v="7.94"/>
        <n v="3.97"/>
        <n v="2.38"/>
        <n v="11.63"/>
        <n v="16.28"/>
        <n v="12.79"/>
        <n v="10.47"/>
        <n v="8.14"/>
        <n v="5.81"/>
        <n v="3.49"/>
        <n v="26.32"/>
        <n v="13.64"/>
        <n v="9.85"/>
        <n v="7.58"/>
        <n v="0.76"/>
        <n v="3.03"/>
        <n v="3.79"/>
        <n v="1.52"/>
        <n v="13.73"/>
        <n v="9.15"/>
        <n v="3.27"/>
        <n v="9.8000000000000007"/>
        <n v="7.84"/>
        <n v="8.5"/>
        <n v="5.88"/>
        <n v="6.54"/>
        <n v="1.31"/>
        <n v="1.96"/>
        <n v="2.61"/>
        <n v="8.73"/>
        <n v="58.33"/>
        <n v="7.45"/>
        <n v="17.02"/>
        <n v="9.57"/>
        <n v="8.51"/>
        <n v="5.32"/>
        <n v="6.38"/>
        <n v="1.06"/>
        <n v="17.11"/>
        <n v="9.5399999999999991"/>
        <n v="8.8800000000000008"/>
        <n v="11.84"/>
        <n v="4.28"/>
        <n v="2.2999999999999998"/>
        <n v="1.32"/>
        <n v="17.739999999999998"/>
        <n v="12.9"/>
        <n v="4.84"/>
        <n v="24.39"/>
        <n v="14.63"/>
        <n v="9.76"/>
        <n v="7.32"/>
        <n v="4.88"/>
        <n v="2.44"/>
        <n v="6.31"/>
        <n v="13.51"/>
        <n v="15.32"/>
        <n v="12.61"/>
        <n v="7.21"/>
        <n v="1.8"/>
        <n v="4.5"/>
        <n v="11.54"/>
        <n v="14.44"/>
        <n v="7.78"/>
        <n v="8.89"/>
        <n v="2.2200000000000002"/>
        <n v="13.24"/>
        <n v="7.31"/>
        <n v="9.1300000000000008"/>
        <n v="4.57"/>
        <n v="8.2200000000000006"/>
        <n v="6.39"/>
        <n v="5.0199999999999996"/>
        <n v="3.65"/>
        <n v="1.37"/>
        <n v="2.2799999999999998"/>
        <n v="1.83"/>
        <n v="12.11"/>
        <n v="8.42"/>
        <n v="3.16"/>
        <n v="4.74"/>
        <n v="5.79"/>
        <n v="2.11"/>
        <n v="0.53"/>
        <n v="1.58"/>
        <n v="58.58"/>
        <n v="15.11"/>
        <n v="5.22"/>
        <n v="1.87"/>
        <n v="0.37"/>
        <n v="55.1"/>
        <n v="10.14"/>
        <n v="12.44"/>
        <n v="11.52"/>
        <n v="16.04"/>
        <n v="12.83"/>
        <n v="6.42"/>
        <n v="8.56"/>
        <n v="5.35"/>
        <n v="1.07"/>
        <n v="3.74"/>
        <n v="2.14"/>
        <n v="3.21"/>
        <n v="14.81"/>
        <n v="12.96"/>
        <n v="7.41"/>
        <n v="3.7"/>
        <n v="0.93"/>
        <n v="2.78"/>
        <n v="10.050000000000001"/>
        <n v="20.09"/>
        <n v="14.61"/>
        <n v="4.1100000000000003"/>
        <n v="9.2100000000000009"/>
        <n v="14.47"/>
        <n v="62.44"/>
        <n v="15.38"/>
        <n v="3.62"/>
        <n v="22.5"/>
        <n v="15"/>
        <n v="8.75"/>
        <n v="6.88"/>
        <n v="4.38"/>
        <n v="3.75"/>
        <n v="2.5"/>
        <n v="1.88"/>
        <n v="8.82"/>
        <n v="7.35"/>
        <n v="14.71"/>
        <n v="10.29"/>
        <n v="8.09"/>
        <n v="6.62"/>
        <n v="1.47"/>
        <n v="4.41"/>
        <n v="2.21"/>
        <n v="18.18"/>
        <n v="6.06"/>
        <n v="15.15"/>
        <n v="12.12"/>
      </sharedItems>
    </cacheField>
    <cacheField name="総数（法人）" numFmtId="0" sqlType="4">
      <sharedItems containsSemiMixedTypes="0" containsString="0" containsNumber="1" containsInteger="1" minValue="0" maxValue="2974" count="140">
        <n v="1084"/>
        <n v="851"/>
        <n v="1896"/>
        <n v="2974"/>
        <n v="2144"/>
        <n v="1279"/>
        <n v="1017"/>
        <n v="705"/>
        <n v="575"/>
        <n v="1328"/>
        <n v="162"/>
        <n v="908"/>
        <n v="444"/>
        <n v="759"/>
        <n v="767"/>
        <n v="658"/>
        <n v="604"/>
        <n v="753"/>
        <n v="276"/>
        <n v="441"/>
        <n v="528"/>
        <n v="211"/>
        <n v="184"/>
        <n v="487"/>
        <n v="369"/>
        <n v="292"/>
        <n v="149"/>
        <n v="118"/>
        <n v="113"/>
        <n v="274"/>
        <n v="37"/>
        <n v="170"/>
        <n v="177"/>
        <n v="160"/>
        <n v="146"/>
        <n v="153"/>
        <n v="148"/>
        <n v="130"/>
        <n v="105"/>
        <n v="114"/>
        <n v="133"/>
        <n v="313"/>
        <n v="141"/>
        <n v="254"/>
        <n v="275"/>
        <n v="85"/>
        <n v="111"/>
        <n v="18"/>
        <n v="71"/>
        <n v="190"/>
        <n v="173"/>
        <n v="67"/>
        <n v="104"/>
        <n v="93"/>
        <n v="89"/>
        <n v="87"/>
        <n v="80"/>
        <n v="51"/>
        <n v="145"/>
        <n v="196"/>
        <n v="77"/>
        <n v="60"/>
        <n v="79"/>
        <n v="13"/>
        <n v="92"/>
        <n v="29"/>
        <n v="76"/>
        <n v="35"/>
        <n v="50"/>
        <n v="81"/>
        <n v="52"/>
        <n v="25"/>
        <n v="38"/>
        <n v="54"/>
        <n v="17"/>
        <n v="57"/>
        <n v="58"/>
        <n v="56"/>
        <n v="39"/>
        <n v="24"/>
        <n v="34"/>
        <n v="31"/>
        <n v="15"/>
        <n v="3"/>
        <n v="20"/>
        <n v="19"/>
        <n v="9"/>
        <n v="30"/>
        <n v="27"/>
        <n v="115"/>
        <n v="129"/>
        <n v="64"/>
        <n v="47"/>
        <n v="8"/>
        <n v="23"/>
        <n v="53"/>
        <n v="74"/>
        <n v="48"/>
        <n v="28"/>
        <n v="26"/>
        <n v="68"/>
        <n v="82"/>
        <n v="44"/>
        <n v="21"/>
        <n v="16"/>
        <n v="59"/>
        <n v="61"/>
        <n v="22"/>
        <n v="5"/>
        <n v="6"/>
        <n v="7"/>
        <n v="4"/>
        <n v="12"/>
        <n v="46"/>
        <n v="33"/>
        <n v="73"/>
        <n v="102"/>
        <n v="41"/>
        <n v="32"/>
        <n v="42"/>
        <n v="10"/>
        <n v="14"/>
        <n v="11"/>
        <n v="65"/>
        <n v="62"/>
        <n v="1"/>
        <n v="43"/>
        <n v="2"/>
        <n v="0"/>
        <n v="97"/>
        <n v="36"/>
        <n v="78"/>
        <n v="159"/>
        <n v="107"/>
        <n v="75"/>
        <n v="45"/>
        <n v="131"/>
        <n v="69"/>
        <n v="49"/>
        <n v="83"/>
      </sharedItems>
    </cacheField>
    <cacheField name="構成比（法人）" numFmtId="0" sqlType="3">
      <sharedItems containsSemiMixedTypes="0" containsString="0" containsNumber="1" minValue="0" maxValue="80" count="509">
        <n v="3.8"/>
        <n v="2.99"/>
        <n v="6.65"/>
        <n v="10.44"/>
        <n v="7.52"/>
        <n v="4.49"/>
        <n v="3.57"/>
        <n v="2.4700000000000002"/>
        <n v="2.02"/>
        <n v="4.66"/>
        <n v="0.56999999999999995"/>
        <n v="3.19"/>
        <n v="1.56"/>
        <n v="2.66"/>
        <n v="2.69"/>
        <n v="2.31"/>
        <n v="2.12"/>
        <n v="2.64"/>
        <n v="0.97"/>
        <n v="1.55"/>
        <n v="9.83"/>
        <n v="3.93"/>
        <n v="3.42"/>
        <n v="9.06"/>
        <n v="6.87"/>
        <n v="5.43"/>
        <n v="2.77"/>
        <n v="2.2000000000000002"/>
        <n v="2.1"/>
        <n v="5.0999999999999996"/>
        <n v="0.69"/>
        <n v="3.16"/>
        <n v="3.29"/>
        <n v="2.98"/>
        <n v="2.72"/>
        <n v="2.85"/>
        <n v="2.75"/>
        <n v="2.42"/>
        <n v="1.95"/>
        <n v="3.66"/>
        <n v="8.6199999999999992"/>
        <n v="3.89"/>
        <n v="7"/>
        <n v="7.58"/>
        <n v="2.34"/>
        <n v="3.06"/>
        <n v="4.46"/>
        <n v="0.5"/>
        <n v="1.96"/>
        <n v="5.24"/>
        <n v="2.89"/>
        <n v="3.11"/>
        <n v="4.7699999999999996"/>
        <n v="1.85"/>
        <n v="2.87"/>
        <n v="2.56"/>
        <n v="2.4500000000000002"/>
        <n v="2.4"/>
        <n v="3.45"/>
        <n v="2.48"/>
        <n v="7.06"/>
        <n v="8.61"/>
        <n v="9.5399999999999991"/>
        <n v="3.75"/>
        <n v="2.92"/>
        <n v="3.84"/>
        <n v="0.63"/>
        <n v="4.4800000000000004"/>
        <n v="1.41"/>
        <n v="3.7"/>
        <n v="1.7"/>
        <n v="2.4300000000000002"/>
        <n v="3.94"/>
        <n v="1.8"/>
        <n v="2.5299999999999998"/>
        <n v="1.22"/>
        <n v="2.63"/>
        <n v="2.0699999999999998"/>
        <n v="3.04"/>
        <n v="6.93"/>
        <n v="6.08"/>
        <n v="6.81"/>
        <n v="4.74"/>
        <n v="4.1399999999999997"/>
        <n v="3.77"/>
        <n v="1.82"/>
        <n v="0.36"/>
        <n v="1.0900000000000001"/>
        <n v="3.65"/>
        <n v="3.28"/>
        <n v="5.84"/>
        <n v="7.44"/>
        <n v="2.62"/>
        <n v="7.71"/>
        <n v="8.65"/>
        <n v="4.29"/>
        <n v="3.15"/>
        <n v="0.54"/>
        <n v="1.54"/>
        <n v="3.55"/>
        <n v="4.96"/>
        <n v="3.22"/>
        <n v="1.88"/>
        <n v="2.5499999999999998"/>
        <n v="1.01"/>
        <n v="2.0099999999999998"/>
        <n v="1.74"/>
        <n v="7.08"/>
        <n v="3.85"/>
        <n v="3.02"/>
        <n v="8.5399999999999991"/>
        <n v="5.21"/>
        <n v="4.0599999999999996"/>
        <n v="5.31"/>
        <n v="1.98"/>
        <n v="1.77"/>
        <n v="0.94"/>
        <n v="4.58"/>
        <n v="2.19"/>
        <n v="2.81"/>
        <n v="3.54"/>
        <n v="2.6"/>
        <n v="2.97"/>
        <n v="2.5"/>
        <n v="7.98"/>
        <n v="9.23"/>
        <n v="9.5500000000000007"/>
        <n v="4.6900000000000004"/>
        <n v="3.44"/>
        <n v="3.6"/>
        <n v="5.95"/>
        <n v="0.47"/>
        <n v="0.78"/>
        <n v="3.13"/>
        <n v="2.35"/>
        <n v="1.1000000000000001"/>
        <n v="3.09"/>
        <n v="10.81"/>
        <n v="7.14"/>
        <n v="8.49"/>
        <n v="3.67"/>
        <n v="4.4400000000000004"/>
        <n v="0.77"/>
        <n v="1.35"/>
        <n v="2.3199999999999998"/>
        <n v="2.9"/>
        <n v="5.05"/>
        <n v="3.62"/>
        <n v="8.01"/>
        <n v="11.2"/>
        <n v="4.5"/>
        <n v="4.17"/>
        <n v="1.87"/>
        <n v="3.51"/>
        <n v="4.6100000000000003"/>
        <n v="0.99"/>
        <n v="1.32"/>
        <n v="2.41"/>
        <n v="1.76"/>
        <n v="5.2"/>
        <n v="3.39"/>
        <n v="7.69"/>
        <n v="5.88"/>
        <n v="4.5199999999999996"/>
        <n v="7.92"/>
        <n v="1.81"/>
        <n v="0.9"/>
        <n v="4.75"/>
        <n v="1.36"/>
        <n v="3.17"/>
        <n v="2.04"/>
        <n v="1.1299999999999999"/>
        <n v="2.4900000000000002"/>
        <n v="2.94"/>
        <n v="2.2599999999999998"/>
        <n v="2"/>
        <n v="11.8"/>
        <n v="11.25"/>
        <n v="5.44"/>
        <n v="4.54"/>
        <n v="6.35"/>
        <n v="3.81"/>
        <n v="0.18"/>
        <n v="3.27"/>
        <n v="1.63"/>
        <n v="6.77"/>
        <n v="2.46"/>
        <n v="13.23"/>
        <n v="8.31"/>
        <n v="5.85"/>
        <n v="4.92"/>
        <n v="3.38"/>
        <n v="4.3099999999999996"/>
        <n v="3.08"/>
        <n v="0.62"/>
        <n v="2.15"/>
        <n v="0.92"/>
        <n v="4.1100000000000003"/>
        <n v="11.3"/>
        <n v="6.16"/>
        <n v="9.59"/>
        <n v="4.79"/>
        <n v="5.82"/>
        <n v="6.51"/>
        <n v="1.71"/>
        <n v="2.0499999999999998"/>
        <n v="0.68"/>
        <n v="0"/>
        <n v="2.74"/>
        <n v="1.37"/>
        <n v="4.47"/>
        <n v="10.57"/>
        <n v="5.01"/>
        <n v="5.56"/>
        <n v="6.32"/>
        <n v="3.49"/>
        <n v="3.92"/>
        <n v="2.29"/>
        <n v="0.44"/>
        <n v="2.83"/>
        <n v="1.2"/>
        <n v="3.14"/>
        <n v="3.76"/>
        <n v="7.03"/>
        <n v="4.8899999999999997"/>
        <n v="9.7899999999999991"/>
        <n v="2.38"/>
        <n v="4.2699999999999996"/>
        <n v="5.27"/>
        <n v="1.25"/>
        <n v="2.13"/>
        <n v="13.43"/>
        <n v="9.0399999999999991"/>
        <n v="4.5599999999999996"/>
        <n v="3.46"/>
        <n v="6.25"/>
        <n v="0.93"/>
        <n v="4.22"/>
        <n v="2.36"/>
        <n v="1.94"/>
        <n v="1.44"/>
        <n v="3.97"/>
        <n v="3.12"/>
        <n v="8.2200000000000006"/>
        <n v="10.62"/>
        <n v="5.38"/>
        <n v="3.68"/>
        <n v="1.42"/>
        <n v="4.82"/>
        <n v="2.27"/>
        <n v="3.4"/>
        <n v="0.71"/>
        <n v="13.64"/>
        <n v="1.21"/>
        <n v="6.06"/>
        <n v="6.36"/>
        <n v="4.8499999999999996"/>
        <n v="3.03"/>
        <n v="3.64"/>
        <n v="0.61"/>
        <n v="4.55"/>
        <n v="1.52"/>
        <n v="3.63"/>
        <n v="12.87"/>
        <n v="7.56"/>
        <n v="5.8"/>
        <n v="3.34"/>
        <n v="4.13"/>
        <n v="6.78"/>
        <n v="1.57"/>
        <n v="1.38"/>
        <n v="0.98"/>
        <n v="0.79"/>
        <n v="2.06"/>
        <n v="14"/>
        <n v="4"/>
        <n v="12"/>
        <n v="8"/>
        <n v="6"/>
        <n v="22.22"/>
        <n v="15.56"/>
        <n v="11.11"/>
        <n v="2.2200000000000002"/>
        <n v="6.67"/>
        <n v="7.41"/>
        <n v="21.43"/>
        <n v="14.29"/>
        <n v="80"/>
        <n v="20"/>
        <n v="18.75"/>
        <n v="1.79"/>
        <n v="0.89"/>
        <n v="2.68"/>
        <n v="6.44"/>
        <n v="8.59"/>
        <n v="8.9"/>
        <n v="9.0500000000000007"/>
        <n v="10.28"/>
        <n v="8.74"/>
        <n v="1.53"/>
        <n v="2.91"/>
        <n v="2.2999999999999998"/>
        <n v="0.46"/>
        <n v="1.23"/>
        <n v="1.84"/>
        <n v="4.08"/>
        <n v="15.65"/>
        <n v="10.199999999999999"/>
        <n v="4.76"/>
        <n v="12.79"/>
        <n v="4.6500000000000004"/>
        <n v="9.3000000000000007"/>
        <n v="8.14"/>
        <n v="2.33"/>
        <n v="1.1599999999999999"/>
        <n v="12.9"/>
        <n v="3.23"/>
        <n v="6.45"/>
        <n v="9.68"/>
        <n v="5.71"/>
        <n v="15.71"/>
        <n v="1.43"/>
        <n v="10"/>
        <n v="2.86"/>
        <n v="3.69"/>
        <n v="9.9600000000000009"/>
        <n v="7.75"/>
        <n v="2.95"/>
        <n v="5.17"/>
        <n v="2.58"/>
        <n v="3.32"/>
        <n v="4.43"/>
        <n v="0.74"/>
        <n v="1.48"/>
        <n v="0.37"/>
        <n v="2.21"/>
        <n v="13.88"/>
        <n v="3.35"/>
        <n v="1.91"/>
        <n v="6.22"/>
        <n v="3.83"/>
        <n v="2.39"/>
        <n v="0.96"/>
        <n v="7.84"/>
        <n v="16.670000000000002"/>
        <n v="4.9000000000000004"/>
        <n v="1.24"/>
        <n v="8.26"/>
        <n v="12.4"/>
        <n v="6.2"/>
        <n v="3.31"/>
        <n v="5.79"/>
        <n v="3.72"/>
        <n v="1.65"/>
        <n v="5.35"/>
        <n v="3.01"/>
        <n v="10.37"/>
        <n v="7.02"/>
        <n v="5.69"/>
        <n v="4.3499999999999996"/>
        <n v="5.0199999999999996"/>
        <n v="1.67"/>
        <n v="1"/>
        <n v="1.04"/>
        <n v="7.29"/>
        <n v="2.08"/>
        <n v="9.8000000000000007"/>
        <n v="5.23"/>
        <n v="1.31"/>
        <n v="2.61"/>
        <n v="0.65"/>
        <n v="23.81"/>
        <n v="11.9"/>
        <n v="5.68"/>
        <n v="12.5"/>
        <n v="6.82"/>
        <n v="3.41"/>
        <n v="1.1399999999999999"/>
        <n v="13.07"/>
        <n v="10.46"/>
        <n v="7.19"/>
        <n v="6.37"/>
        <n v="12.1"/>
        <n v="3.18"/>
        <n v="3.82"/>
        <n v="1.27"/>
        <n v="0.64"/>
        <n v="36.96"/>
        <n v="6.52"/>
        <n v="10.87"/>
        <n v="2.17"/>
        <n v="7.37"/>
        <n v="15.79"/>
        <n v="8.42"/>
        <n v="5.26"/>
        <n v="1.05"/>
        <n v="2.11"/>
        <n v="4.21"/>
        <n v="18.18"/>
        <n v="27.27"/>
        <n v="9.09"/>
        <n v="25.93"/>
        <n v="47.06"/>
        <n v="11.76"/>
        <n v="17.649999999999999"/>
        <n v="12.73"/>
        <n v="16.36"/>
        <n v="7.27"/>
        <n v="10.91"/>
        <n v="8.33"/>
        <n v="5"/>
        <n v="3.33"/>
        <n v="7.46"/>
        <n v="10.45"/>
        <n v="1.49"/>
        <n v="6.15"/>
        <n v="15.38"/>
        <n v="24.62"/>
        <n v="4.62"/>
        <n v="29.03"/>
        <n v="13.04"/>
        <n v="21.74"/>
        <n v="8.6999999999999993"/>
        <n v="25"/>
        <n v="5.36"/>
        <n v="6.6"/>
        <n v="14.72"/>
        <n v="8.1199999999999992"/>
        <n v="7.61"/>
        <n v="5.58"/>
        <n v="1.02"/>
        <n v="3.05"/>
        <n v="2.54"/>
        <n v="2.0299999999999998"/>
        <n v="0.51"/>
        <n v="29.63"/>
        <n v="14.81"/>
        <n v="31.25"/>
        <n v="17.579999999999998"/>
        <n v="8.7899999999999991"/>
        <n v="3.3"/>
        <n v="6.59"/>
        <n v="16"/>
        <n v="13.33"/>
        <n v="12.75"/>
        <n v="14.71"/>
        <n v="19.59"/>
        <n v="6.19"/>
        <n v="4.12"/>
        <n v="8.25"/>
        <n v="7.22"/>
        <n v="1.03"/>
        <n v="32.94"/>
        <n v="5.16"/>
        <n v="7.54"/>
        <n v="7.94"/>
        <n v="2.78"/>
        <n v="1.59"/>
        <n v="0.4"/>
        <n v="34.78"/>
        <n v="7.25"/>
        <n v="10.14"/>
        <n v="1.45"/>
        <n v="16.760000000000002"/>
        <n v="2.7"/>
        <n v="4.32"/>
        <n v="2.16"/>
        <n v="8.11"/>
        <n v="6.49"/>
        <n v="4.8600000000000003"/>
        <n v="3.24"/>
        <n v="1.08"/>
        <n v="1.62"/>
        <n v="2.59"/>
        <n v="10.34"/>
        <n v="11.21"/>
        <n v="6.9"/>
        <n v="1.72"/>
        <n v="0.86"/>
        <n v="6.03"/>
        <n v="17.72"/>
        <n v="5.0599999999999996"/>
        <n v="6.33"/>
        <n v="11.39"/>
        <n v="7.59"/>
        <n v="36.97"/>
        <n v="8.5299999999999994"/>
        <n v="2.84"/>
        <n v="9.48"/>
        <n v="2.37"/>
        <n v="1.9"/>
        <n v="0.95"/>
        <n v="5.66"/>
        <n v="22.64"/>
        <n v="7.55"/>
        <n v="13.21"/>
        <n v="1.89"/>
        <n v="27.47"/>
        <n v="16.48"/>
        <n v="4.4000000000000004"/>
        <n v="21.7"/>
        <n v="4.72"/>
        <n v="39.29"/>
        <n v="10.71"/>
        <n v="21.84"/>
        <n v="13.79"/>
        <n v="4.5999999999999996"/>
        <n v="1.1499999999999999"/>
        <n v="23.08"/>
      </sharedItems>
    </cacheField>
    <cacheField name="総数（法人以外の団体）" numFmtId="0" sqlType="4">
      <sharedItems containsSemiMixedTypes="0" containsString="0" containsNumber="1" containsInteger="1" minValue="0" maxValue="20" count="9">
        <n v="1"/>
        <n v="3"/>
        <n v="6"/>
        <n v="0"/>
        <n v="2"/>
        <n v="20"/>
        <n v="17"/>
        <n v="5"/>
        <n v="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4081597221" createdVersion="5" refreshedVersion="8" minRefreshableVersion="3" recordCount="2011" xr:uid="{346A472C-FAB9-408C-B34B-10C2B3F68C06}">
  <cacheSource type="external" connectionId="3"/>
  <cacheFields count="14">
    <cacheField name="都道府県" numFmtId="0" sqlType="-9">
      <sharedItems count="1">
        <s v="20 長野県"/>
      </sharedItems>
    </cacheField>
    <cacheField name="自治体名" numFmtId="0" sqlType="-9">
      <sharedItems count="78">
        <s v="長野県"/>
        <s v="長野市"/>
        <s v="松本市"/>
        <s v="上田市"/>
        <s v="岡谷市"/>
        <s v="飯田市"/>
        <s v="諏訪市"/>
        <s v="須坂市"/>
        <s v="小諸市"/>
        <s v="伊那市"/>
        <s v="駒ヶ根市"/>
        <s v="中野市"/>
        <s v="大町市"/>
        <s v="飯山市"/>
        <s v="茅野市"/>
        <s v="塩尻市"/>
        <s v="佐久市"/>
        <s v="千曲市"/>
        <s v="東御市"/>
        <s v="安曇野市"/>
        <s v="南佐久郡小海町"/>
        <s v="南佐久郡川上村"/>
        <s v="南佐久郡南牧村"/>
        <s v="南佐久郡南相木村"/>
        <s v="南佐久郡北相木村"/>
        <s v="南佐久郡佐久穂町"/>
        <s v="北佐久郡軽井沢町"/>
        <s v="北佐久郡御代田町"/>
        <s v="北佐久郡立科町"/>
        <s v="小県郡青木村"/>
        <s v="小県郡長和町"/>
        <s v="諏訪郡下諏訪町"/>
        <s v="諏訪郡富士見町"/>
        <s v="諏訪郡原村"/>
        <s v="上伊那郡辰野町"/>
        <s v="上伊那郡箕輪町"/>
        <s v="上伊那郡飯島町"/>
        <s v="上伊那郡南箕輪村"/>
        <s v="上伊那郡中川村"/>
        <s v="上伊那郡宮田村"/>
        <s v="下伊那郡松川町"/>
        <s v="下伊那郡高森町"/>
        <s v="下伊那郡阿南町"/>
        <s v="下伊那郡阿智村"/>
        <s v="下伊那郡平谷村"/>
        <s v="下伊那郡根羽村"/>
        <s v="下伊那郡下條村"/>
        <s v="下伊那郡売木村"/>
        <s v="下伊那郡天龍村"/>
        <s v="下伊那郡泰阜村"/>
        <s v="下伊那郡喬木村"/>
        <s v="下伊那郡豊丘村"/>
        <s v="下伊那郡大鹿村"/>
        <s v="木曽郡上松町"/>
        <s v="木曽郡南木曽町"/>
        <s v="木曽郡木祖村"/>
        <s v="木曽郡王滝村"/>
        <s v="木曽郡大桑村"/>
        <s v="木曽郡木曽町"/>
        <s v="東筑摩郡麻績村"/>
        <s v="東筑摩郡生坂村"/>
        <s v="東筑摩郡山形村"/>
        <s v="東筑摩郡朝日村"/>
        <s v="東筑摩郡筑北村"/>
        <s v="北安曇郡池田町"/>
        <s v="北安曇郡松川村"/>
        <s v="北安曇郡白馬村"/>
        <s v="北安曇郡小谷村"/>
        <s v="埴科郡坂城町"/>
        <s v="上高井郡小布施町"/>
        <s v="上高井郡高山村"/>
        <s v="下高井郡山ノ内町"/>
        <s v="下高井郡木島平村"/>
        <s v="下高井郡野沢温泉村"/>
        <s v="上水内郡信濃町"/>
        <s v="上水内郡小川村"/>
        <s v="上水内郡飯綱町"/>
        <s v="下水内郡栄村"/>
      </sharedItems>
    </cacheField>
    <cacheField name="自治体" numFmtId="0" sqlType="-9">
      <sharedItems count="78">
        <s v="20000 長野県"/>
        <s v="20201 長野市"/>
        <s v="20202 松本市"/>
        <s v="20203 上田市"/>
        <s v="20204 岡谷市"/>
        <s v="20205 飯田市"/>
        <s v="20206 諏訪市"/>
        <s v="20207 須坂市"/>
        <s v="20208 小諸市"/>
        <s v="20209 伊那市"/>
        <s v="20210 駒ヶ根市"/>
        <s v="20211 中野市"/>
        <s v="20212 大町市"/>
        <s v="20213 飯山市"/>
        <s v="20214 茅野市"/>
        <s v="20215 塩尻市"/>
        <s v="20217 佐久市"/>
        <s v="20218 千曲市"/>
        <s v="20219 東御市"/>
        <s v="20220 安曇野市"/>
        <s v="20303 南佐久郡小海町"/>
        <s v="20304 南佐久郡川上村"/>
        <s v="20305 南佐久郡南牧村"/>
        <s v="20306 南佐久郡南相木村"/>
        <s v="20307 南佐久郡北相木村"/>
        <s v="20309 南佐久郡佐久穂町"/>
        <s v="20321 北佐久郡軽井沢町"/>
        <s v="20323 北佐久郡御代田町"/>
        <s v="20324 北佐久郡立科町"/>
        <s v="20349 小県郡青木村"/>
        <s v="20350 小県郡長和町"/>
        <s v="20361 諏訪郡下諏訪町"/>
        <s v="20362 諏訪郡富士見町"/>
        <s v="20363 諏訪郡原村"/>
        <s v="20382 上伊那郡辰野町"/>
        <s v="20383 上伊那郡箕輪町"/>
        <s v="20384 上伊那郡飯島町"/>
        <s v="20385 上伊那郡南箕輪村"/>
        <s v="20386 上伊那郡中川村"/>
        <s v="20388 上伊那郡宮田村"/>
        <s v="20402 下伊那郡松川町"/>
        <s v="20403 下伊那郡高森町"/>
        <s v="20404 下伊那郡阿南町"/>
        <s v="20407 下伊那郡阿智村"/>
        <s v="20409 下伊那郡平谷村"/>
        <s v="20410 下伊那郡根羽村"/>
        <s v="20411 下伊那郡下條村"/>
        <s v="20412 下伊那郡売木村"/>
        <s v="20413 下伊那郡天龍村"/>
        <s v="20414 下伊那郡泰阜村"/>
        <s v="20415 下伊那郡喬木村"/>
        <s v="20416 下伊那郡豊丘村"/>
        <s v="20417 下伊那郡大鹿村"/>
        <s v="20422 木曽郡上松町"/>
        <s v="20423 木曽郡南木曽町"/>
        <s v="20425 木曽郡木祖村"/>
        <s v="20429 木曽郡王滝村"/>
        <s v="20430 木曽郡大桑村"/>
        <s v="20432 木曽郡木曽町"/>
        <s v="20446 東筑摩郡麻績村"/>
        <s v="20448 東筑摩郡生坂村"/>
        <s v="20450 東筑摩郡山形村"/>
        <s v="20451 東筑摩郡朝日村"/>
        <s v="20452 東筑摩郡筑北村"/>
        <s v="20481 北安曇郡池田町"/>
        <s v="20482 北安曇郡松川村"/>
        <s v="20485 北安曇郡白馬村"/>
        <s v="20486 北安曇郡小谷村"/>
        <s v="20521 埴科郡坂城町"/>
        <s v="20541 上高井郡小布施町"/>
        <s v="20543 上高井郡高山村"/>
        <s v="20561 下高井郡山ノ内町"/>
        <s v="20562 下高井郡木島平村"/>
        <s v="20563 下高井郡野沢温泉村"/>
        <s v="20583 上水内郡信濃町"/>
        <s v="20588 上水内郡小川村"/>
        <s v="20590 上水内郡飯綱町"/>
        <s v="20602 下水内郡栄村"/>
      </sharedItems>
    </cacheField>
    <cacheField name="産業分類コード" numFmtId="0" sqlType="-8">
      <sharedItems count="186">
        <s v="692"/>
        <s v="783"/>
        <s v="751"/>
        <s v="762"/>
        <s v="782"/>
        <s v="062"/>
        <s v="765"/>
        <s v="835"/>
        <s v="766"/>
        <s v="609"/>
        <s v="591"/>
        <s v="824"/>
        <s v="065"/>
        <s v="064"/>
        <s v="761"/>
        <s v="742"/>
        <s v="589"/>
        <s v="083"/>
        <s v="691"/>
        <s v="081"/>
        <s v="693"/>
        <s v="603"/>
        <s v="573"/>
        <s v="586"/>
        <s v="781"/>
        <s v="891"/>
        <s v="767"/>
        <s v="266"/>
        <s v="269"/>
        <s v="259"/>
        <s v="077"/>
        <s v="593"/>
        <s v="541"/>
        <s v="772"/>
        <s v="823"/>
        <s v="066"/>
        <s v="071"/>
        <s v="531"/>
        <s v="674"/>
        <s v="521"/>
        <s v="585"/>
        <s v="604"/>
        <s v="605"/>
        <s v="853"/>
        <s v="601"/>
        <s v="076"/>
        <s v="763"/>
        <s v="327"/>
        <s v="821"/>
        <s v="602"/>
        <s v="075"/>
        <s v="522"/>
        <s v="579"/>
        <s v="582"/>
        <s v="799"/>
        <s v="804"/>
        <s v="121"/>
        <s v="328"/>
        <s v="360"/>
        <s v="581"/>
        <s v="759"/>
        <s v="482"/>
        <s v="752"/>
        <s v="106"/>
        <s v="131"/>
        <s v="212"/>
        <s v="331"/>
        <s v="361"/>
        <s v="441"/>
        <s v="611"/>
        <s v="612"/>
        <s v="694"/>
        <s v="722"/>
        <s v="741"/>
        <s v="771"/>
        <s v="809"/>
        <s v="901"/>
        <s v="911"/>
        <s v="054"/>
        <s v="073"/>
        <s v="329"/>
        <s v="383"/>
        <s v="681"/>
        <s v="785"/>
        <s v="805"/>
        <s v="929"/>
        <s v="063"/>
        <s v="079"/>
        <s v="093"/>
        <s v="207"/>
        <s v="854"/>
        <s v="682"/>
        <s v="183"/>
        <s v="072"/>
        <s v="089"/>
        <s v="291"/>
        <s v="836"/>
        <s v="855"/>
        <s v="218"/>
        <s v="261"/>
        <s v="246"/>
        <s v="391"/>
        <s v="311"/>
        <s v="275"/>
        <s v="833"/>
        <s v="151"/>
        <s v="724"/>
        <s v="244"/>
        <s v="607"/>
        <s v="789"/>
        <s v="119"/>
        <s v="211"/>
        <s v="078"/>
        <s v="061"/>
        <s v="606"/>
        <s v="859"/>
        <s v="881"/>
        <s v="392"/>
        <s v="711"/>
        <s v="769"/>
        <s v="133"/>
        <s v="559"/>
        <s v="583"/>
        <s v="764"/>
        <s v="129"/>
        <s v="139"/>
        <s v="411"/>
        <s v="702"/>
        <s v="726"/>
        <s v="094"/>
        <s v="363"/>
        <s v="432"/>
        <s v="882"/>
        <s v="099"/>
        <s v="084"/>
        <s v="293"/>
        <s v="536"/>
        <s v="101"/>
        <s v="245"/>
        <s v="091"/>
        <s v="116"/>
        <s v="162"/>
        <s v="489"/>
        <s v="749"/>
        <s v="123"/>
        <s v="551"/>
        <s v="122"/>
        <s v="214"/>
        <s v="705"/>
        <s v="074"/>
        <s v="729"/>
        <s v="728"/>
        <s v="746"/>
        <s v="182"/>
        <s v="247"/>
        <s v="303"/>
        <s v="725"/>
        <s v="902"/>
        <s v="922"/>
        <s v="174"/>
        <s v="060"/>
        <s v="292"/>
        <s v="322"/>
        <s v="542"/>
        <s v="550"/>
        <s v="132"/>
        <s v="153"/>
        <s v="225"/>
        <s v="324"/>
        <s v="443"/>
        <s v="471"/>
        <s v="580"/>
        <s v="442"/>
        <s v="592"/>
        <s v="262"/>
        <s v="189"/>
        <s v="265"/>
        <s v="284"/>
        <s v="608"/>
        <s v="242"/>
        <s v="206"/>
        <s v="552"/>
        <s v="571"/>
        <s v="796"/>
        <s v="533"/>
        <s v="793"/>
      </sharedItems>
    </cacheField>
    <cacheField name="産業分類" numFmtId="0" sqlType="-9">
      <sharedItems count="183">
        <s v="貸家業，貸間業"/>
        <s v="美容業"/>
        <s v="旅館，ホテル"/>
        <s v="専門料理店"/>
        <s v="理容業"/>
        <s v="土木工事業（舗装工事業を除く）"/>
        <s v="酒場，ビヤホール"/>
        <s v="療術業"/>
        <s v="バー，キャバレー，ナイトクラブ"/>
        <s v="他に分類されない小売業"/>
        <s v="自動車小売業"/>
        <s v="教養・技能教授業"/>
        <s v="木造建築工事業"/>
        <s v="建築工事業（木造建築工事業を除く）"/>
        <s v="食堂，レストラン（専門料理店を除く）"/>
        <s v="土木建築サービス業"/>
        <s v="その他の飲食料品小売業"/>
        <s v="管工事業（さく井工事業を除く）"/>
        <s v="不動産賃貸業（貸家業，貸間業を除く）"/>
        <s v="電気工事業"/>
        <s v="駐車場業"/>
        <s v="医薬品・化粧品小売業"/>
        <s v="婦人・子供服小売業"/>
        <s v="菓子・パン小売業"/>
        <s v="洗濯業"/>
        <s v="自動車整備業"/>
        <s v="喫茶店"/>
        <s v="金属加工機械製造業"/>
        <s v="その他の生産用機械・同部分品製造業"/>
        <s v="その他のはん用機械・同部分品製造業"/>
        <s v="塗装工事業"/>
        <s v="機械器具小売業（自動車，自転車を除く）"/>
        <s v="産業機械器具卸売業"/>
        <s v="配達飲食サービス業"/>
        <s v="学習塾"/>
        <s v="建築リフォーム工事業"/>
        <s v="大工工事業"/>
        <s v="建築材料卸売業"/>
        <s v="保険媒介代理業"/>
        <s v="農畜産物・水産物卸売業"/>
        <s v="酒小売業"/>
        <s v="農耕用品小売業"/>
        <s v="燃料小売業"/>
        <s v="児童福祉事業"/>
        <s v="家具・建具・畳小売業"/>
        <s v="板金・金物工事業"/>
        <s v="そば・うどん店"/>
        <s v="漆器製造業"/>
        <s v="社会教育"/>
        <s v="じゅう器小売業"/>
        <s v="左官工事業"/>
        <s v="食料・飲料卸売業"/>
        <s v="その他の織物・衣服・身の回り品小売業"/>
        <s v="野菜・果実小売業"/>
        <s v="他に分類されない生活関連サービス業"/>
        <s v="スポーツ施設提供業"/>
        <s v="製材業，木製品製造業"/>
        <s v="畳等生活雑貨製品製造業"/>
        <s v="管理，補助的経済活動を行う事業所"/>
        <s v="各種食料品小売業"/>
        <s v="その他の宿泊業"/>
        <s v="貨物運送取扱業（集配利用運送業を除く）"/>
        <s v="簡易宿所"/>
        <s v="飼料・有機質肥料製造業"/>
        <s v="家具製造業"/>
        <s v="セメント・同製品製造業"/>
        <s v="電気業"/>
        <s v="上水道業"/>
        <s v="一般貨物自動車運送業"/>
        <s v="通信販売・訪問販売小売業"/>
        <s v="自動販売機による小売業"/>
        <s v="不動産管理業"/>
        <s v="公証人役場，司法書士事務所，土地家屋調査士事務所"/>
        <s v="獣医業"/>
        <s v="持ち帰り飲食サービス業"/>
        <s v="その他の娯楽業"/>
        <s v="機械修理業（電気機械器具を除く）"/>
        <s v="職業紹介業"/>
        <s v="採石業，砂・砂利・玉石採取業"/>
        <s v="鉄骨・鉄筋工事業"/>
        <s v="他に分類されない製造業"/>
        <s v="有線放送業"/>
        <s v="建物売買業，土地売買業"/>
        <s v="その他の公衆浴場業"/>
        <s v="公園，遊園地"/>
        <s v="他に分類されない事業サービス業"/>
        <s v="舗装工事業"/>
        <s v="その他の職別工事業"/>
        <s v="野菜缶詰・果実缶詰・農産保存食料品製造業"/>
        <s v="袋物製造業"/>
        <s v="老人福祉・介護事業"/>
        <s v="不動産代理業・仲介業"/>
        <s v="工業用プラスチック製品製造業"/>
        <s v="とび・土工・コンクリート工事業"/>
        <s v="その他の設備工事業"/>
        <s v="発電用・送電用・配電用電気機械器具製造業"/>
        <s v="医療に附帯するサービス業"/>
        <s v="障害者福祉事業"/>
        <s v="骨材・石工品等製造業"/>
        <s v="農業用機械製造業（農業用器具を除く）"/>
        <s v="金属被覆・彫刻業，熱処理業（ほうろう鉄器を除く）"/>
        <s v="ソフトウェア業"/>
        <s v="自動車・同附属品製造業"/>
        <s v="光学機械器具・レンズ製造業"/>
        <s v="歯科診療所"/>
        <s v="印刷業"/>
        <s v="公認会計士事務所，税理士事務所"/>
        <s v="建設用・建築用金属製品製造業（製缶板金業を含む）"/>
        <s v="スポーツ用品・がん具・娯楽用品・楽器小売業"/>
        <s v="その他の洗濯・理容・美容・浴場業"/>
        <s v="その他の繊維製品製造業"/>
        <s v="ガラス・同製品製造業"/>
        <s v="床・内装工事業"/>
        <s v="一般土木建築工事業"/>
        <s v="書籍・文房具小売業"/>
        <s v="その他の社会保険・社会福祉・介護事業"/>
        <s v="一般廃棄物処理業"/>
        <s v="情報処理・提供サービス業"/>
        <s v="自然科学研究所"/>
        <s v="その他の飲食店"/>
        <s v="建具製造業"/>
        <s v="他に分類されない卸売業"/>
        <s v="食肉小売業"/>
        <s v="すし店"/>
        <s v="その他の木製品製造業（竹，とうを含む）"/>
        <s v="その他の家具・装備品製造業"/>
        <s v="映像情報制作・配給業"/>
        <s v="産業用機械器具賃貸業"/>
        <s v="デザイン業"/>
        <s v="調味料製造業"/>
        <s v="下水道業"/>
        <s v="一般乗用旅客自動車運送業"/>
        <s v="産業廃棄物処理業"/>
        <s v="その他の食料品製造業"/>
        <s v="機械器具設置工事業"/>
        <s v="民生用電気機械器具製造業"/>
        <s v="再生資源卸売業"/>
        <s v="清涼飲料製造業"/>
        <s v="金属素形材製品製造業"/>
        <s v="畜産食料品製造業"/>
        <s v="外衣・シャツ製造業（和式を除く）"/>
        <s v="無機化学工業製品製造業"/>
        <s v="その他の運輸に附帯するサービス業"/>
        <s v="その他の技術サービス業"/>
        <s v="木製容器製造業（竹，とうを含む）"/>
        <s v="家具・建具・じゅう器等卸売業"/>
        <s v="造作材・合板・建築用組立材料製造業"/>
        <s v="陶磁器・同関連製品製造業"/>
        <s v="スポーツ・娯楽用品賃貸業"/>
        <s v="石工・れんが・タイル・ブロック工事業"/>
        <s v="その他の専門サービス業"/>
        <s v="経営コンサルタント業，純粋持株会社"/>
        <s v="写真業"/>
        <s v="プラスチックフィルム・シート・床材・合成皮革製造業"/>
        <s v="金属線製品製造業（ねじ類を除く）"/>
        <s v="電子計算機・同附属装置製造業"/>
        <s v="社会保険労務士事務所"/>
        <s v="電気機械器具修理業"/>
        <s v="建物サービス業"/>
        <s v="舗装材料製造業"/>
        <s v="産業用電気機械器具製造業"/>
        <s v="装身具・装飾品・ボタン・同関連品製造業（貴金属・宝石製を除く）"/>
        <s v="自動車卸売業"/>
        <s v="宗教用具製造業"/>
        <s v="製本業，印刷物加工業"/>
        <s v="鉄素形材製造業"/>
        <s v="楽器製造業"/>
        <s v="貨物軽自動車運送業"/>
        <s v="倉庫業（冷蔵倉庫業を除く）"/>
        <s v="特定貨物自動車運送業"/>
        <s v="自転車小売業"/>
        <s v="建設機械・鉱山機械製造業"/>
        <s v="その他のプラスチック製品製造業"/>
        <s v="基礎素材産業用機械製造業"/>
        <s v="電子回路製造業"/>
        <s v="写真機・時計・眼鏡小売業"/>
        <s v="洋食器・刃物・手道具・金物類製造業"/>
        <s v="かばん製造業"/>
        <s v="医薬品・化粧品等卸売業"/>
        <s v="呉服・服地・寝具小売業"/>
        <s v="冠婚葬祭業"/>
        <s v="石油・鉱物卸売業"/>
        <s v="衣服裁縫修理業"/>
      </sharedItems>
    </cacheField>
    <cacheField name="産業小分類" numFmtId="0" sqlType="-9">
      <sharedItems count="186">
        <s v="692 貸家業，貸間業"/>
        <s v="783 美容業"/>
        <s v="751 旅館，ホテル"/>
        <s v="762 専門料理店"/>
        <s v="782 理容業"/>
        <s v="062 土木工事業（舗装工事業を除く）"/>
        <s v="765 酒場，ビヤホール"/>
        <s v="835 療術業"/>
        <s v="766 バー，キャバレー，ナイトクラブ"/>
        <s v="609 他に分類されない小売業"/>
        <s v="591 自動車小売業"/>
        <s v="824 教養・技能教授業"/>
        <s v="065 木造建築工事業"/>
        <s v="064 建築工事業（木造建築工事業を除く）"/>
        <s v="761 食堂，レストラン（専門料理店を除く）"/>
        <s v="742 土木建築サービス業"/>
        <s v="589 その他の飲食料品小売業"/>
        <s v="083 管工事業（さく井工事業を除く）"/>
        <s v="691 不動産賃貸業（貸家業，貸間業を除く）"/>
        <s v="081 電気工事業"/>
        <s v="693 駐車場業"/>
        <s v="603 医薬品・化粧品小売業"/>
        <s v="573 婦人・子供服小売業"/>
        <s v="586 菓子・パン小売業"/>
        <s v="781 洗濯業"/>
        <s v="891 自動車整備業"/>
        <s v="767 喫茶店"/>
        <s v="266 金属加工機械製造業"/>
        <s v="269 その他の生産用機械・同部分品製造業"/>
        <s v="259 その他のはん用機械・同部分品製造業"/>
        <s v="077 塗装工事業"/>
        <s v="593 機械器具小売業（自動車，自転車を除く）"/>
        <s v="541 産業機械器具卸売業"/>
        <s v="772 配達飲食サービス業"/>
        <s v="823 学習塾"/>
        <s v="066 建築リフォーム工事業"/>
        <s v="071 大工工事業"/>
        <s v="531 建築材料卸売業"/>
        <s v="674 保険媒介代理業"/>
        <s v="521 農畜産物・水産物卸売業"/>
        <s v="585 酒小売業"/>
        <s v="604 農耕用品小売業"/>
        <s v="605 燃料小売業"/>
        <s v="853 児童福祉事業"/>
        <s v="601 家具・建具・畳小売業"/>
        <s v="076 板金・金物工事業"/>
        <s v="763 そば・うどん店"/>
        <s v="327 漆器製造業"/>
        <s v="821 社会教育"/>
        <s v="602 じゅう器小売業"/>
        <s v="075 左官工事業"/>
        <s v="522 食料・飲料卸売業"/>
        <s v="579 その他の織物・衣服・身の回り品小売業"/>
        <s v="582 野菜・果実小売業"/>
        <s v="799 他に分類されない生活関連サービス業"/>
        <s v="804 スポーツ施設提供業"/>
        <s v="121 製材業，木製品製造業"/>
        <s v="328 畳等生活雑貨製品製造業"/>
        <s v="360 管理，補助的経済活動を行う事業所"/>
        <s v="581 各種食料品小売業"/>
        <s v="759 その他の宿泊業"/>
        <s v="482 貨物運送取扱業（集配利用運送業を除く）"/>
        <s v="752 簡易宿所"/>
        <s v="106 飼料・有機質肥料製造業"/>
        <s v="131 家具製造業"/>
        <s v="212 セメント・同製品製造業"/>
        <s v="331 電気業"/>
        <s v="361 上水道業"/>
        <s v="441 一般貨物自動車運送業"/>
        <s v="611 通信販売・訪問販売小売業"/>
        <s v="612 自動販売機による小売業"/>
        <s v="694 不動産管理業"/>
        <s v="722 公証人役場，司法書士事務所，土地家屋調査士事務所"/>
        <s v="741 獣医業"/>
        <s v="771 持ち帰り飲食サービス業"/>
        <s v="809 その他の娯楽業"/>
        <s v="901 機械修理業（電気機械器具を除く）"/>
        <s v="911 職業紹介業"/>
        <s v="054 採石業，砂・砂利・玉石採取業"/>
        <s v="073 鉄骨・鉄筋工事業"/>
        <s v="329 他に分類されない製造業"/>
        <s v="383 有線放送業"/>
        <s v="681 建物売買業，土地売買業"/>
        <s v="785 その他の公衆浴場業"/>
        <s v="805 公園，遊園地"/>
        <s v="929 他に分類されない事業サービス業"/>
        <s v="063 舗装工事業"/>
        <s v="079 その他の職別工事業"/>
        <s v="093 野菜缶詰・果実缶詰・農産保存食料品製造業"/>
        <s v="207 袋物製造業"/>
        <s v="854 老人福祉・介護事業"/>
        <s v="682 不動産代理業・仲介業"/>
        <s v="183 工業用プラスチック製品製造業"/>
        <s v="072 とび・土工・コンクリート工事業"/>
        <s v="089 その他の設備工事業"/>
        <s v="291 発電用・送電用・配電用電気機械器具製造業"/>
        <s v="836 医療に附帯するサービス業"/>
        <s v="855 障害者福祉事業"/>
        <s v="218 骨材・石工品等製造業"/>
        <s v="261 農業用機械製造業（農業用器具を除く）"/>
        <s v="246 金属被覆・彫刻業，熱処理業（ほうろう鉄器を除く）"/>
        <s v="391 ソフトウェア業"/>
        <s v="311 自動車・同附属品製造業"/>
        <s v="275 光学機械器具・レンズ製造業"/>
        <s v="833 歯科診療所"/>
        <s v="151 印刷業"/>
        <s v="724 公認会計士事務所，税理士事務所"/>
        <s v="244 建設用・建築用金属製品製造業（製缶板金業を含む）"/>
        <s v="607 スポーツ用品・がん具・娯楽用品・楽器小売業"/>
        <s v="789 その他の洗濯・理容・美容・浴場業"/>
        <s v="119 その他の繊維製品製造業"/>
        <s v="211 ガラス・同製品製造業"/>
        <s v="078 床・内装工事業"/>
        <s v="061 一般土木建築工事業"/>
        <s v="606 書籍・文房具小売業"/>
        <s v="859 その他の社会保険・社会福祉・介護事業"/>
        <s v="881 一般廃棄物処理業"/>
        <s v="392 情報処理・提供サービス業"/>
        <s v="711 自然科学研究所"/>
        <s v="769 その他の飲食店"/>
        <s v="133 建具製造業"/>
        <s v="559 他に分類されない卸売業"/>
        <s v="583 食肉小売業"/>
        <s v="764 すし店"/>
        <s v="129 その他の木製品製造業（竹，とうを含む）"/>
        <s v="139 その他の家具・装備品製造業"/>
        <s v="411 映像情報制作・配給業"/>
        <s v="702 産業用機械器具賃貸業"/>
        <s v="726 デザイン業"/>
        <s v="094 調味料製造業"/>
        <s v="363 下水道業"/>
        <s v="432 一般乗用旅客自動車運送業"/>
        <s v="882 産業廃棄物処理業"/>
        <s v="099 その他の食料品製造業"/>
        <s v="084 機械器具設置工事業"/>
        <s v="293 民生用電気機械器具製造業"/>
        <s v="536 再生資源卸売業"/>
        <s v="101 清涼飲料製造業"/>
        <s v="245 金属素形材製品製造業"/>
        <s v="091 畜産食料品製造業"/>
        <s v="116 外衣・シャツ製造業（和式を除く）"/>
        <s v="162 無機化学工業製品製造業"/>
        <s v="489 その他の運輸に附帯するサービス業"/>
        <s v="749 その他の技術サービス業"/>
        <s v="123 木製容器製造業（竹，とうを含む）"/>
        <s v="551 家具・建具・じゅう器等卸売業"/>
        <s v="122 造作材・合板・建築用組立材料製造業"/>
        <s v="214 陶磁器・同関連製品製造業"/>
        <s v="705 スポーツ・娯楽用品賃貸業"/>
        <s v="074 石工・れんが・タイル・ブロック工事業"/>
        <s v="729 その他の専門サービス業"/>
        <s v="728 経営コンサルタント業，純粋持株会社"/>
        <s v="746 写真業"/>
        <s v="182 プラスチックフィルム・シート・床材・合成皮革製造業"/>
        <s v="247 金属線製品製造業（ねじ類を除く）"/>
        <s v="303 電子計算機・同附属装置製造業"/>
        <s v="725 社会保険労務士事務所"/>
        <s v="902 電気機械器具修理業"/>
        <s v="922 建物サービス業"/>
        <s v="174 舗装材料製造業"/>
        <s v="060 管理，補助的経済活動を行う事業所"/>
        <s v="292 産業用電気機械器具製造業"/>
        <s v="322 装身具・装飾品・ボタン・同関連品製造業（貴金属・宝石製を除く）"/>
        <s v="542 自動車卸売業"/>
        <s v="550 管理，補助的経済活動を行う事業所"/>
        <s v="132 宗教用具製造業"/>
        <s v="153 製本業，印刷物加工業"/>
        <s v="225 鉄素形材製造業"/>
        <s v="324 楽器製造業"/>
        <s v="443 貨物軽自動車運送業"/>
        <s v="471 倉庫業（冷蔵倉庫業を除く）"/>
        <s v="580 管理，補助的経済活動を行う事業所"/>
        <s v="442 特定貨物自動車運送業"/>
        <s v="592 自転車小売業"/>
        <s v="262 建設機械・鉱山機械製造業"/>
        <s v="189 その他のプラスチック製品製造業"/>
        <s v="265 基礎素材産業用機械製造業"/>
        <s v="284 電子回路製造業"/>
        <s v="608 写真機・時計・眼鏡小売業"/>
        <s v="242 洋食器・刃物・手道具・金物類製造業"/>
        <s v="206 かばん製造業"/>
        <s v="552 医薬品・化粧品等卸売業"/>
        <s v="571 呉服・服地・寝具小売業"/>
        <s v="796 冠婚葬祭業"/>
        <s v="533 石油・鉱物卸売業"/>
        <s v="793 衣服裁縫修理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3240" count="147">
        <n v="3240"/>
        <n v="3127"/>
        <n v="1726"/>
        <n v="1648"/>
        <n v="1533"/>
        <n v="1403"/>
        <n v="1310"/>
        <n v="1297"/>
        <n v="1241"/>
        <n v="1136"/>
        <n v="1132"/>
        <n v="1106"/>
        <n v="1093"/>
        <n v="1004"/>
        <n v="876"/>
        <n v="865"/>
        <n v="814"/>
        <n v="803"/>
        <n v="793"/>
        <n v="785"/>
        <n v="931"/>
        <n v="513"/>
        <n v="250"/>
        <n v="245"/>
        <n v="209"/>
        <n v="205"/>
        <n v="202"/>
        <n v="201"/>
        <n v="198"/>
        <n v="197"/>
        <n v="185"/>
        <n v="156"/>
        <n v="151"/>
        <n v="148"/>
        <n v="144"/>
        <n v="132"/>
        <n v="129"/>
        <n v="123"/>
        <n v="121"/>
        <n v="511"/>
        <n v="397"/>
        <n v="255"/>
        <n v="212"/>
        <n v="192"/>
        <n v="166"/>
        <n v="163"/>
        <n v="155"/>
        <n v="120"/>
        <n v="101"/>
        <n v="98"/>
        <n v="94"/>
        <n v="90"/>
        <n v="87"/>
        <n v="86"/>
        <n v="251"/>
        <n v="228"/>
        <n v="112"/>
        <n v="107"/>
        <n v="102"/>
        <n v="92"/>
        <n v="89"/>
        <n v="88"/>
        <n v="76"/>
        <n v="73"/>
        <n v="72"/>
        <n v="68"/>
        <n v="65"/>
        <n v="63"/>
        <n v="62"/>
        <n v="60"/>
        <n v="59"/>
        <n v="57"/>
        <n v="56"/>
        <n v="55"/>
        <n v="70"/>
        <n v="46"/>
        <n v="35"/>
        <n v="32"/>
        <n v="31"/>
        <n v="30"/>
        <n v="24"/>
        <n v="23"/>
        <n v="22"/>
        <n v="21"/>
        <n v="20"/>
        <n v="19"/>
        <n v="280"/>
        <n v="127"/>
        <n v="100"/>
        <n v="82"/>
        <n v="74"/>
        <n v="61"/>
        <n v="52"/>
        <n v="50"/>
        <n v="48"/>
        <n v="45"/>
        <n v="44"/>
        <n v="180"/>
        <n v="84"/>
        <n v="42"/>
        <n v="39"/>
        <n v="37"/>
        <n v="36"/>
        <n v="34"/>
        <n v="29"/>
        <n v="27"/>
        <n v="26"/>
        <n v="25"/>
        <n v="66"/>
        <n v="40"/>
        <n v="33"/>
        <n v="28"/>
        <n v="18"/>
        <n v="17"/>
        <n v="14"/>
        <n v="13"/>
        <n v="133"/>
        <n v="67"/>
        <n v="64"/>
        <n v="54"/>
        <n v="38"/>
        <n v="16"/>
        <n v="15"/>
        <n v="12"/>
        <n v="11"/>
        <n v="51"/>
        <n v="10"/>
        <n v="47"/>
        <n v="41"/>
        <n v="179"/>
        <n v="96"/>
        <n v="71"/>
        <n v="137"/>
        <n v="9"/>
        <n v="118"/>
        <n v="115"/>
        <n v="7"/>
        <n v="5"/>
        <n v="4"/>
        <n v="3"/>
        <n v="6"/>
        <n v="2"/>
        <n v="1"/>
        <n v="8"/>
        <n v="53"/>
        <n v="319"/>
        <n v="159"/>
      </sharedItems>
    </cacheField>
    <cacheField name="構成比" numFmtId="0" sqlType="3">
      <sharedItems containsSemiMixedTypes="0" containsString="0" containsNumber="1" minValue="0.75" maxValue="49.38" count="377">
        <n v="5.25"/>
        <n v="5.07"/>
        <n v="2.8"/>
        <n v="2.67"/>
        <n v="2.48"/>
        <n v="2.27"/>
        <n v="2.12"/>
        <n v="2.1"/>
        <n v="2.0099999999999998"/>
        <n v="1.84"/>
        <n v="1.83"/>
        <n v="1.79"/>
        <n v="1.77"/>
        <n v="1.63"/>
        <n v="1.42"/>
        <n v="1.4"/>
        <n v="1.32"/>
        <n v="1.3"/>
        <n v="1.28"/>
        <n v="1.27"/>
        <n v="9.19"/>
        <n v="5.0599999999999996"/>
        <n v="2.4700000000000002"/>
        <n v="2.42"/>
        <n v="2.06"/>
        <n v="2.02"/>
        <n v="1.99"/>
        <n v="1.98"/>
        <n v="1.95"/>
        <n v="1.94"/>
        <n v="1.54"/>
        <n v="1.49"/>
        <n v="1.46"/>
        <n v="1.21"/>
        <n v="1.19"/>
        <n v="6.95"/>
        <n v="5.4"/>
        <n v="3.47"/>
        <n v="2.88"/>
        <n v="2.61"/>
        <n v="2.2599999999999998"/>
        <n v="2.2200000000000002"/>
        <n v="2.11"/>
        <n v="2.0499999999999998"/>
        <n v="1.67"/>
        <n v="1.37"/>
        <n v="1.33"/>
        <n v="1.22"/>
        <n v="1.18"/>
        <n v="1.17"/>
        <n v="5.83"/>
        <n v="5.3"/>
        <n v="2.6"/>
        <n v="2.4900000000000002"/>
        <n v="2.37"/>
        <n v="2.14"/>
        <n v="2.0699999999999998"/>
        <n v="1.7"/>
        <n v="1.58"/>
        <n v="1.51"/>
        <n v="1.44"/>
        <n v="1.39"/>
        <n v="4.54"/>
        <n v="3.63"/>
        <n v="2.98"/>
        <n v="1.56"/>
        <n v="1.43"/>
        <n v="1.36"/>
        <n v="1.23"/>
        <n v="7.85"/>
        <n v="5.74"/>
        <n v="3.56"/>
        <n v="3.36"/>
        <n v="2.58"/>
        <n v="2.2999999999999998"/>
        <n v="1.71"/>
        <n v="1.68"/>
        <n v="1.65"/>
        <n v="1.34"/>
        <n v="1.26"/>
        <n v="9.49"/>
        <n v="4.43"/>
        <n v="3.32"/>
        <n v="2.21"/>
        <n v="1.9"/>
        <n v="1.85"/>
        <n v="1.53"/>
        <n v="5.32"/>
        <n v="4.74"/>
        <n v="3.24"/>
        <n v="2.66"/>
        <n v="2.52"/>
        <n v="2.16"/>
        <n v="2.08"/>
        <n v="1.8"/>
        <n v="1.73"/>
        <n v="1.29"/>
        <n v="4.84"/>
        <n v="4.49"/>
        <n v="3.8"/>
        <n v="3.11"/>
        <n v="2.59"/>
        <n v="2.5099999999999998"/>
        <n v="2.25"/>
        <n v="1.82"/>
        <n v="1.64"/>
        <n v="1.47"/>
        <n v="1.1200000000000001"/>
        <n v="6.97"/>
        <n v="3.51"/>
        <n v="3.35"/>
        <n v="2.83"/>
        <n v="2.72"/>
        <n v="2.62"/>
        <n v="2.2000000000000002"/>
        <n v="1.89"/>
        <n v="1.78"/>
        <n v="1.62"/>
        <n v="1.52"/>
        <n v="1.41"/>
        <n v="6.54"/>
        <n v="5.96"/>
        <n v="3.61"/>
        <n v="2.93"/>
        <n v="2.54"/>
        <n v="2.34"/>
        <n v="2.15"/>
        <n v="1.66"/>
        <n v="4.88"/>
        <n v="3.97"/>
        <n v="3.31"/>
        <n v="3.15"/>
        <n v="2.57"/>
        <n v="2.4"/>
        <n v="2.3199999999999998"/>
        <n v="2.2400000000000002"/>
        <n v="1.74"/>
        <n v="1.57"/>
        <n v="5.31"/>
        <n v="3.71"/>
        <n v="3.58"/>
        <n v="3.45"/>
        <n v="2.92"/>
        <n v="2.65"/>
        <n v="1.86"/>
        <n v="1.72"/>
        <n v="1.59"/>
        <n v="6.81"/>
        <n v="4.01"/>
        <n v="2"/>
        <n v="1.87"/>
        <n v="1.6"/>
        <n v="5.56"/>
        <n v="4.41"/>
        <n v="2.9"/>
        <n v="2.1800000000000002"/>
        <n v="1.81"/>
        <n v="1.75"/>
        <n v="1.45"/>
        <n v="5.67"/>
        <n v="5.44"/>
        <n v="1.97"/>
        <n v="1.91"/>
        <n v="1.5"/>
        <n v="6.31"/>
        <n v="3.39"/>
        <n v="3.07"/>
        <n v="2.96"/>
        <n v="2.5"/>
        <n v="2.33"/>
        <n v="2.29"/>
        <n v="1.76"/>
        <n v="1.69"/>
        <n v="8.3699999999999992"/>
        <n v="5.62"/>
        <n v="3.05"/>
        <n v="1.1000000000000001"/>
        <n v="5.18"/>
        <n v="4.8"/>
        <n v="3.67"/>
        <n v="2.91"/>
        <n v="2.78"/>
        <n v="2.2799999999999998"/>
        <n v="1.1399999999999999"/>
        <n v="5.39"/>
        <n v="5.26"/>
        <n v="2.79"/>
        <n v="2.19"/>
        <n v="1.55"/>
        <n v="5.43"/>
        <n v="4.8899999999999997"/>
        <n v="2.17"/>
        <n v="6.14"/>
        <n v="4.3899999999999997"/>
        <n v="2.63"/>
        <n v="16.420000000000002"/>
        <n v="5.97"/>
        <n v="4.4800000000000004"/>
        <n v="2.99"/>
        <n v="9.3000000000000007"/>
        <n v="6.98"/>
        <n v="4.6500000000000004"/>
        <n v="13.33"/>
        <n v="6.67"/>
        <n v="3.33"/>
        <n v="6.11"/>
        <n v="5.47"/>
        <n v="4.82"/>
        <n v="3.22"/>
        <n v="2.89"/>
        <n v="1.93"/>
        <n v="1.61"/>
        <n v="6.35"/>
        <n v="4.95"/>
        <n v="3.64"/>
        <n v="3.08"/>
        <n v="2.71"/>
        <n v="1.96"/>
        <n v="4.2699999999999996"/>
        <n v="3.96"/>
        <n v="3.66"/>
        <n v="2.74"/>
        <n v="2.44"/>
        <n v="2.13"/>
        <n v="13.76"/>
        <n v="2.75"/>
        <n v="1.38"/>
        <n v="5.34"/>
        <n v="16.309999999999999"/>
        <n v="5.15"/>
        <n v="3.43"/>
        <n v="3"/>
        <n v="5.94"/>
        <n v="3.37"/>
        <n v="3.21"/>
        <n v="2.41"/>
        <n v="4.53"/>
        <n v="3.2"/>
        <n v="17.79"/>
        <n v="5.03"/>
        <n v="2.68"/>
        <n v="2.35"/>
        <n v="5.8"/>
        <n v="2.46"/>
        <n v="3.75"/>
        <n v="2.73"/>
        <n v="2.56"/>
        <n v="2.39"/>
        <n v="1.88"/>
        <n v="6.32"/>
        <n v="4.83"/>
        <n v="4.46"/>
        <n v="3.72"/>
        <n v="2.97"/>
        <n v="2.23"/>
        <n v="7.38"/>
        <n v="5.37"/>
        <n v="3.02"/>
        <n v="4.17"/>
        <n v="8.08"/>
        <n v="3.46"/>
        <n v="2.69"/>
        <n v="2.31"/>
        <n v="1.92"/>
        <n v="6.65"/>
        <n v="3.99"/>
        <n v="3.19"/>
        <n v="5.38"/>
        <n v="3.16"/>
        <n v="2.5299999999999998"/>
        <n v="7.43"/>
        <n v="5.41"/>
        <n v="4.05"/>
        <n v="3.38"/>
        <n v="2.7"/>
        <n v="2.0299999999999998"/>
        <n v="1.35"/>
        <n v="4.8099999999999996"/>
        <n v="4.07"/>
        <n v="3.7"/>
        <n v="1.48"/>
        <n v="12.9"/>
        <n v="6.45"/>
        <n v="3.23"/>
        <n v="8.57"/>
        <n v="5.71"/>
        <n v="2.86"/>
        <n v="6.6"/>
        <n v="4.72"/>
        <n v="3.77"/>
        <n v="8.33"/>
        <n v="14.29"/>
        <n v="7.14"/>
        <n v="5.36"/>
        <n v="3.57"/>
        <n v="7.02"/>
        <n v="5.98"/>
        <n v="4.3499999999999996"/>
        <n v="4.6100000000000003"/>
        <n v="3.95"/>
        <n v="3.29"/>
        <n v="12.73"/>
        <n v="9.09"/>
        <n v="5.45"/>
        <n v="3.9"/>
        <n v="3.41"/>
        <n v="7.27"/>
        <n v="6.36"/>
        <n v="5"/>
        <n v="4.55"/>
        <n v="3.18"/>
        <n v="4.4000000000000004"/>
        <n v="32.65"/>
        <n v="8.16"/>
        <n v="6.12"/>
        <n v="4.08"/>
        <n v="2.04"/>
        <n v="5.77"/>
        <n v="3.85"/>
        <n v="5.12"/>
        <n v="4.33"/>
        <n v="3.54"/>
        <n v="2.95"/>
        <n v="7.45"/>
        <n v="4.26"/>
        <n v="1.06"/>
        <n v="11.67"/>
        <n v="6.25"/>
        <n v="1.25"/>
        <n v="3.94"/>
        <n v="2.36"/>
        <n v="6.38"/>
        <n v="3.65"/>
        <n v="3.34"/>
        <n v="3.04"/>
        <n v="2.4300000000000002"/>
        <n v="6.87"/>
        <n v="5.5"/>
        <n v="3.44"/>
        <n v="3.09"/>
        <n v="40.08"/>
        <n v="9.17"/>
        <n v="4.5199999999999996"/>
        <n v="2.76"/>
        <n v="1.1299999999999999"/>
        <n v="1.01"/>
        <n v="0.88"/>
        <n v="0.75"/>
        <n v="37.67"/>
        <n v="7.62"/>
        <n v="3.14"/>
        <n v="0.9"/>
        <n v="4.67"/>
        <n v="4.18"/>
        <n v="3.69"/>
        <n v="4.21"/>
        <n v="6.15"/>
        <n v="4.62"/>
        <n v="4.0999999999999996"/>
        <n v="3.59"/>
        <n v="21.17"/>
        <n v="3.83"/>
        <n v="14.18"/>
        <n v="3.73"/>
        <n v="49.38"/>
        <n v="3.42"/>
        <n v="1.24"/>
        <n v="0.93"/>
        <n v="14.65"/>
        <n v="5.49"/>
        <n v="4.76"/>
        <n v="4.4400000000000004"/>
        <n v="1.1100000000000001"/>
        <n v="6.06"/>
        <n v="5.63"/>
        <n v="5.19"/>
        <n v="3.03"/>
      </sharedItems>
    </cacheField>
    <cacheField name="総数（個人）" numFmtId="0" sqlType="4">
      <sharedItems containsSemiMixedTypes="0" containsString="0" containsNumber="1" containsInteger="1" minValue="0" maxValue="2837" count="131">
        <n v="2394"/>
        <n v="2837"/>
        <n v="1258"/>
        <n v="1278"/>
        <n v="1438"/>
        <n v="295"/>
        <n v="1158"/>
        <n v="1197"/>
        <n v="1194"/>
        <n v="664"/>
        <n v="516"/>
        <n v="835"/>
        <n v="510"/>
        <n v="240"/>
        <n v="654"/>
        <n v="325"/>
        <n v="497"/>
        <n v="252"/>
        <n v="186"/>
        <n v="292"/>
        <n v="705"/>
        <n v="444"/>
        <n v="223"/>
        <n v="79"/>
        <n v="173"/>
        <n v="196"/>
        <n v="176"/>
        <n v="143"/>
        <n v="41"/>
        <n v="142"/>
        <n v="85"/>
        <n v="56"/>
        <n v="53"/>
        <n v="40"/>
        <n v="29"/>
        <n v="97"/>
        <n v="46"/>
        <n v="18"/>
        <n v="33"/>
        <n v="385"/>
        <n v="353"/>
        <n v="204"/>
        <n v="193"/>
        <n v="185"/>
        <n v="126"/>
        <n v="155"/>
        <n v="139"/>
        <n v="81"/>
        <n v="34"/>
        <n v="54"/>
        <n v="72"/>
        <n v="30"/>
        <n v="11"/>
        <n v="52"/>
        <n v="37"/>
        <n v="51"/>
        <n v="74"/>
        <n v="184"/>
        <n v="211"/>
        <n v="107"/>
        <n v="94"/>
        <n v="77"/>
        <n v="27"/>
        <n v="83"/>
        <n v="36"/>
        <n v="44"/>
        <n v="15"/>
        <n v="38"/>
        <n v="16"/>
        <n v="45"/>
        <n v="9"/>
        <n v="68"/>
        <n v="31"/>
        <n v="1"/>
        <n v="7"/>
        <n v="6"/>
        <n v="4"/>
        <n v="3"/>
        <n v="22"/>
        <n v="14"/>
        <n v="10"/>
        <n v="8"/>
        <n v="232"/>
        <n v="191"/>
        <n v="87"/>
        <n v="103"/>
        <n v="96"/>
        <n v="78"/>
        <n v="50"/>
        <n v="32"/>
        <n v="20"/>
        <n v="25"/>
        <n v="42"/>
        <n v="19"/>
        <n v="12"/>
        <n v="150"/>
        <n v="70"/>
        <n v="57"/>
        <n v="43"/>
        <n v="28"/>
        <n v="24"/>
        <n v="5"/>
        <n v="2"/>
        <n v="35"/>
        <n v="13"/>
        <n v="119"/>
        <n v="58"/>
        <n v="17"/>
        <n v="21"/>
        <n v="26"/>
        <n v="0"/>
        <n v="71"/>
        <n v="67"/>
        <n v="39"/>
        <n v="90"/>
        <n v="23"/>
        <n v="168"/>
        <n v="82"/>
        <n v="84"/>
        <n v="63"/>
        <n v="59"/>
        <n v="127"/>
        <n v="86"/>
        <n v="48"/>
        <n v="105"/>
        <n v="55"/>
        <n v="49"/>
        <n v="47"/>
        <n v="261"/>
        <n v="65"/>
        <n v="136"/>
      </sharedItems>
    </cacheField>
    <cacheField name="構成比（個人）" numFmtId="0" sqlType="3">
      <sharedItems containsSemiMixedTypes="0" containsString="0" containsNumber="1" minValue="0" maxValue="61.54" count="463">
        <n v="7.42"/>
        <n v="8.7899999999999991"/>
        <n v="3.9"/>
        <n v="3.96"/>
        <n v="4.46"/>
        <n v="0.91"/>
        <n v="3.59"/>
        <n v="3.71"/>
        <n v="3.7"/>
        <n v="2.06"/>
        <n v="1.6"/>
        <n v="2.59"/>
        <n v="1.58"/>
        <n v="0.74"/>
        <n v="2.0299999999999998"/>
        <n v="1.01"/>
        <n v="1.54"/>
        <n v="0.78"/>
        <n v="0.57999999999999996"/>
        <n v="0.9"/>
        <n v="15.09"/>
        <n v="9.51"/>
        <n v="4.7699999999999996"/>
        <n v="1.69"/>
        <n v="4.2"/>
        <n v="3.77"/>
        <n v="3.06"/>
        <n v="0.88"/>
        <n v="3.04"/>
        <n v="1.82"/>
        <n v="1.2"/>
        <n v="1.1299999999999999"/>
        <n v="0.86"/>
        <n v="0.62"/>
        <n v="2.08"/>
        <n v="0.98"/>
        <n v="0.39"/>
        <n v="0.71"/>
        <n v="10.67"/>
        <n v="9.7899999999999991"/>
        <n v="5.66"/>
        <n v="5.35"/>
        <n v="5.13"/>
        <n v="3.49"/>
        <n v="4.3"/>
        <n v="3.85"/>
        <n v="2.25"/>
        <n v="0.94"/>
        <n v="1.5"/>
        <n v="2"/>
        <n v="0.83"/>
        <n v="1.47"/>
        <n v="0.3"/>
        <n v="1.44"/>
        <n v="1.03"/>
        <n v="1.41"/>
        <n v="2.0499999999999998"/>
        <n v="8.35"/>
        <n v="9.58"/>
        <n v="4.8600000000000003"/>
        <n v="4.2699999999999996"/>
        <n v="3.5"/>
        <n v="1.23"/>
        <n v="1.63"/>
        <n v="1.36"/>
        <n v="0.68"/>
        <n v="1.72"/>
        <n v="0.73"/>
        <n v="1.32"/>
        <n v="2.04"/>
        <n v="2.54"/>
        <n v="0.41"/>
        <n v="9.86"/>
        <n v="5.36"/>
        <n v="2.17"/>
        <n v="4.93"/>
        <n v="2.61"/>
        <n v="4.49"/>
        <n v="1.3"/>
        <n v="0.14000000000000001"/>
        <n v="0.87"/>
        <n v="2.3199999999999998"/>
        <n v="0.43"/>
        <n v="3.19"/>
        <n v="1.45"/>
        <n v="1.1599999999999999"/>
        <n v="11.55"/>
        <n v="4.33"/>
        <n v="4.78"/>
        <n v="3.88"/>
        <n v="2.4900000000000002"/>
        <n v="1.59"/>
        <n v="0.7"/>
        <n v="1"/>
        <n v="1.25"/>
        <n v="2.09"/>
        <n v="0.35"/>
        <n v="0.95"/>
        <n v="0.6"/>
        <n v="16.38"/>
        <n v="7.64"/>
        <n v="6.22"/>
        <n v="4.04"/>
        <n v="3.6"/>
        <n v="2.95"/>
        <n v="3.38"/>
        <n v="1.31"/>
        <n v="1.64"/>
        <n v="0.11"/>
        <n v="9.5399999999999991"/>
        <n v="5.86"/>
        <n v="6.13"/>
        <n v="5.18"/>
        <n v="4.9000000000000004"/>
        <n v="3.68"/>
        <n v="3.81"/>
        <n v="4.22"/>
        <n v="3.27"/>
        <n v="2.72"/>
        <n v="0.82"/>
        <n v="2.4500000000000002"/>
        <n v="1.91"/>
        <n v="0.54"/>
        <n v="0.27"/>
        <n v="8.2799999999999994"/>
        <n v="5.89"/>
        <n v="1.1100000000000001"/>
        <n v="5.57"/>
        <n v="3.03"/>
        <n v="1.75"/>
        <n v="1.43"/>
        <n v="1.27"/>
        <n v="2.0699999999999998"/>
        <n v="0.32"/>
        <n v="0.64"/>
        <n v="12.27"/>
        <n v="4.54"/>
        <n v="5.98"/>
        <n v="5.26"/>
        <n v="4.2300000000000004"/>
        <n v="1.86"/>
        <n v="3.51"/>
        <n v="0.52"/>
        <n v="2.99"/>
        <n v="1.55"/>
        <n v="2.27"/>
        <n v="2.4700000000000002"/>
        <n v="2.16"/>
        <n v="0.93"/>
        <n v="9.44"/>
        <n v="9.27"/>
        <n v="4.55"/>
        <n v="5.07"/>
        <n v="2.62"/>
        <n v="1.05"/>
        <n v="1.22"/>
        <n v="1.4"/>
        <n v="1.92"/>
        <n v="8.41"/>
        <n v="5.61"/>
        <n v="6.23"/>
        <n v="3.43"/>
        <n v="2.8"/>
        <n v="0.16"/>
        <n v="4.3600000000000003"/>
        <n v="4.21"/>
        <n v="3.12"/>
        <n v="1.0900000000000001"/>
        <n v="1.87"/>
        <n v="2.96"/>
        <n v="0.47"/>
        <n v="8.93"/>
        <n v="6.45"/>
        <n v="0.5"/>
        <n v="3.72"/>
        <n v="4.47"/>
        <n v="4.71"/>
        <n v="2.73"/>
        <n v="2.23"/>
        <n v="2.98"/>
        <n v="2.48"/>
        <n v="3.47"/>
        <n v="1.74"/>
        <n v="1.49"/>
        <n v="0"/>
        <n v="7.94"/>
        <n v="11.34"/>
        <n v="6.58"/>
        <n v="1.81"/>
        <n v="3.17"/>
        <n v="10.16"/>
        <n v="9.59"/>
        <n v="0.72"/>
        <n v="4.1500000000000004"/>
        <n v="5.58"/>
        <n v="4.43"/>
        <n v="1.29"/>
        <n v="0.56999999999999995"/>
        <n v="10.07"/>
        <n v="8.7200000000000006"/>
        <n v="3.91"/>
        <n v="4.59"/>
        <n v="2.68"/>
        <n v="2.57"/>
        <n v="1.68"/>
        <n v="1.79"/>
        <n v="2.35"/>
        <n v="3.02"/>
        <n v="0.34"/>
        <n v="0.67"/>
        <n v="1.9"/>
        <n v="10.34"/>
        <n v="5.05"/>
        <n v="2.71"/>
        <n v="4.99"/>
        <n v="5.17"/>
        <n v="2.2200000000000002"/>
        <n v="3.63"/>
        <n v="1.48"/>
        <n v="2.83"/>
        <n v="1.97"/>
        <n v="0.99"/>
        <n v="1.66"/>
        <n v="14.03"/>
        <n v="9.5"/>
        <n v="5.3"/>
        <n v="1.33"/>
        <n v="3.65"/>
        <n v="4.09"/>
        <n v="3.31"/>
        <n v="2.87"/>
        <n v="1.1000000000000001"/>
        <n v="1.88"/>
        <n v="1.77"/>
        <n v="0.44"/>
        <n v="0.66"/>
        <n v="3.23"/>
        <n v="8.5299999999999994"/>
        <n v="3.69"/>
        <n v="4.38"/>
        <n v="1.84"/>
        <n v="3.46"/>
        <n v="2.2999999999999998"/>
        <n v="0.69"/>
        <n v="2.76"/>
        <n v="1.38"/>
        <n v="0.23"/>
        <n v="1.1499999999999999"/>
        <n v="9.07"/>
        <n v="7.17"/>
        <n v="5.09"/>
        <n v="4.75"/>
        <n v="1.1200000000000001"/>
        <n v="2.94"/>
        <n v="2.42"/>
        <n v="6.2"/>
        <n v="6.98"/>
        <n v="3.1"/>
        <n v="5.43"/>
        <n v="2.33"/>
        <n v="4.84"/>
        <n v="1.61"/>
        <n v="26.32"/>
        <n v="7.89"/>
        <n v="2.63"/>
        <n v="8.33"/>
        <n v="4.17"/>
        <n v="9.52"/>
        <n v="4.76"/>
        <n v="6.63"/>
        <n v="8.67"/>
        <n v="1.53"/>
        <n v="4.08"/>
        <n v="3.57"/>
        <n v="2.5499999999999998"/>
        <n v="1.02"/>
        <n v="0.51"/>
        <n v="13.3"/>
        <n v="9.61"/>
        <n v="3.45"/>
        <n v="0.25"/>
        <n v="0.49"/>
        <n v="4.1900000000000004"/>
        <n v="6.21"/>
        <n v="5.65"/>
        <n v="2.2599999999999998"/>
        <n v="5.08"/>
        <n v="3.95"/>
        <n v="2.82"/>
        <n v="3.39"/>
        <n v="0.56000000000000005"/>
        <n v="17.690000000000001"/>
        <n v="3.08"/>
        <n v="4.62"/>
        <n v="0.77"/>
        <n v="2.31"/>
        <n v="7.95"/>
        <n v="1.1399999999999999"/>
        <n v="3.41"/>
        <n v="22.58"/>
        <n v="5.16"/>
        <n v="7.1"/>
        <n v="4.5199999999999996"/>
        <n v="3.87"/>
        <n v="2.58"/>
        <n v="0.65"/>
        <n v="1.94"/>
        <n v="10.06"/>
        <n v="3.25"/>
        <n v="5.03"/>
        <n v="4.4400000000000004"/>
        <n v="0.59"/>
        <n v="2.66"/>
        <n v="2.37"/>
        <n v="0.89"/>
        <n v="1.78"/>
        <n v="1.18"/>
        <n v="9.43"/>
        <n v="6.29"/>
        <n v="0.63"/>
        <n v="4.4000000000000004"/>
        <n v="2.52"/>
        <n v="3.14"/>
        <n v="1.89"/>
        <n v="1.26"/>
        <n v="24.23"/>
        <n v="4.12"/>
        <n v="8.92"/>
        <n v="4.3099999999999996"/>
        <n v="0.92"/>
        <n v="2.15"/>
        <n v="2.46"/>
        <n v="6.99"/>
        <n v="3.15"/>
        <n v="2.1"/>
        <n v="9.36"/>
        <n v="2.92"/>
        <n v="7.02"/>
        <n v="4.68"/>
        <n v="2.34"/>
        <n v="1.17"/>
        <n v="14.89"/>
        <n v="9.93"/>
        <n v="1.42"/>
        <n v="7.09"/>
        <n v="2.13"/>
        <n v="3.55"/>
        <n v="2.84"/>
        <n v="9.33"/>
        <n v="2.67"/>
        <n v="5.33"/>
        <n v="11.7"/>
        <n v="10.41"/>
        <n v="5.88"/>
        <n v="4.9800000000000004"/>
        <n v="0.45"/>
        <n v="6"/>
        <n v="4.67"/>
        <n v="4"/>
        <n v="5.0999999999999996"/>
        <n v="6.12"/>
        <n v="1.76"/>
        <n v="5.29"/>
        <n v="3.53"/>
        <n v="22.22"/>
        <n v="5.56"/>
        <n v="11.11"/>
        <n v="8.6999999999999993"/>
        <n v="4.3499999999999996"/>
        <n v="4.05"/>
        <n v="6.76"/>
        <n v="5.41"/>
        <n v="2.7"/>
        <n v="1.35"/>
        <n v="12.5"/>
        <n v="6.25"/>
        <n v="9.68"/>
        <n v="3.97"/>
        <n v="6.35"/>
        <n v="2.38"/>
        <n v="0.79"/>
        <n v="4.6500000000000004"/>
        <n v="5.81"/>
        <n v="15.79"/>
        <n v="10.53"/>
        <n v="6.06"/>
        <n v="3.79"/>
        <n v="1.52"/>
        <n v="10.46"/>
        <n v="6.54"/>
        <n v="3.92"/>
        <n v="1.96"/>
        <n v="54.17"/>
        <n v="9.57"/>
        <n v="5.32"/>
        <n v="1.06"/>
        <n v="4.26"/>
        <n v="8.2200000000000006"/>
        <n v="7.24"/>
        <n v="3.62"/>
        <n v="4.6100000000000003"/>
        <n v="3.29"/>
        <n v="8.06"/>
        <n v="14.63"/>
        <n v="7.32"/>
        <n v="9.76"/>
        <n v="4.88"/>
        <n v="2.44"/>
        <n v="4.5"/>
        <n v="1.8"/>
        <n v="9.6199999999999992"/>
        <n v="5.77"/>
        <n v="3.33"/>
        <n v="5.0199999999999996"/>
        <n v="2.2799999999999998"/>
        <n v="1.37"/>
        <n v="3.2"/>
        <n v="1.83"/>
        <n v="2.74"/>
        <n v="0.46"/>
        <n v="8.9499999999999993"/>
        <n v="2.11"/>
        <n v="4.74"/>
        <n v="3.16"/>
        <n v="0.53"/>
        <n v="48.69"/>
        <n v="5.04"/>
        <n v="3.54"/>
        <n v="3.73"/>
        <n v="2.2400000000000002"/>
        <n v="0.37"/>
        <n v="0.75"/>
        <n v="44.22"/>
        <n v="3.4"/>
        <n v="7.83"/>
        <n v="6.42"/>
        <n v="4.28"/>
        <n v="3.74"/>
        <n v="3.21"/>
        <n v="2.14"/>
        <n v="2.78"/>
        <n v="1.85"/>
        <n v="4.63"/>
        <n v="6.48"/>
        <n v="9.1300000000000008"/>
        <n v="7.31"/>
        <n v="5.94"/>
        <n v="4.1100000000000003"/>
        <n v="4.57"/>
        <n v="22.37"/>
        <n v="61.54"/>
        <n v="21.25"/>
        <n v="3.75"/>
        <n v="5"/>
        <n v="2.5"/>
        <n v="3.13"/>
        <n v="7.14"/>
        <n v="8.82"/>
        <n v="8.09"/>
        <n v="5.15"/>
        <n v="2.21"/>
        <n v="18.18"/>
        <n v="9.09"/>
      </sharedItems>
    </cacheField>
    <cacheField name="総数（法人）" numFmtId="0" sqlType="4">
      <sharedItems containsSemiMixedTypes="0" containsString="0" containsNumber="1" containsInteger="1" minValue="0" maxValue="1108" count="91">
        <n v="839"/>
        <n v="290"/>
        <n v="464"/>
        <n v="370"/>
        <n v="95"/>
        <n v="1108"/>
        <n v="152"/>
        <n v="99"/>
        <n v="47"/>
        <n v="471"/>
        <n v="616"/>
        <n v="269"/>
        <n v="583"/>
        <n v="764"/>
        <n v="221"/>
        <n v="510"/>
        <n v="310"/>
        <n v="551"/>
        <n v="603"/>
        <n v="493"/>
        <n v="225"/>
        <n v="69"/>
        <n v="27"/>
        <n v="166"/>
        <n v="36"/>
        <n v="9"/>
        <n v="26"/>
        <n v="58"/>
        <n v="157"/>
        <n v="55"/>
        <n v="124"/>
        <n v="103"/>
        <n v="111"/>
        <n v="119"/>
        <n v="86"/>
        <n v="50"/>
        <n v="105"/>
        <n v="88"/>
        <n v="126"/>
        <n v="44"/>
        <n v="51"/>
        <n v="19"/>
        <n v="7"/>
        <n v="39"/>
        <n v="8"/>
        <n v="16"/>
        <n v="70"/>
        <n v="113"/>
        <n v="48"/>
        <n v="67"/>
        <n v="43"/>
        <n v="83"/>
        <n v="61"/>
        <n v="38"/>
        <n v="12"/>
        <n v="17"/>
        <n v="5"/>
        <n v="13"/>
        <n v="25"/>
        <n v="65"/>
        <n v="6"/>
        <n v="52"/>
        <n v="32"/>
        <n v="29"/>
        <n v="42"/>
        <n v="37"/>
        <n v="46"/>
        <n v="31"/>
        <n v="14"/>
        <n v="1"/>
        <n v="2"/>
        <n v="18"/>
        <n v="0"/>
        <n v="21"/>
        <n v="23"/>
        <n v="11"/>
        <n v="10"/>
        <n v="40"/>
        <n v="4"/>
        <n v="24"/>
        <n v="34"/>
        <n v="15"/>
        <n v="33"/>
        <n v="30"/>
        <n v="3"/>
        <n v="20"/>
        <n v="22"/>
        <n v="28"/>
        <n v="35"/>
        <n v="54"/>
        <n v="73"/>
      </sharedItems>
    </cacheField>
    <cacheField name="構成比（法人）" numFmtId="0" sqlType="3">
      <sharedItems containsSemiMixedTypes="0" containsString="0" containsNumber="1" minValue="0" maxValue="80" count="382">
        <n v="2.94"/>
        <n v="1.02"/>
        <n v="1.63"/>
        <n v="1.3"/>
        <n v="0.33"/>
        <n v="3.89"/>
        <n v="0.53"/>
        <n v="0.35"/>
        <n v="0.16"/>
        <n v="1.65"/>
        <n v="2.16"/>
        <n v="0.94"/>
        <n v="2.0499999999999998"/>
        <n v="2.68"/>
        <n v="0.78"/>
        <n v="1.79"/>
        <n v="1.0900000000000001"/>
        <n v="1.93"/>
        <n v="2.12"/>
        <n v="1.73"/>
        <n v="4.1900000000000004"/>
        <n v="1.28"/>
        <n v="0.5"/>
        <n v="3.09"/>
        <n v="0.67"/>
        <n v="0.17"/>
        <n v="0.48"/>
        <n v="1.08"/>
        <n v="2.92"/>
        <n v="1.84"/>
        <n v="2.31"/>
        <n v="1.92"/>
        <n v="2.0699999999999998"/>
        <n v="2.21"/>
        <n v="0.87"/>
        <n v="1.6"/>
        <n v="0.93"/>
        <n v="1.95"/>
        <n v="1.64"/>
        <n v="3.47"/>
        <n v="1.21"/>
        <n v="1.41"/>
        <n v="0.52"/>
        <n v="0.19"/>
        <n v="1.07"/>
        <n v="0.22"/>
        <n v="0.44"/>
        <n v="3.11"/>
        <n v="1.9"/>
        <n v="1.32"/>
        <n v="1.85"/>
        <n v="1.18"/>
        <n v="2.29"/>
        <n v="1.68"/>
        <n v="1.05"/>
        <n v="1.38"/>
        <n v="0.99"/>
        <n v="3.26"/>
        <n v="0.83"/>
        <n v="0.24"/>
        <n v="0.63"/>
        <n v="1.22"/>
        <n v="3.16"/>
        <n v="0.28999999999999998"/>
        <n v="2.5299999999999998"/>
        <n v="1.56"/>
        <n v="2.04"/>
        <n v="1.8"/>
        <n v="2.4300000000000002"/>
        <n v="2.2400000000000002"/>
        <n v="1.51"/>
        <n v="0.68"/>
        <n v="0.05"/>
        <n v="2.19"/>
        <n v="3.77"/>
        <n v="0.12"/>
        <n v="1.7"/>
        <n v="0"/>
        <n v="2.5499999999999998"/>
        <n v="3.53"/>
        <n v="2.8"/>
        <n v="0.85"/>
        <n v="0.97"/>
        <n v="0.61"/>
        <n v="1.34"/>
        <n v="3.15"/>
        <n v="1.1399999999999999"/>
        <n v="0.27"/>
        <n v="0.34"/>
        <n v="1.61"/>
        <n v="2.2799999999999998"/>
        <n v="1.54"/>
        <n v="2.88"/>
        <n v="1.01"/>
        <n v="3.13"/>
        <n v="1.46"/>
        <n v="1.04"/>
        <n v="0.73"/>
        <n v="0.42"/>
        <n v="2.5"/>
        <n v="2.81"/>
        <n v="2.71"/>
        <n v="0.31"/>
        <n v="2.08"/>
        <n v="1.25"/>
        <n v="2.6"/>
        <n v="3.6"/>
        <n v="2.35"/>
        <n v="2.82"/>
        <n v="2.66"/>
        <n v="2.0299999999999998"/>
        <n v="0.77"/>
        <n v="2.9"/>
        <n v="1.35"/>
        <n v="5.6"/>
        <n v="2.7"/>
        <n v="2.3199999999999998"/>
        <n v="1.74"/>
        <n v="2.41"/>
        <n v="0.66"/>
        <n v="1.1000000000000001"/>
        <n v="3.4"/>
        <n v="2.2000000000000002"/>
        <n v="2.09"/>
        <n v="1.87"/>
        <n v="0.55000000000000004"/>
        <n v="1.76"/>
        <n v="1.98"/>
        <n v="1.81"/>
        <n v="2.4900000000000002"/>
        <n v="0.23"/>
        <n v="0.9"/>
        <n v="1.58"/>
        <n v="2.2599999999999998"/>
        <n v="0.91"/>
        <n v="2.1800000000000002"/>
        <n v="2.36"/>
        <n v="5.08"/>
        <n v="3.27"/>
        <n v="2"/>
        <n v="0.18"/>
        <n v="0.36"/>
        <n v="0.54"/>
        <n v="2.54"/>
        <n v="1.27"/>
        <n v="1.23"/>
        <n v="0.62"/>
        <n v="7.69"/>
        <n v="2.77"/>
        <n v="2.15"/>
        <n v="2.46"/>
        <n v="5.48"/>
        <n v="4.1100000000000003"/>
        <n v="1.03"/>
        <n v="2.74"/>
        <n v="1.37"/>
        <n v="2.4"/>
        <n v="3.42"/>
        <n v="0.65"/>
        <n v="4.68"/>
        <n v="1.42"/>
        <n v="2.83"/>
        <n v="2.5099999999999998"/>
        <n v="1.2"/>
        <n v="0.98"/>
        <n v="1.53"/>
        <n v="1.31"/>
        <n v="1"/>
        <n v="2.0099999999999998"/>
        <n v="0.13"/>
        <n v="3.39"/>
        <n v="2.38"/>
        <n v="2.13"/>
        <n v="0.38"/>
        <n v="0.88"/>
        <n v="3.01"/>
        <n v="0.75"/>
        <n v="1.88"/>
        <n v="3.63"/>
        <n v="0.51"/>
        <n v="4.3099999999999996"/>
        <n v="2.96"/>
        <n v="4.5599999999999996"/>
        <n v="0.08"/>
        <n v="2.4500000000000002"/>
        <n v="2.11"/>
        <n v="0.28000000000000003"/>
        <n v="5.0999999999999996"/>
        <n v="1.1299999999999999"/>
        <n v="2.27"/>
        <n v="0.71"/>
        <n v="0.14000000000000001"/>
        <n v="0.56999999999999995"/>
        <n v="8.18"/>
        <n v="0.3"/>
        <n v="3.94"/>
        <n v="3.33"/>
        <n v="3.03"/>
        <n v="1.82"/>
        <n v="2.73"/>
        <n v="3.14"/>
        <n v="5.3"/>
        <n v="0.59"/>
        <n v="0.49"/>
        <n v="2.65"/>
        <n v="2.75"/>
        <n v="2.95"/>
        <n v="0.2"/>
        <n v="1.57"/>
        <n v="2.06"/>
        <n v="0.39"/>
        <n v="4"/>
        <n v="6"/>
        <n v="8.89"/>
        <n v="11.11"/>
        <n v="4.4400000000000004"/>
        <n v="6.67"/>
        <n v="2.2200000000000002"/>
        <n v="3.7"/>
        <n v="14.81"/>
        <n v="7.41"/>
        <n v="14.29"/>
        <n v="7.14"/>
        <n v="80"/>
        <n v="20"/>
        <n v="5.36"/>
        <n v="10.71"/>
        <n v="0.89"/>
        <n v="3.57"/>
        <n v="4.1399999999999997"/>
        <n v="3.83"/>
        <n v="5.83"/>
        <n v="3.68"/>
        <n v="3.99"/>
        <n v="3.07"/>
        <n v="2.61"/>
        <n v="0.92"/>
        <n v="2.2999999999999998"/>
        <n v="8.84"/>
        <n v="1.36"/>
        <n v="4.08"/>
        <n v="2.72"/>
        <n v="8.14"/>
        <n v="2.33"/>
        <n v="1.1599999999999999"/>
        <n v="4.6500000000000004"/>
        <n v="3.49"/>
        <n v="6.45"/>
        <n v="3.23"/>
        <n v="9.68"/>
        <n v="4.29"/>
        <n v="5.71"/>
        <n v="1.43"/>
        <n v="2.86"/>
        <n v="1.1100000000000001"/>
        <n v="3.69"/>
        <n v="0.37"/>
        <n v="2.58"/>
        <n v="1.48"/>
        <n v="0.74"/>
        <n v="0.96"/>
        <n v="2.87"/>
        <n v="1.44"/>
        <n v="1.91"/>
        <n v="3.35"/>
        <n v="2.39"/>
        <n v="5.88"/>
        <n v="6.86"/>
        <n v="4.9000000000000004"/>
        <n v="1.96"/>
        <n v="3.92"/>
        <n v="2.48"/>
        <n v="4.55"/>
        <n v="4.13"/>
        <n v="0.41"/>
        <n v="3.31"/>
        <n v="2.89"/>
        <n v="1.24"/>
        <n v="4.3499999999999996"/>
        <n v="2.34"/>
        <n v="1.67"/>
        <n v="8.33"/>
        <n v="4.17"/>
        <n v="5.23"/>
        <n v="11.9"/>
        <n v="4.76"/>
        <n v="5.68"/>
        <n v="3.41"/>
        <n v="6.54"/>
        <n v="4.58"/>
        <n v="0.64"/>
        <n v="3.18"/>
        <n v="3.82"/>
        <n v="4.46"/>
        <n v="17.39"/>
        <n v="10.87"/>
        <n v="2.17"/>
        <n v="6.52"/>
        <n v="5.26"/>
        <n v="8.42"/>
        <n v="4.21"/>
        <n v="18.18"/>
        <n v="9.09"/>
        <n v="27.27"/>
        <n v="41.18"/>
        <n v="11.76"/>
        <n v="5.45"/>
        <n v="7.27"/>
        <n v="3.64"/>
        <n v="10"/>
        <n v="5"/>
        <n v="1.49"/>
        <n v="8.9600000000000009"/>
        <n v="2.99"/>
        <n v="5.97"/>
        <n v="6.15"/>
        <n v="15.38"/>
        <n v="3.08"/>
        <n v="12.9"/>
        <n v="13.04"/>
        <n v="8.6999999999999993"/>
        <n v="12.5"/>
        <n v="3.05"/>
        <n v="5.58"/>
        <n v="4.0599999999999996"/>
        <n v="4.57"/>
        <n v="18.52"/>
        <n v="6.25"/>
        <n v="4.4000000000000004"/>
        <n v="3.3"/>
        <n v="5.49"/>
        <n v="8"/>
        <n v="12"/>
        <n v="13.33"/>
        <n v="12.37"/>
        <n v="4.12"/>
        <n v="5.15"/>
        <n v="23.02"/>
        <n v="8.73"/>
        <n v="3.97"/>
        <n v="0.79"/>
        <n v="0.4"/>
        <n v="2.78"/>
        <n v="3.17"/>
        <n v="1.19"/>
        <n v="26.09"/>
        <n v="7.25"/>
        <n v="1.45"/>
        <n v="6.49"/>
        <n v="4.32"/>
        <n v="1.62"/>
        <n v="3.78"/>
        <n v="3.24"/>
        <n v="1.72"/>
        <n v="3.45"/>
        <n v="2.59"/>
        <n v="0.86"/>
        <n v="11.39"/>
        <n v="7.59"/>
        <n v="6.33"/>
        <n v="3.8"/>
        <n v="5.0599999999999996"/>
        <n v="34.6"/>
        <n v="0.47"/>
        <n v="5.69"/>
        <n v="3.32"/>
        <n v="2.37"/>
        <n v="0.95"/>
        <n v="11.32"/>
        <n v="1.89"/>
        <n v="5.66"/>
        <n v="7.55"/>
        <n v="25.27"/>
        <n v="12.26"/>
        <n v="6.6"/>
        <n v="21.43"/>
        <n v="10.34"/>
        <n v="1.1499999999999999"/>
        <n v="5.75"/>
        <n v="4.5999999999999996"/>
        <n v="19.23"/>
        <n v="3.85"/>
      </sharedItems>
    </cacheField>
    <cacheField name="総数（法人以外の団体）" numFmtId="0" sqlType="4">
      <sharedItems containsSemiMixedTypes="0" containsString="0" containsNumber="1" containsInteger="1" minValue="0" maxValue="6" count="4">
        <n v="1"/>
        <n v="0"/>
        <n v="2"/>
        <n v="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0">
  <r>
    <x v="0"/>
    <s v="長野県"/>
    <x v="0"/>
    <x v="0"/>
    <n v="32"/>
    <n v="0.05"/>
    <n v="5"/>
    <n v="0.02"/>
    <n v="27"/>
    <n v="0.09"/>
    <x v="0"/>
  </r>
  <r>
    <x v="0"/>
    <s v="長野県"/>
    <x v="0"/>
    <x v="1"/>
    <n v="9036"/>
    <n v="14.64"/>
    <n v="3455"/>
    <n v="10.71"/>
    <n v="5581"/>
    <n v="19.579999999999998"/>
    <x v="0"/>
  </r>
  <r>
    <x v="0"/>
    <s v="長野県"/>
    <x v="0"/>
    <x v="2"/>
    <n v="6202"/>
    <n v="10.050000000000001"/>
    <n v="2237"/>
    <n v="6.93"/>
    <n v="3954"/>
    <n v="13.88"/>
    <x v="1"/>
  </r>
  <r>
    <x v="0"/>
    <s v="長野県"/>
    <x v="0"/>
    <x v="3"/>
    <n v="205"/>
    <n v="0.33"/>
    <n v="11"/>
    <n v="0.03"/>
    <n v="155"/>
    <n v="0.54"/>
    <x v="2"/>
  </r>
  <r>
    <x v="0"/>
    <s v="長野県"/>
    <x v="0"/>
    <x v="4"/>
    <n v="553"/>
    <n v="0.9"/>
    <n v="73"/>
    <n v="0.23"/>
    <n v="473"/>
    <n v="1.66"/>
    <x v="3"/>
  </r>
  <r>
    <x v="0"/>
    <s v="長野県"/>
    <x v="0"/>
    <x v="5"/>
    <n v="479"/>
    <n v="0.78"/>
    <n v="119"/>
    <n v="0.37"/>
    <n v="328"/>
    <n v="1.1499999999999999"/>
    <x v="4"/>
  </r>
  <r>
    <x v="0"/>
    <s v="長野県"/>
    <x v="0"/>
    <x v="6"/>
    <n v="13161"/>
    <n v="21.32"/>
    <n v="5596"/>
    <n v="17.34"/>
    <n v="7532"/>
    <n v="26.43"/>
    <x v="5"/>
  </r>
  <r>
    <x v="0"/>
    <s v="長野県"/>
    <x v="0"/>
    <x v="7"/>
    <n v="405"/>
    <n v="0.66"/>
    <n v="71"/>
    <n v="0.22"/>
    <n v="331"/>
    <n v="1.1599999999999999"/>
    <x v="6"/>
  </r>
  <r>
    <x v="0"/>
    <s v="長野県"/>
    <x v="0"/>
    <x v="8"/>
    <n v="5787"/>
    <n v="9.3800000000000008"/>
    <n v="3047"/>
    <n v="9.44"/>
    <n v="2720"/>
    <n v="9.5399999999999991"/>
    <x v="7"/>
  </r>
  <r>
    <x v="0"/>
    <s v="長野県"/>
    <x v="0"/>
    <x v="9"/>
    <n v="3078"/>
    <n v="4.99"/>
    <n v="1682"/>
    <n v="5.21"/>
    <n v="1353"/>
    <n v="4.75"/>
    <x v="7"/>
  </r>
  <r>
    <x v="0"/>
    <s v="長野県"/>
    <x v="0"/>
    <x v="10"/>
    <n v="9183"/>
    <n v="14.88"/>
    <n v="7059"/>
    <n v="21.88"/>
    <n v="2101"/>
    <n v="7.37"/>
    <x v="8"/>
  </r>
  <r>
    <x v="0"/>
    <s v="長野県"/>
    <x v="0"/>
    <x v="11"/>
    <n v="6661"/>
    <n v="10.79"/>
    <n v="5222"/>
    <n v="16.18"/>
    <n v="1384"/>
    <n v="4.8600000000000003"/>
    <x v="9"/>
  </r>
  <r>
    <x v="0"/>
    <s v="長野県"/>
    <x v="0"/>
    <x v="12"/>
    <n v="2177"/>
    <n v="3.53"/>
    <n v="1266"/>
    <n v="3.92"/>
    <n v="575"/>
    <n v="2.02"/>
    <x v="10"/>
  </r>
  <r>
    <x v="0"/>
    <s v="長野県"/>
    <x v="0"/>
    <x v="13"/>
    <n v="2752"/>
    <n v="4.46"/>
    <n v="1691"/>
    <n v="5.24"/>
    <n v="820"/>
    <n v="2.88"/>
    <x v="7"/>
  </r>
  <r>
    <x v="0"/>
    <s v="長野県"/>
    <x v="0"/>
    <x v="14"/>
    <n v="2016"/>
    <n v="3.27"/>
    <n v="734"/>
    <n v="2.27"/>
    <n v="1163"/>
    <n v="4.08"/>
    <x v="11"/>
  </r>
  <r>
    <x v="0"/>
    <s v="長野市"/>
    <x v="1"/>
    <x v="0"/>
    <n v="1"/>
    <n v="0.01"/>
    <n v="0"/>
    <n v="0"/>
    <n v="1"/>
    <n v="0.02"/>
    <x v="0"/>
  </r>
  <r>
    <x v="0"/>
    <s v="長野市"/>
    <x v="1"/>
    <x v="1"/>
    <n v="1426"/>
    <n v="14.07"/>
    <n v="373"/>
    <n v="7.99"/>
    <n v="1053"/>
    <n v="19.59"/>
    <x v="0"/>
  </r>
  <r>
    <x v="0"/>
    <s v="長野市"/>
    <x v="1"/>
    <x v="2"/>
    <n v="595"/>
    <n v="5.87"/>
    <n v="173"/>
    <n v="3.7"/>
    <n v="421"/>
    <n v="7.83"/>
    <x v="0"/>
  </r>
  <r>
    <x v="0"/>
    <s v="長野市"/>
    <x v="1"/>
    <x v="3"/>
    <n v="22"/>
    <n v="0.22"/>
    <n v="1"/>
    <n v="0.02"/>
    <n v="19"/>
    <n v="0.35"/>
    <x v="0"/>
  </r>
  <r>
    <x v="0"/>
    <s v="長野市"/>
    <x v="1"/>
    <x v="4"/>
    <n v="133"/>
    <n v="1.31"/>
    <n v="10"/>
    <n v="0.21"/>
    <n v="120"/>
    <n v="2.23"/>
    <x v="3"/>
  </r>
  <r>
    <x v="0"/>
    <s v="長野市"/>
    <x v="1"/>
    <x v="5"/>
    <n v="92"/>
    <n v="0.91"/>
    <n v="26"/>
    <n v="0.56000000000000005"/>
    <n v="65"/>
    <n v="1.21"/>
    <x v="6"/>
  </r>
  <r>
    <x v="0"/>
    <s v="長野市"/>
    <x v="1"/>
    <x v="6"/>
    <n v="2175"/>
    <n v="21.46"/>
    <n v="700"/>
    <n v="14.99"/>
    <n v="1470"/>
    <n v="27.35"/>
    <x v="8"/>
  </r>
  <r>
    <x v="0"/>
    <s v="長野市"/>
    <x v="1"/>
    <x v="7"/>
    <n v="94"/>
    <n v="0.93"/>
    <n v="4"/>
    <n v="0.09"/>
    <n v="88"/>
    <n v="1.64"/>
    <x v="6"/>
  </r>
  <r>
    <x v="0"/>
    <s v="長野市"/>
    <x v="1"/>
    <x v="8"/>
    <n v="1590"/>
    <n v="15.69"/>
    <n v="897"/>
    <n v="19.2"/>
    <n v="690"/>
    <n v="12.84"/>
    <x v="0"/>
  </r>
  <r>
    <x v="0"/>
    <s v="長野市"/>
    <x v="1"/>
    <x v="9"/>
    <n v="629"/>
    <n v="6.21"/>
    <n v="302"/>
    <n v="6.47"/>
    <n v="322"/>
    <n v="5.99"/>
    <x v="6"/>
  </r>
  <r>
    <x v="0"/>
    <s v="長野市"/>
    <x v="1"/>
    <x v="10"/>
    <n v="1116"/>
    <n v="11.01"/>
    <n v="820"/>
    <n v="17.559999999999999"/>
    <n v="296"/>
    <n v="5.51"/>
    <x v="0"/>
  </r>
  <r>
    <x v="0"/>
    <s v="長野市"/>
    <x v="1"/>
    <x v="11"/>
    <n v="1098"/>
    <n v="10.83"/>
    <n v="809"/>
    <n v="17.32"/>
    <n v="282"/>
    <n v="5.25"/>
    <x v="6"/>
  </r>
  <r>
    <x v="0"/>
    <s v="長野市"/>
    <x v="1"/>
    <x v="12"/>
    <n v="348"/>
    <n v="3.43"/>
    <n v="202"/>
    <n v="4.32"/>
    <n v="118"/>
    <n v="2.2000000000000002"/>
    <x v="6"/>
  </r>
  <r>
    <x v="0"/>
    <s v="長野市"/>
    <x v="1"/>
    <x v="13"/>
    <n v="463"/>
    <n v="4.57"/>
    <n v="265"/>
    <n v="5.67"/>
    <n v="185"/>
    <n v="3.44"/>
    <x v="3"/>
  </r>
  <r>
    <x v="0"/>
    <s v="長野市"/>
    <x v="1"/>
    <x v="14"/>
    <n v="352"/>
    <n v="3.47"/>
    <n v="89"/>
    <n v="1.91"/>
    <n v="244"/>
    <n v="4.54"/>
    <x v="9"/>
  </r>
  <r>
    <x v="0"/>
    <s v="松本市"/>
    <x v="2"/>
    <x v="0"/>
    <n v="0"/>
    <n v="0"/>
    <n v="0"/>
    <n v="0"/>
    <n v="0"/>
    <n v="0"/>
    <x v="0"/>
  </r>
  <r>
    <x v="0"/>
    <s v="松本市"/>
    <x v="2"/>
    <x v="1"/>
    <n v="796"/>
    <n v="10.83"/>
    <n v="169"/>
    <n v="4.6900000000000004"/>
    <n v="627"/>
    <n v="17.28"/>
    <x v="0"/>
  </r>
  <r>
    <x v="0"/>
    <s v="松本市"/>
    <x v="2"/>
    <x v="2"/>
    <n v="445"/>
    <n v="6.05"/>
    <n v="140"/>
    <n v="3.88"/>
    <n v="305"/>
    <n v="8.4"/>
    <x v="0"/>
  </r>
  <r>
    <x v="0"/>
    <s v="松本市"/>
    <x v="2"/>
    <x v="3"/>
    <n v="12"/>
    <n v="0.16"/>
    <n v="1"/>
    <n v="0.03"/>
    <n v="10"/>
    <n v="0.28000000000000003"/>
    <x v="0"/>
  </r>
  <r>
    <x v="0"/>
    <s v="松本市"/>
    <x v="2"/>
    <x v="4"/>
    <n v="77"/>
    <n v="1.05"/>
    <n v="4"/>
    <n v="0.11"/>
    <n v="73"/>
    <n v="2.0099999999999998"/>
    <x v="0"/>
  </r>
  <r>
    <x v="0"/>
    <s v="松本市"/>
    <x v="2"/>
    <x v="5"/>
    <n v="63"/>
    <n v="0.86"/>
    <n v="9"/>
    <n v="0.25"/>
    <n v="51"/>
    <n v="1.41"/>
    <x v="3"/>
  </r>
  <r>
    <x v="0"/>
    <s v="松本市"/>
    <x v="2"/>
    <x v="6"/>
    <n v="1651"/>
    <n v="22.46"/>
    <n v="600"/>
    <n v="16.63"/>
    <n v="1049"/>
    <n v="28.91"/>
    <x v="2"/>
  </r>
  <r>
    <x v="0"/>
    <s v="松本市"/>
    <x v="2"/>
    <x v="7"/>
    <n v="56"/>
    <n v="0.76"/>
    <n v="7"/>
    <n v="0.19"/>
    <n v="49"/>
    <n v="1.35"/>
    <x v="0"/>
  </r>
  <r>
    <x v="0"/>
    <s v="松本市"/>
    <x v="2"/>
    <x v="8"/>
    <n v="932"/>
    <n v="12.68"/>
    <n v="492"/>
    <n v="13.64"/>
    <n v="439"/>
    <n v="12.1"/>
    <x v="6"/>
  </r>
  <r>
    <x v="0"/>
    <s v="松本市"/>
    <x v="2"/>
    <x v="9"/>
    <n v="389"/>
    <n v="5.29"/>
    <n v="190"/>
    <n v="5.27"/>
    <n v="193"/>
    <n v="5.32"/>
    <x v="2"/>
  </r>
  <r>
    <x v="0"/>
    <s v="松本市"/>
    <x v="2"/>
    <x v="10"/>
    <n v="1131"/>
    <n v="15.39"/>
    <n v="896"/>
    <n v="24.84"/>
    <n v="234"/>
    <n v="6.45"/>
    <x v="6"/>
  </r>
  <r>
    <x v="0"/>
    <s v="松本市"/>
    <x v="2"/>
    <x v="11"/>
    <n v="831"/>
    <n v="11.31"/>
    <n v="616"/>
    <n v="17.079999999999998"/>
    <n v="211"/>
    <n v="5.81"/>
    <x v="2"/>
  </r>
  <r>
    <x v="0"/>
    <s v="松本市"/>
    <x v="2"/>
    <x v="12"/>
    <n v="311"/>
    <n v="4.2300000000000004"/>
    <n v="183"/>
    <n v="5.07"/>
    <n v="85"/>
    <n v="2.34"/>
    <x v="6"/>
  </r>
  <r>
    <x v="0"/>
    <s v="松本市"/>
    <x v="2"/>
    <x v="13"/>
    <n v="382"/>
    <n v="5.2"/>
    <n v="219"/>
    <n v="6.07"/>
    <n v="122"/>
    <n v="3.36"/>
    <x v="0"/>
  </r>
  <r>
    <x v="0"/>
    <s v="松本市"/>
    <x v="2"/>
    <x v="14"/>
    <n v="274"/>
    <n v="3.73"/>
    <n v="81"/>
    <n v="2.25"/>
    <n v="181"/>
    <n v="4.99"/>
    <x v="7"/>
  </r>
  <r>
    <x v="0"/>
    <s v="上田市"/>
    <x v="3"/>
    <x v="0"/>
    <n v="1"/>
    <n v="0.02"/>
    <n v="0"/>
    <n v="0"/>
    <n v="1"/>
    <n v="0.05"/>
    <x v="0"/>
  </r>
  <r>
    <x v="0"/>
    <s v="上田市"/>
    <x v="3"/>
    <x v="1"/>
    <n v="580"/>
    <n v="13.48"/>
    <n v="231"/>
    <n v="10.49"/>
    <n v="349"/>
    <n v="16.98"/>
    <x v="0"/>
  </r>
  <r>
    <x v="0"/>
    <s v="上田市"/>
    <x v="3"/>
    <x v="2"/>
    <n v="547"/>
    <n v="12.72"/>
    <n v="201"/>
    <n v="9.1199999999999992"/>
    <n v="346"/>
    <n v="16.84"/>
    <x v="0"/>
  </r>
  <r>
    <x v="0"/>
    <s v="上田市"/>
    <x v="3"/>
    <x v="3"/>
    <n v="7"/>
    <n v="0.16"/>
    <n v="0"/>
    <n v="0"/>
    <n v="5"/>
    <n v="0.24"/>
    <x v="0"/>
  </r>
  <r>
    <x v="0"/>
    <s v="上田市"/>
    <x v="3"/>
    <x v="4"/>
    <n v="36"/>
    <n v="0.84"/>
    <n v="6"/>
    <n v="0.27"/>
    <n v="30"/>
    <n v="1.46"/>
    <x v="0"/>
  </r>
  <r>
    <x v="0"/>
    <s v="上田市"/>
    <x v="3"/>
    <x v="5"/>
    <n v="29"/>
    <n v="0.67"/>
    <n v="5"/>
    <n v="0.23"/>
    <n v="21"/>
    <n v="1.02"/>
    <x v="3"/>
  </r>
  <r>
    <x v="0"/>
    <s v="上田市"/>
    <x v="3"/>
    <x v="6"/>
    <n v="933"/>
    <n v="21.69"/>
    <n v="331"/>
    <n v="15.02"/>
    <n v="602"/>
    <n v="29.29"/>
    <x v="0"/>
  </r>
  <r>
    <x v="0"/>
    <s v="上田市"/>
    <x v="3"/>
    <x v="7"/>
    <n v="20"/>
    <n v="0.46"/>
    <n v="6"/>
    <n v="0.27"/>
    <n v="14"/>
    <n v="0.68"/>
    <x v="0"/>
  </r>
  <r>
    <x v="0"/>
    <s v="上田市"/>
    <x v="3"/>
    <x v="8"/>
    <n v="450"/>
    <n v="10.46"/>
    <n v="244"/>
    <n v="11.08"/>
    <n v="205"/>
    <n v="9.98"/>
    <x v="0"/>
  </r>
  <r>
    <x v="0"/>
    <s v="上田市"/>
    <x v="3"/>
    <x v="9"/>
    <n v="239"/>
    <n v="5.56"/>
    <n v="146"/>
    <n v="6.63"/>
    <n v="91"/>
    <n v="4.43"/>
    <x v="6"/>
  </r>
  <r>
    <x v="0"/>
    <s v="上田市"/>
    <x v="3"/>
    <x v="10"/>
    <n v="527"/>
    <n v="12.25"/>
    <n v="408"/>
    <n v="18.52"/>
    <n v="119"/>
    <n v="5.79"/>
    <x v="0"/>
  </r>
  <r>
    <x v="0"/>
    <s v="上田市"/>
    <x v="3"/>
    <x v="11"/>
    <n v="473"/>
    <n v="10.99"/>
    <n v="378"/>
    <n v="17.16"/>
    <n v="92"/>
    <n v="4.4800000000000004"/>
    <x v="6"/>
  </r>
  <r>
    <x v="0"/>
    <s v="上田市"/>
    <x v="3"/>
    <x v="12"/>
    <n v="122"/>
    <n v="2.84"/>
    <n v="71"/>
    <n v="3.22"/>
    <n v="35"/>
    <n v="1.7"/>
    <x v="2"/>
  </r>
  <r>
    <x v="0"/>
    <s v="上田市"/>
    <x v="3"/>
    <x v="13"/>
    <n v="184"/>
    <n v="4.28"/>
    <n v="123"/>
    <n v="5.58"/>
    <n v="53"/>
    <n v="2.58"/>
    <x v="0"/>
  </r>
  <r>
    <x v="0"/>
    <s v="上田市"/>
    <x v="3"/>
    <x v="14"/>
    <n v="154"/>
    <n v="3.58"/>
    <n v="53"/>
    <n v="2.41"/>
    <n v="92"/>
    <n v="4.4800000000000004"/>
    <x v="8"/>
  </r>
  <r>
    <x v="0"/>
    <s v="岡谷市"/>
    <x v="4"/>
    <x v="0"/>
    <n v="0"/>
    <n v="0"/>
    <n v="0"/>
    <n v="0"/>
    <n v="0"/>
    <n v="0"/>
    <x v="0"/>
  </r>
  <r>
    <x v="0"/>
    <s v="岡谷市"/>
    <x v="4"/>
    <x v="1"/>
    <n v="179"/>
    <n v="11.6"/>
    <n v="59"/>
    <n v="8.5500000000000007"/>
    <n v="120"/>
    <n v="14.6"/>
    <x v="0"/>
  </r>
  <r>
    <x v="0"/>
    <s v="岡谷市"/>
    <x v="4"/>
    <x v="2"/>
    <n v="348"/>
    <n v="22.55"/>
    <n v="108"/>
    <n v="15.65"/>
    <n v="240"/>
    <n v="29.2"/>
    <x v="0"/>
  </r>
  <r>
    <x v="0"/>
    <s v="岡谷市"/>
    <x v="4"/>
    <x v="3"/>
    <n v="2"/>
    <n v="0.13"/>
    <n v="0"/>
    <n v="0"/>
    <n v="2"/>
    <n v="0.24"/>
    <x v="0"/>
  </r>
  <r>
    <x v="0"/>
    <s v="岡谷市"/>
    <x v="4"/>
    <x v="4"/>
    <n v="9"/>
    <n v="0.57999999999999996"/>
    <n v="0"/>
    <n v="0"/>
    <n v="9"/>
    <n v="1.0900000000000001"/>
    <x v="0"/>
  </r>
  <r>
    <x v="0"/>
    <s v="岡谷市"/>
    <x v="4"/>
    <x v="5"/>
    <n v="6"/>
    <n v="0.39"/>
    <n v="2"/>
    <n v="0.28999999999999998"/>
    <n v="3"/>
    <n v="0.36"/>
    <x v="6"/>
  </r>
  <r>
    <x v="0"/>
    <s v="岡谷市"/>
    <x v="4"/>
    <x v="6"/>
    <n v="330"/>
    <n v="21.39"/>
    <n v="126"/>
    <n v="18.260000000000002"/>
    <n v="204"/>
    <n v="24.82"/>
    <x v="0"/>
  </r>
  <r>
    <x v="0"/>
    <s v="岡谷市"/>
    <x v="4"/>
    <x v="7"/>
    <n v="18"/>
    <n v="1.17"/>
    <n v="3"/>
    <n v="0.43"/>
    <n v="15"/>
    <n v="1.82"/>
    <x v="0"/>
  </r>
  <r>
    <x v="0"/>
    <s v="岡谷市"/>
    <x v="4"/>
    <x v="8"/>
    <n v="122"/>
    <n v="7.91"/>
    <n v="47"/>
    <n v="6.81"/>
    <n v="72"/>
    <n v="8.76"/>
    <x v="2"/>
  </r>
  <r>
    <x v="0"/>
    <s v="岡谷市"/>
    <x v="4"/>
    <x v="9"/>
    <n v="77"/>
    <n v="4.99"/>
    <n v="44"/>
    <n v="6.38"/>
    <n v="32"/>
    <n v="3.89"/>
    <x v="0"/>
  </r>
  <r>
    <x v="0"/>
    <s v="岡谷市"/>
    <x v="4"/>
    <x v="10"/>
    <n v="130"/>
    <n v="8.43"/>
    <n v="93"/>
    <n v="13.48"/>
    <n v="37"/>
    <n v="4.5"/>
    <x v="0"/>
  </r>
  <r>
    <x v="0"/>
    <s v="岡谷市"/>
    <x v="4"/>
    <x v="11"/>
    <n v="159"/>
    <n v="10.3"/>
    <n v="131"/>
    <n v="18.989999999999998"/>
    <n v="28"/>
    <n v="3.41"/>
    <x v="0"/>
  </r>
  <r>
    <x v="0"/>
    <s v="岡谷市"/>
    <x v="4"/>
    <x v="12"/>
    <n v="47"/>
    <n v="3.05"/>
    <n v="23"/>
    <n v="3.33"/>
    <n v="15"/>
    <n v="1.82"/>
    <x v="2"/>
  </r>
  <r>
    <x v="0"/>
    <s v="岡谷市"/>
    <x v="4"/>
    <x v="13"/>
    <n v="65"/>
    <n v="4.21"/>
    <n v="35"/>
    <n v="5.07"/>
    <n v="18"/>
    <n v="2.19"/>
    <x v="0"/>
  </r>
  <r>
    <x v="0"/>
    <s v="岡谷市"/>
    <x v="4"/>
    <x v="14"/>
    <n v="51"/>
    <n v="3.31"/>
    <n v="19"/>
    <n v="2.75"/>
    <n v="27"/>
    <n v="3.28"/>
    <x v="3"/>
  </r>
  <r>
    <x v="0"/>
    <s v="飯田市"/>
    <x v="5"/>
    <x v="0"/>
    <n v="2"/>
    <n v="0.06"/>
    <n v="0"/>
    <n v="0"/>
    <n v="2"/>
    <n v="0.13"/>
    <x v="0"/>
  </r>
  <r>
    <x v="0"/>
    <s v="飯田市"/>
    <x v="5"/>
    <x v="1"/>
    <n v="438"/>
    <n v="12.27"/>
    <n v="171"/>
    <n v="8.52"/>
    <n v="267"/>
    <n v="17.91"/>
    <x v="0"/>
  </r>
  <r>
    <x v="0"/>
    <s v="飯田市"/>
    <x v="5"/>
    <x v="2"/>
    <n v="347"/>
    <n v="9.7200000000000006"/>
    <n v="124"/>
    <n v="6.18"/>
    <n v="223"/>
    <n v="14.96"/>
    <x v="0"/>
  </r>
  <r>
    <x v="0"/>
    <s v="飯田市"/>
    <x v="5"/>
    <x v="3"/>
    <n v="14"/>
    <n v="0.39"/>
    <n v="1"/>
    <n v="0.05"/>
    <n v="13"/>
    <n v="0.87"/>
    <x v="0"/>
  </r>
  <r>
    <x v="0"/>
    <s v="飯田市"/>
    <x v="5"/>
    <x v="4"/>
    <n v="31"/>
    <n v="0.87"/>
    <n v="3"/>
    <n v="0.15"/>
    <n v="26"/>
    <n v="1.74"/>
    <x v="0"/>
  </r>
  <r>
    <x v="0"/>
    <s v="飯田市"/>
    <x v="5"/>
    <x v="5"/>
    <n v="27"/>
    <n v="0.76"/>
    <n v="10"/>
    <n v="0.5"/>
    <n v="16"/>
    <n v="1.07"/>
    <x v="6"/>
  </r>
  <r>
    <x v="0"/>
    <s v="飯田市"/>
    <x v="5"/>
    <x v="6"/>
    <n v="714"/>
    <n v="20.010000000000002"/>
    <n v="336"/>
    <n v="16.73"/>
    <n v="377"/>
    <n v="25.29"/>
    <x v="6"/>
  </r>
  <r>
    <x v="0"/>
    <s v="飯田市"/>
    <x v="5"/>
    <x v="7"/>
    <n v="31"/>
    <n v="0.87"/>
    <n v="6"/>
    <n v="0.3"/>
    <n v="25"/>
    <n v="1.68"/>
    <x v="0"/>
  </r>
  <r>
    <x v="0"/>
    <s v="飯田市"/>
    <x v="5"/>
    <x v="8"/>
    <n v="427"/>
    <n v="11.96"/>
    <n v="280"/>
    <n v="13.94"/>
    <n v="146"/>
    <n v="9.7899999999999991"/>
    <x v="0"/>
  </r>
  <r>
    <x v="0"/>
    <s v="飯田市"/>
    <x v="5"/>
    <x v="9"/>
    <n v="186"/>
    <n v="5.21"/>
    <n v="96"/>
    <n v="4.78"/>
    <n v="83"/>
    <n v="5.57"/>
    <x v="6"/>
  </r>
  <r>
    <x v="0"/>
    <s v="飯田市"/>
    <x v="5"/>
    <x v="10"/>
    <n v="525"/>
    <n v="14.71"/>
    <n v="407"/>
    <n v="20.27"/>
    <n v="115"/>
    <n v="7.71"/>
    <x v="0"/>
  </r>
  <r>
    <x v="0"/>
    <s v="飯田市"/>
    <x v="5"/>
    <x v="11"/>
    <n v="415"/>
    <n v="11.63"/>
    <n v="347"/>
    <n v="17.28"/>
    <n v="66"/>
    <n v="4.43"/>
    <x v="0"/>
  </r>
  <r>
    <x v="0"/>
    <s v="飯田市"/>
    <x v="5"/>
    <x v="12"/>
    <n v="115"/>
    <n v="3.22"/>
    <n v="66"/>
    <n v="3.29"/>
    <n v="23"/>
    <n v="1.54"/>
    <x v="6"/>
  </r>
  <r>
    <x v="0"/>
    <s v="飯田市"/>
    <x v="5"/>
    <x v="13"/>
    <n v="177"/>
    <n v="4.96"/>
    <n v="110"/>
    <n v="5.48"/>
    <n v="46"/>
    <n v="3.09"/>
    <x v="0"/>
  </r>
  <r>
    <x v="0"/>
    <s v="飯田市"/>
    <x v="5"/>
    <x v="14"/>
    <n v="120"/>
    <n v="3.36"/>
    <n v="51"/>
    <n v="2.54"/>
    <n v="63"/>
    <n v="4.2300000000000004"/>
    <x v="8"/>
  </r>
  <r>
    <x v="0"/>
    <s v="諏訪市"/>
    <x v="6"/>
    <x v="0"/>
    <n v="0"/>
    <n v="0"/>
    <n v="0"/>
    <n v="0"/>
    <n v="0"/>
    <n v="0"/>
    <x v="0"/>
  </r>
  <r>
    <x v="0"/>
    <s v="諏訪市"/>
    <x v="6"/>
    <x v="1"/>
    <n v="234"/>
    <n v="12.34"/>
    <n v="62"/>
    <n v="6.77"/>
    <n v="172"/>
    <n v="17.920000000000002"/>
    <x v="0"/>
  </r>
  <r>
    <x v="0"/>
    <s v="諏訪市"/>
    <x v="6"/>
    <x v="2"/>
    <n v="216"/>
    <n v="11.39"/>
    <n v="57"/>
    <n v="6.22"/>
    <n v="158"/>
    <n v="16.46"/>
    <x v="0"/>
  </r>
  <r>
    <x v="0"/>
    <s v="諏訪市"/>
    <x v="6"/>
    <x v="3"/>
    <n v="13"/>
    <n v="0.69"/>
    <n v="0"/>
    <n v="0"/>
    <n v="13"/>
    <n v="1.35"/>
    <x v="0"/>
  </r>
  <r>
    <x v="0"/>
    <s v="諏訪市"/>
    <x v="6"/>
    <x v="4"/>
    <n v="19"/>
    <n v="1"/>
    <n v="0"/>
    <n v="0"/>
    <n v="19"/>
    <n v="1.98"/>
    <x v="0"/>
  </r>
  <r>
    <x v="0"/>
    <s v="諏訪市"/>
    <x v="6"/>
    <x v="5"/>
    <n v="15"/>
    <n v="0.79"/>
    <n v="3"/>
    <n v="0.33"/>
    <n v="12"/>
    <n v="1.25"/>
    <x v="0"/>
  </r>
  <r>
    <x v="0"/>
    <s v="諏訪市"/>
    <x v="6"/>
    <x v="6"/>
    <n v="357"/>
    <n v="18.82"/>
    <n v="124"/>
    <n v="13.54"/>
    <n v="232"/>
    <n v="24.17"/>
    <x v="6"/>
  </r>
  <r>
    <x v="0"/>
    <s v="諏訪市"/>
    <x v="6"/>
    <x v="7"/>
    <n v="17"/>
    <n v="0.9"/>
    <n v="5"/>
    <n v="0.55000000000000004"/>
    <n v="12"/>
    <n v="1.25"/>
    <x v="0"/>
  </r>
  <r>
    <x v="0"/>
    <s v="諏訪市"/>
    <x v="6"/>
    <x v="8"/>
    <n v="301"/>
    <n v="15.87"/>
    <n v="196"/>
    <n v="21.4"/>
    <n v="104"/>
    <n v="10.83"/>
    <x v="0"/>
  </r>
  <r>
    <x v="0"/>
    <s v="諏訪市"/>
    <x v="6"/>
    <x v="9"/>
    <n v="105"/>
    <n v="5.54"/>
    <n v="58"/>
    <n v="6.33"/>
    <n v="47"/>
    <n v="4.9000000000000004"/>
    <x v="0"/>
  </r>
  <r>
    <x v="0"/>
    <s v="諏訪市"/>
    <x v="6"/>
    <x v="10"/>
    <n v="260"/>
    <n v="13.71"/>
    <n v="187"/>
    <n v="20.41"/>
    <n v="73"/>
    <n v="7.6"/>
    <x v="0"/>
  </r>
  <r>
    <x v="0"/>
    <s v="諏訪市"/>
    <x v="6"/>
    <x v="11"/>
    <n v="174"/>
    <n v="9.17"/>
    <n v="129"/>
    <n v="14.08"/>
    <n v="43"/>
    <n v="4.4800000000000004"/>
    <x v="6"/>
  </r>
  <r>
    <x v="0"/>
    <s v="諏訪市"/>
    <x v="6"/>
    <x v="12"/>
    <n v="63"/>
    <n v="3.32"/>
    <n v="36"/>
    <n v="3.93"/>
    <n v="19"/>
    <n v="1.98"/>
    <x v="0"/>
  </r>
  <r>
    <x v="0"/>
    <s v="諏訪市"/>
    <x v="6"/>
    <x v="13"/>
    <n v="67"/>
    <n v="3.53"/>
    <n v="43"/>
    <n v="4.6900000000000004"/>
    <n v="21"/>
    <n v="2.19"/>
    <x v="0"/>
  </r>
  <r>
    <x v="0"/>
    <s v="諏訪市"/>
    <x v="6"/>
    <x v="14"/>
    <n v="56"/>
    <n v="2.95"/>
    <n v="16"/>
    <n v="1.75"/>
    <n v="35"/>
    <n v="3.65"/>
    <x v="0"/>
  </r>
  <r>
    <x v="0"/>
    <s v="須坂市"/>
    <x v="7"/>
    <x v="0"/>
    <n v="1"/>
    <n v="7.0000000000000007E-2"/>
    <n v="0"/>
    <n v="0"/>
    <n v="1"/>
    <n v="0.16"/>
    <x v="0"/>
  </r>
  <r>
    <x v="0"/>
    <s v="須坂市"/>
    <x v="7"/>
    <x v="1"/>
    <n v="184"/>
    <n v="13.23"/>
    <n v="55"/>
    <n v="7.49"/>
    <n v="129"/>
    <n v="20.190000000000001"/>
    <x v="0"/>
  </r>
  <r>
    <x v="0"/>
    <s v="須坂市"/>
    <x v="7"/>
    <x v="2"/>
    <n v="175"/>
    <n v="12.58"/>
    <n v="49"/>
    <n v="6.68"/>
    <n v="126"/>
    <n v="19.72"/>
    <x v="0"/>
  </r>
  <r>
    <x v="0"/>
    <s v="須坂市"/>
    <x v="7"/>
    <x v="3"/>
    <n v="3"/>
    <n v="0.22"/>
    <n v="0"/>
    <n v="0"/>
    <n v="3"/>
    <n v="0.47"/>
    <x v="0"/>
  </r>
  <r>
    <x v="0"/>
    <s v="須坂市"/>
    <x v="7"/>
    <x v="4"/>
    <n v="6"/>
    <n v="0.43"/>
    <n v="0"/>
    <n v="0"/>
    <n v="6"/>
    <n v="0.94"/>
    <x v="0"/>
  </r>
  <r>
    <x v="0"/>
    <s v="須坂市"/>
    <x v="7"/>
    <x v="5"/>
    <n v="8"/>
    <n v="0.57999999999999996"/>
    <n v="1"/>
    <n v="0.14000000000000001"/>
    <n v="7"/>
    <n v="1.1000000000000001"/>
    <x v="0"/>
  </r>
  <r>
    <x v="0"/>
    <s v="須坂市"/>
    <x v="7"/>
    <x v="6"/>
    <n v="312"/>
    <n v="22.43"/>
    <n v="143"/>
    <n v="19.48"/>
    <n v="169"/>
    <n v="26.45"/>
    <x v="0"/>
  </r>
  <r>
    <x v="0"/>
    <s v="須坂市"/>
    <x v="7"/>
    <x v="7"/>
    <n v="5"/>
    <n v="0.36"/>
    <n v="1"/>
    <n v="0.14000000000000001"/>
    <n v="4"/>
    <n v="0.63"/>
    <x v="0"/>
  </r>
  <r>
    <x v="0"/>
    <s v="須坂市"/>
    <x v="7"/>
    <x v="8"/>
    <n v="119"/>
    <n v="8.5500000000000007"/>
    <n v="54"/>
    <n v="7.36"/>
    <n v="64"/>
    <n v="10.02"/>
    <x v="6"/>
  </r>
  <r>
    <x v="0"/>
    <s v="須坂市"/>
    <x v="7"/>
    <x v="9"/>
    <n v="65"/>
    <n v="4.67"/>
    <n v="37"/>
    <n v="5.04"/>
    <n v="28"/>
    <n v="4.38"/>
    <x v="0"/>
  </r>
  <r>
    <x v="0"/>
    <s v="須坂市"/>
    <x v="7"/>
    <x v="10"/>
    <n v="203"/>
    <n v="14.59"/>
    <n v="175"/>
    <n v="23.84"/>
    <n v="28"/>
    <n v="4.38"/>
    <x v="0"/>
  </r>
  <r>
    <x v="0"/>
    <s v="須坂市"/>
    <x v="7"/>
    <x v="11"/>
    <n v="152"/>
    <n v="10.93"/>
    <n v="126"/>
    <n v="17.170000000000002"/>
    <n v="26"/>
    <n v="4.07"/>
    <x v="0"/>
  </r>
  <r>
    <x v="0"/>
    <s v="須坂市"/>
    <x v="7"/>
    <x v="12"/>
    <n v="71"/>
    <n v="5.0999999999999996"/>
    <n v="43"/>
    <n v="5.86"/>
    <n v="17"/>
    <n v="2.66"/>
    <x v="0"/>
  </r>
  <r>
    <x v="0"/>
    <s v="須坂市"/>
    <x v="7"/>
    <x v="13"/>
    <n v="58"/>
    <n v="4.17"/>
    <n v="37"/>
    <n v="5.04"/>
    <n v="18"/>
    <n v="2.82"/>
    <x v="0"/>
  </r>
  <r>
    <x v="0"/>
    <s v="須坂市"/>
    <x v="7"/>
    <x v="14"/>
    <n v="29"/>
    <n v="2.08"/>
    <n v="13"/>
    <n v="1.77"/>
    <n v="13"/>
    <n v="2.0299999999999998"/>
    <x v="6"/>
  </r>
  <r>
    <x v="0"/>
    <s v="小諸市"/>
    <x v="8"/>
    <x v="0"/>
    <n v="2"/>
    <n v="0.17"/>
    <n v="0"/>
    <n v="0"/>
    <n v="2"/>
    <n v="0.39"/>
    <x v="0"/>
  </r>
  <r>
    <x v="0"/>
    <s v="小諸市"/>
    <x v="8"/>
    <x v="1"/>
    <n v="180"/>
    <n v="15.56"/>
    <n v="82"/>
    <n v="13.06"/>
    <n v="98"/>
    <n v="18.920000000000002"/>
    <x v="0"/>
  </r>
  <r>
    <x v="0"/>
    <s v="小諸市"/>
    <x v="8"/>
    <x v="2"/>
    <n v="126"/>
    <n v="10.89"/>
    <n v="54"/>
    <n v="8.6"/>
    <n v="72"/>
    <n v="13.9"/>
    <x v="0"/>
  </r>
  <r>
    <x v="0"/>
    <s v="小諸市"/>
    <x v="8"/>
    <x v="3"/>
    <n v="3"/>
    <n v="0.26"/>
    <n v="1"/>
    <n v="0.16"/>
    <n v="2"/>
    <n v="0.39"/>
    <x v="0"/>
  </r>
  <r>
    <x v="0"/>
    <s v="小諸市"/>
    <x v="8"/>
    <x v="4"/>
    <n v="11"/>
    <n v="0.95"/>
    <n v="0"/>
    <n v="0"/>
    <n v="11"/>
    <n v="2.12"/>
    <x v="0"/>
  </r>
  <r>
    <x v="0"/>
    <s v="小諸市"/>
    <x v="8"/>
    <x v="5"/>
    <n v="6"/>
    <n v="0.52"/>
    <n v="1"/>
    <n v="0.16"/>
    <n v="5"/>
    <n v="0.97"/>
    <x v="0"/>
  </r>
  <r>
    <x v="0"/>
    <s v="小諸市"/>
    <x v="8"/>
    <x v="6"/>
    <n v="253"/>
    <n v="21.87"/>
    <n v="111"/>
    <n v="17.68"/>
    <n v="140"/>
    <n v="27.03"/>
    <x v="2"/>
  </r>
  <r>
    <x v="0"/>
    <s v="小諸市"/>
    <x v="8"/>
    <x v="7"/>
    <n v="8"/>
    <n v="0.69"/>
    <n v="2"/>
    <n v="0.32"/>
    <n v="6"/>
    <n v="1.1599999999999999"/>
    <x v="0"/>
  </r>
  <r>
    <x v="0"/>
    <s v="小諸市"/>
    <x v="8"/>
    <x v="8"/>
    <n v="96"/>
    <n v="8.3000000000000007"/>
    <n v="40"/>
    <n v="6.37"/>
    <n v="56"/>
    <n v="10.81"/>
    <x v="0"/>
  </r>
  <r>
    <x v="0"/>
    <s v="小諸市"/>
    <x v="8"/>
    <x v="9"/>
    <n v="62"/>
    <n v="5.36"/>
    <n v="38"/>
    <n v="6.05"/>
    <n v="24"/>
    <n v="4.63"/>
    <x v="0"/>
  </r>
  <r>
    <x v="0"/>
    <s v="小諸市"/>
    <x v="8"/>
    <x v="10"/>
    <n v="168"/>
    <n v="14.52"/>
    <n v="140"/>
    <n v="22.29"/>
    <n v="28"/>
    <n v="5.41"/>
    <x v="0"/>
  </r>
  <r>
    <x v="0"/>
    <s v="小諸市"/>
    <x v="8"/>
    <x v="11"/>
    <n v="130"/>
    <n v="11.24"/>
    <n v="102"/>
    <n v="16.239999999999998"/>
    <n v="27"/>
    <n v="5.21"/>
    <x v="6"/>
  </r>
  <r>
    <x v="0"/>
    <s v="小諸市"/>
    <x v="8"/>
    <x v="12"/>
    <n v="30"/>
    <n v="2.59"/>
    <n v="14"/>
    <n v="2.23"/>
    <n v="12"/>
    <n v="2.3199999999999998"/>
    <x v="0"/>
  </r>
  <r>
    <x v="0"/>
    <s v="小諸市"/>
    <x v="8"/>
    <x v="13"/>
    <n v="45"/>
    <n v="3.89"/>
    <n v="27"/>
    <n v="4.3"/>
    <n v="14"/>
    <n v="2.7"/>
    <x v="0"/>
  </r>
  <r>
    <x v="0"/>
    <s v="小諸市"/>
    <x v="8"/>
    <x v="14"/>
    <n v="37"/>
    <n v="3.2"/>
    <n v="16"/>
    <n v="2.5499999999999998"/>
    <n v="21"/>
    <n v="4.05"/>
    <x v="0"/>
  </r>
  <r>
    <x v="0"/>
    <s v="伊那市"/>
    <x v="9"/>
    <x v="0"/>
    <n v="3"/>
    <n v="0.16"/>
    <n v="0"/>
    <n v="0"/>
    <n v="3"/>
    <n v="0.33"/>
    <x v="0"/>
  </r>
  <r>
    <x v="0"/>
    <s v="伊那市"/>
    <x v="9"/>
    <x v="1"/>
    <n v="269"/>
    <n v="14.09"/>
    <n v="87"/>
    <n v="8.9700000000000006"/>
    <n v="182"/>
    <n v="19.98"/>
    <x v="0"/>
  </r>
  <r>
    <x v="0"/>
    <s v="伊那市"/>
    <x v="9"/>
    <x v="2"/>
    <n v="199"/>
    <n v="10.42"/>
    <n v="67"/>
    <n v="6.91"/>
    <n v="132"/>
    <n v="14.49"/>
    <x v="0"/>
  </r>
  <r>
    <x v="0"/>
    <s v="伊那市"/>
    <x v="9"/>
    <x v="3"/>
    <n v="3"/>
    <n v="0.16"/>
    <n v="0"/>
    <n v="0"/>
    <n v="3"/>
    <n v="0.33"/>
    <x v="0"/>
  </r>
  <r>
    <x v="0"/>
    <s v="伊那市"/>
    <x v="9"/>
    <x v="4"/>
    <n v="23"/>
    <n v="1.2"/>
    <n v="2"/>
    <n v="0.21"/>
    <n v="21"/>
    <n v="2.31"/>
    <x v="0"/>
  </r>
  <r>
    <x v="0"/>
    <s v="伊那市"/>
    <x v="9"/>
    <x v="5"/>
    <n v="10"/>
    <n v="0.52"/>
    <n v="0"/>
    <n v="0"/>
    <n v="10"/>
    <n v="1.1000000000000001"/>
    <x v="0"/>
  </r>
  <r>
    <x v="0"/>
    <s v="伊那市"/>
    <x v="9"/>
    <x v="6"/>
    <n v="433"/>
    <n v="22.68"/>
    <n v="181"/>
    <n v="18.66"/>
    <n v="251"/>
    <n v="27.55"/>
    <x v="6"/>
  </r>
  <r>
    <x v="0"/>
    <s v="伊那市"/>
    <x v="9"/>
    <x v="7"/>
    <n v="16"/>
    <n v="0.84"/>
    <n v="1"/>
    <n v="0.1"/>
    <n v="15"/>
    <n v="1.65"/>
    <x v="0"/>
  </r>
  <r>
    <x v="0"/>
    <s v="伊那市"/>
    <x v="9"/>
    <x v="8"/>
    <n v="117"/>
    <n v="6.13"/>
    <n v="55"/>
    <n v="5.67"/>
    <n v="61"/>
    <n v="6.7"/>
    <x v="0"/>
  </r>
  <r>
    <x v="0"/>
    <s v="伊那市"/>
    <x v="9"/>
    <x v="9"/>
    <n v="94"/>
    <n v="4.92"/>
    <n v="50"/>
    <n v="5.15"/>
    <n v="42"/>
    <n v="4.6100000000000003"/>
    <x v="0"/>
  </r>
  <r>
    <x v="0"/>
    <s v="伊那市"/>
    <x v="9"/>
    <x v="10"/>
    <n v="283"/>
    <n v="14.82"/>
    <n v="214"/>
    <n v="22.06"/>
    <n v="68"/>
    <n v="7.46"/>
    <x v="0"/>
  </r>
  <r>
    <x v="0"/>
    <s v="伊那市"/>
    <x v="9"/>
    <x v="11"/>
    <n v="254"/>
    <n v="13.31"/>
    <n v="196"/>
    <n v="20.21"/>
    <n v="57"/>
    <n v="6.26"/>
    <x v="6"/>
  </r>
  <r>
    <x v="0"/>
    <s v="伊那市"/>
    <x v="9"/>
    <x v="12"/>
    <n v="71"/>
    <n v="3.72"/>
    <n v="38"/>
    <n v="3.92"/>
    <n v="17"/>
    <n v="1.87"/>
    <x v="3"/>
  </r>
  <r>
    <x v="0"/>
    <s v="伊那市"/>
    <x v="9"/>
    <x v="13"/>
    <n v="69"/>
    <n v="3.61"/>
    <n v="50"/>
    <n v="5.15"/>
    <n v="15"/>
    <n v="1.65"/>
    <x v="0"/>
  </r>
  <r>
    <x v="0"/>
    <s v="伊那市"/>
    <x v="9"/>
    <x v="14"/>
    <n v="65"/>
    <n v="3.4"/>
    <n v="29"/>
    <n v="2.99"/>
    <n v="34"/>
    <n v="3.73"/>
    <x v="6"/>
  </r>
  <r>
    <x v="0"/>
    <s v="駒ヶ根市"/>
    <x v="10"/>
    <x v="0"/>
    <n v="0"/>
    <n v="0"/>
    <n v="0"/>
    <n v="0"/>
    <n v="0"/>
    <n v="0"/>
    <x v="0"/>
  </r>
  <r>
    <x v="0"/>
    <s v="駒ヶ根市"/>
    <x v="10"/>
    <x v="1"/>
    <n v="122"/>
    <n v="11.91"/>
    <n v="46"/>
    <n v="8.0399999999999991"/>
    <n v="76"/>
    <n v="17.190000000000001"/>
    <x v="0"/>
  </r>
  <r>
    <x v="0"/>
    <s v="駒ヶ根市"/>
    <x v="10"/>
    <x v="2"/>
    <n v="93"/>
    <n v="9.08"/>
    <n v="30"/>
    <n v="5.24"/>
    <n v="63"/>
    <n v="14.25"/>
    <x v="0"/>
  </r>
  <r>
    <x v="0"/>
    <s v="駒ヶ根市"/>
    <x v="10"/>
    <x v="3"/>
    <n v="6"/>
    <n v="0.59"/>
    <n v="1"/>
    <n v="0.17"/>
    <n v="4"/>
    <n v="0.9"/>
    <x v="0"/>
  </r>
  <r>
    <x v="0"/>
    <s v="駒ヶ根市"/>
    <x v="10"/>
    <x v="4"/>
    <n v="7"/>
    <n v="0.68"/>
    <n v="1"/>
    <n v="0.17"/>
    <n v="6"/>
    <n v="1.36"/>
    <x v="0"/>
  </r>
  <r>
    <x v="0"/>
    <s v="駒ヶ根市"/>
    <x v="10"/>
    <x v="5"/>
    <n v="4"/>
    <n v="0.39"/>
    <n v="2"/>
    <n v="0.35"/>
    <n v="2"/>
    <n v="0.45"/>
    <x v="0"/>
  </r>
  <r>
    <x v="0"/>
    <s v="駒ヶ根市"/>
    <x v="10"/>
    <x v="6"/>
    <n v="222"/>
    <n v="21.68"/>
    <n v="96"/>
    <n v="16.78"/>
    <n v="126"/>
    <n v="28.51"/>
    <x v="0"/>
  </r>
  <r>
    <x v="0"/>
    <s v="駒ヶ根市"/>
    <x v="10"/>
    <x v="7"/>
    <n v="16"/>
    <n v="1.56"/>
    <n v="7"/>
    <n v="1.22"/>
    <n v="9"/>
    <n v="2.04"/>
    <x v="0"/>
  </r>
  <r>
    <x v="0"/>
    <s v="駒ヶ根市"/>
    <x v="10"/>
    <x v="8"/>
    <n v="102"/>
    <n v="9.9600000000000009"/>
    <n v="69"/>
    <n v="12.06"/>
    <n v="33"/>
    <n v="7.47"/>
    <x v="0"/>
  </r>
  <r>
    <x v="0"/>
    <s v="駒ヶ根市"/>
    <x v="10"/>
    <x v="9"/>
    <n v="51"/>
    <n v="4.9800000000000004"/>
    <n v="29"/>
    <n v="5.07"/>
    <n v="21"/>
    <n v="4.75"/>
    <x v="0"/>
  </r>
  <r>
    <x v="0"/>
    <s v="駒ヶ根市"/>
    <x v="10"/>
    <x v="10"/>
    <n v="150"/>
    <n v="14.65"/>
    <n v="111"/>
    <n v="19.41"/>
    <n v="38"/>
    <n v="8.6"/>
    <x v="0"/>
  </r>
  <r>
    <x v="0"/>
    <s v="駒ヶ根市"/>
    <x v="10"/>
    <x v="11"/>
    <n v="130"/>
    <n v="12.7"/>
    <n v="106"/>
    <n v="18.53"/>
    <n v="23"/>
    <n v="5.2"/>
    <x v="0"/>
  </r>
  <r>
    <x v="0"/>
    <s v="駒ヶ根市"/>
    <x v="10"/>
    <x v="12"/>
    <n v="43"/>
    <n v="4.2"/>
    <n v="32"/>
    <n v="5.59"/>
    <n v="8"/>
    <n v="1.81"/>
    <x v="0"/>
  </r>
  <r>
    <x v="0"/>
    <s v="駒ヶ根市"/>
    <x v="10"/>
    <x v="13"/>
    <n v="50"/>
    <n v="4.88"/>
    <n v="33"/>
    <n v="5.77"/>
    <n v="17"/>
    <n v="3.85"/>
    <x v="0"/>
  </r>
  <r>
    <x v="0"/>
    <s v="駒ヶ根市"/>
    <x v="10"/>
    <x v="14"/>
    <n v="28"/>
    <n v="2.73"/>
    <n v="9"/>
    <n v="1.57"/>
    <n v="16"/>
    <n v="3.62"/>
    <x v="6"/>
  </r>
  <r>
    <x v="0"/>
    <s v="中野市"/>
    <x v="11"/>
    <x v="0"/>
    <n v="1"/>
    <n v="0.08"/>
    <n v="0"/>
    <n v="0"/>
    <n v="1"/>
    <n v="0.18"/>
    <x v="0"/>
  </r>
  <r>
    <x v="0"/>
    <s v="中野市"/>
    <x v="11"/>
    <x v="1"/>
    <n v="189"/>
    <n v="15.65"/>
    <n v="67"/>
    <n v="10.44"/>
    <n v="122"/>
    <n v="22.14"/>
    <x v="0"/>
  </r>
  <r>
    <x v="0"/>
    <s v="中野市"/>
    <x v="11"/>
    <x v="2"/>
    <n v="121"/>
    <n v="10.02"/>
    <n v="48"/>
    <n v="7.48"/>
    <n v="73"/>
    <n v="13.25"/>
    <x v="0"/>
  </r>
  <r>
    <x v="0"/>
    <s v="中野市"/>
    <x v="11"/>
    <x v="3"/>
    <n v="1"/>
    <n v="0.08"/>
    <n v="0"/>
    <n v="0"/>
    <n v="1"/>
    <n v="0.18"/>
    <x v="0"/>
  </r>
  <r>
    <x v="0"/>
    <s v="中野市"/>
    <x v="11"/>
    <x v="4"/>
    <n v="3"/>
    <n v="0.25"/>
    <n v="1"/>
    <n v="0.16"/>
    <n v="2"/>
    <n v="0.36"/>
    <x v="0"/>
  </r>
  <r>
    <x v="0"/>
    <s v="中野市"/>
    <x v="11"/>
    <x v="5"/>
    <n v="7"/>
    <n v="0.57999999999999996"/>
    <n v="1"/>
    <n v="0.16"/>
    <n v="6"/>
    <n v="1.0900000000000001"/>
    <x v="0"/>
  </r>
  <r>
    <x v="0"/>
    <s v="中野市"/>
    <x v="11"/>
    <x v="6"/>
    <n v="329"/>
    <n v="27.24"/>
    <n v="149"/>
    <n v="23.21"/>
    <n v="180"/>
    <n v="32.67"/>
    <x v="0"/>
  </r>
  <r>
    <x v="0"/>
    <s v="中野市"/>
    <x v="11"/>
    <x v="7"/>
    <n v="11"/>
    <n v="0.91"/>
    <n v="3"/>
    <n v="0.47"/>
    <n v="8"/>
    <n v="1.45"/>
    <x v="0"/>
  </r>
  <r>
    <x v="0"/>
    <s v="中野市"/>
    <x v="11"/>
    <x v="8"/>
    <n v="89"/>
    <n v="7.37"/>
    <n v="41"/>
    <n v="6.39"/>
    <n v="48"/>
    <n v="8.7100000000000009"/>
    <x v="0"/>
  </r>
  <r>
    <x v="0"/>
    <s v="中野市"/>
    <x v="11"/>
    <x v="9"/>
    <n v="61"/>
    <n v="5.05"/>
    <n v="35"/>
    <n v="5.45"/>
    <n v="26"/>
    <n v="4.72"/>
    <x v="0"/>
  </r>
  <r>
    <x v="0"/>
    <s v="中野市"/>
    <x v="11"/>
    <x v="10"/>
    <n v="124"/>
    <n v="10.26"/>
    <n v="110"/>
    <n v="17.13"/>
    <n v="12"/>
    <n v="2.1800000000000002"/>
    <x v="0"/>
  </r>
  <r>
    <x v="0"/>
    <s v="中野市"/>
    <x v="11"/>
    <x v="11"/>
    <n v="137"/>
    <n v="11.34"/>
    <n v="112"/>
    <n v="17.45"/>
    <n v="25"/>
    <n v="4.54"/>
    <x v="0"/>
  </r>
  <r>
    <x v="0"/>
    <s v="中野市"/>
    <x v="11"/>
    <x v="12"/>
    <n v="40"/>
    <n v="3.31"/>
    <n v="23"/>
    <n v="3.58"/>
    <n v="11"/>
    <n v="2"/>
    <x v="0"/>
  </r>
  <r>
    <x v="0"/>
    <s v="中野市"/>
    <x v="11"/>
    <x v="13"/>
    <n v="57"/>
    <n v="4.72"/>
    <n v="36"/>
    <n v="5.61"/>
    <n v="16"/>
    <n v="2.9"/>
    <x v="0"/>
  </r>
  <r>
    <x v="0"/>
    <s v="中野市"/>
    <x v="11"/>
    <x v="14"/>
    <n v="38"/>
    <n v="3.15"/>
    <n v="16"/>
    <n v="2.4900000000000002"/>
    <n v="20"/>
    <n v="3.63"/>
    <x v="0"/>
  </r>
  <r>
    <x v="0"/>
    <s v="大町市"/>
    <x v="12"/>
    <x v="0"/>
    <n v="0"/>
    <n v="0"/>
    <n v="0"/>
    <n v="0"/>
    <n v="0"/>
    <n v="0"/>
    <x v="0"/>
  </r>
  <r>
    <x v="0"/>
    <s v="大町市"/>
    <x v="12"/>
    <x v="1"/>
    <n v="120"/>
    <n v="15.92"/>
    <n v="51"/>
    <n v="12.66"/>
    <n v="69"/>
    <n v="21.23"/>
    <x v="0"/>
  </r>
  <r>
    <x v="0"/>
    <s v="大町市"/>
    <x v="12"/>
    <x v="2"/>
    <n v="54"/>
    <n v="7.16"/>
    <n v="21"/>
    <n v="5.21"/>
    <n v="33"/>
    <n v="10.15"/>
    <x v="0"/>
  </r>
  <r>
    <x v="0"/>
    <s v="大町市"/>
    <x v="12"/>
    <x v="3"/>
    <n v="1"/>
    <n v="0.13"/>
    <n v="0"/>
    <n v="0"/>
    <n v="1"/>
    <n v="0.31"/>
    <x v="0"/>
  </r>
  <r>
    <x v="0"/>
    <s v="大町市"/>
    <x v="12"/>
    <x v="4"/>
    <n v="4"/>
    <n v="0.53"/>
    <n v="0"/>
    <n v="0"/>
    <n v="4"/>
    <n v="1.23"/>
    <x v="0"/>
  </r>
  <r>
    <x v="0"/>
    <s v="大町市"/>
    <x v="12"/>
    <x v="5"/>
    <n v="9"/>
    <n v="1.19"/>
    <n v="2"/>
    <n v="0.5"/>
    <n v="5"/>
    <n v="1.54"/>
    <x v="6"/>
  </r>
  <r>
    <x v="0"/>
    <s v="大町市"/>
    <x v="12"/>
    <x v="6"/>
    <n v="154"/>
    <n v="20.420000000000002"/>
    <n v="72"/>
    <n v="17.87"/>
    <n v="81"/>
    <n v="24.92"/>
    <x v="6"/>
  </r>
  <r>
    <x v="0"/>
    <s v="大町市"/>
    <x v="12"/>
    <x v="7"/>
    <n v="7"/>
    <n v="0.93"/>
    <n v="0"/>
    <n v="0"/>
    <n v="7"/>
    <n v="2.15"/>
    <x v="0"/>
  </r>
  <r>
    <x v="0"/>
    <s v="大町市"/>
    <x v="12"/>
    <x v="8"/>
    <n v="31"/>
    <n v="4.1100000000000003"/>
    <n v="13"/>
    <n v="3.23"/>
    <n v="18"/>
    <n v="5.54"/>
    <x v="0"/>
  </r>
  <r>
    <x v="0"/>
    <s v="大町市"/>
    <x v="12"/>
    <x v="9"/>
    <n v="30"/>
    <n v="3.98"/>
    <n v="19"/>
    <n v="4.71"/>
    <n v="9"/>
    <n v="2.77"/>
    <x v="0"/>
  </r>
  <r>
    <x v="0"/>
    <s v="大町市"/>
    <x v="12"/>
    <x v="10"/>
    <n v="132"/>
    <n v="17.510000000000002"/>
    <n v="97"/>
    <n v="24.07"/>
    <n v="35"/>
    <n v="10.77"/>
    <x v="0"/>
  </r>
  <r>
    <x v="0"/>
    <s v="大町市"/>
    <x v="12"/>
    <x v="11"/>
    <n v="90"/>
    <n v="11.94"/>
    <n v="71"/>
    <n v="17.62"/>
    <n v="19"/>
    <n v="5.85"/>
    <x v="0"/>
  </r>
  <r>
    <x v="0"/>
    <s v="大町市"/>
    <x v="12"/>
    <x v="12"/>
    <n v="46"/>
    <n v="6.1"/>
    <n v="29"/>
    <n v="7.2"/>
    <n v="9"/>
    <n v="2.77"/>
    <x v="0"/>
  </r>
  <r>
    <x v="0"/>
    <s v="大町市"/>
    <x v="12"/>
    <x v="13"/>
    <n v="42"/>
    <n v="5.57"/>
    <n v="17"/>
    <n v="4.22"/>
    <n v="16"/>
    <n v="4.92"/>
    <x v="0"/>
  </r>
  <r>
    <x v="0"/>
    <s v="大町市"/>
    <x v="12"/>
    <x v="14"/>
    <n v="34"/>
    <n v="4.51"/>
    <n v="11"/>
    <n v="2.73"/>
    <n v="19"/>
    <n v="5.85"/>
    <x v="6"/>
  </r>
  <r>
    <x v="0"/>
    <s v="飯山市"/>
    <x v="13"/>
    <x v="0"/>
    <n v="0"/>
    <n v="0"/>
    <n v="0"/>
    <n v="0"/>
    <n v="0"/>
    <n v="0"/>
    <x v="0"/>
  </r>
  <r>
    <x v="0"/>
    <s v="飯山市"/>
    <x v="13"/>
    <x v="1"/>
    <n v="132"/>
    <n v="17.62"/>
    <n v="76"/>
    <n v="17.23"/>
    <n v="56"/>
    <n v="19.18"/>
    <x v="0"/>
  </r>
  <r>
    <x v="0"/>
    <s v="飯山市"/>
    <x v="13"/>
    <x v="2"/>
    <n v="53"/>
    <n v="7.08"/>
    <n v="22"/>
    <n v="4.99"/>
    <n v="31"/>
    <n v="10.62"/>
    <x v="0"/>
  </r>
  <r>
    <x v="0"/>
    <s v="飯山市"/>
    <x v="13"/>
    <x v="3"/>
    <n v="2"/>
    <n v="0.27"/>
    <n v="0"/>
    <n v="0"/>
    <n v="2"/>
    <n v="0.68"/>
    <x v="0"/>
  </r>
  <r>
    <x v="0"/>
    <s v="飯山市"/>
    <x v="13"/>
    <x v="4"/>
    <n v="5"/>
    <n v="0.67"/>
    <n v="1"/>
    <n v="0.23"/>
    <n v="4"/>
    <n v="1.37"/>
    <x v="0"/>
  </r>
  <r>
    <x v="0"/>
    <s v="飯山市"/>
    <x v="13"/>
    <x v="5"/>
    <n v="7"/>
    <n v="0.93"/>
    <n v="4"/>
    <n v="0.91"/>
    <n v="2"/>
    <n v="0.68"/>
    <x v="6"/>
  </r>
  <r>
    <x v="0"/>
    <s v="飯山市"/>
    <x v="13"/>
    <x v="6"/>
    <n v="185"/>
    <n v="24.7"/>
    <n v="93"/>
    <n v="21.09"/>
    <n v="92"/>
    <n v="31.51"/>
    <x v="0"/>
  </r>
  <r>
    <x v="0"/>
    <s v="飯山市"/>
    <x v="13"/>
    <x v="7"/>
    <n v="2"/>
    <n v="0.27"/>
    <n v="0"/>
    <n v="0"/>
    <n v="2"/>
    <n v="0.68"/>
    <x v="0"/>
  </r>
  <r>
    <x v="0"/>
    <s v="飯山市"/>
    <x v="13"/>
    <x v="8"/>
    <n v="29"/>
    <n v="3.87"/>
    <n v="14"/>
    <n v="3.17"/>
    <n v="15"/>
    <n v="5.14"/>
    <x v="0"/>
  </r>
  <r>
    <x v="0"/>
    <s v="飯山市"/>
    <x v="13"/>
    <x v="9"/>
    <n v="23"/>
    <n v="3.07"/>
    <n v="15"/>
    <n v="3.4"/>
    <n v="8"/>
    <n v="2.74"/>
    <x v="0"/>
  </r>
  <r>
    <x v="0"/>
    <s v="飯山市"/>
    <x v="13"/>
    <x v="10"/>
    <n v="131"/>
    <n v="17.489999999999998"/>
    <n v="100"/>
    <n v="22.68"/>
    <n v="31"/>
    <n v="10.62"/>
    <x v="0"/>
  </r>
  <r>
    <x v="0"/>
    <s v="飯山市"/>
    <x v="13"/>
    <x v="11"/>
    <n v="106"/>
    <n v="14.15"/>
    <n v="89"/>
    <n v="20.18"/>
    <n v="17"/>
    <n v="5.82"/>
    <x v="0"/>
  </r>
  <r>
    <x v="0"/>
    <s v="飯山市"/>
    <x v="13"/>
    <x v="12"/>
    <n v="18"/>
    <n v="2.4"/>
    <n v="10"/>
    <n v="2.27"/>
    <n v="5"/>
    <n v="1.71"/>
    <x v="0"/>
  </r>
  <r>
    <x v="0"/>
    <s v="飯山市"/>
    <x v="13"/>
    <x v="13"/>
    <n v="34"/>
    <n v="4.54"/>
    <n v="12"/>
    <n v="2.72"/>
    <n v="19"/>
    <n v="6.51"/>
    <x v="0"/>
  </r>
  <r>
    <x v="0"/>
    <s v="飯山市"/>
    <x v="13"/>
    <x v="14"/>
    <n v="22"/>
    <n v="2.94"/>
    <n v="5"/>
    <n v="1.1299999999999999"/>
    <n v="8"/>
    <n v="2.74"/>
    <x v="0"/>
  </r>
  <r>
    <x v="0"/>
    <s v="茅野市"/>
    <x v="14"/>
    <x v="0"/>
    <n v="0"/>
    <n v="0"/>
    <n v="0"/>
    <n v="0"/>
    <n v="0"/>
    <n v="0"/>
    <x v="0"/>
  </r>
  <r>
    <x v="0"/>
    <s v="茅野市"/>
    <x v="14"/>
    <x v="1"/>
    <n v="242"/>
    <n v="14.63"/>
    <n v="71"/>
    <n v="10.16"/>
    <n v="171"/>
    <n v="18.63"/>
    <x v="0"/>
  </r>
  <r>
    <x v="0"/>
    <s v="茅野市"/>
    <x v="14"/>
    <x v="2"/>
    <n v="218"/>
    <n v="13.18"/>
    <n v="51"/>
    <n v="7.3"/>
    <n v="167"/>
    <n v="18.190000000000001"/>
    <x v="0"/>
  </r>
  <r>
    <x v="0"/>
    <s v="茅野市"/>
    <x v="14"/>
    <x v="3"/>
    <n v="9"/>
    <n v="0.54"/>
    <n v="0"/>
    <n v="0"/>
    <n v="9"/>
    <n v="0.98"/>
    <x v="0"/>
  </r>
  <r>
    <x v="0"/>
    <s v="茅野市"/>
    <x v="14"/>
    <x v="4"/>
    <n v="18"/>
    <n v="1.0900000000000001"/>
    <n v="2"/>
    <n v="0.28999999999999998"/>
    <n v="16"/>
    <n v="1.74"/>
    <x v="0"/>
  </r>
  <r>
    <x v="0"/>
    <s v="茅野市"/>
    <x v="14"/>
    <x v="5"/>
    <n v="5"/>
    <n v="0.3"/>
    <n v="1"/>
    <n v="0.14000000000000001"/>
    <n v="4"/>
    <n v="0.44"/>
    <x v="0"/>
  </r>
  <r>
    <x v="0"/>
    <s v="茅野市"/>
    <x v="14"/>
    <x v="6"/>
    <n v="296"/>
    <n v="17.899999999999999"/>
    <n v="112"/>
    <n v="16.02"/>
    <n v="184"/>
    <n v="20.04"/>
    <x v="0"/>
  </r>
  <r>
    <x v="0"/>
    <s v="茅野市"/>
    <x v="14"/>
    <x v="7"/>
    <n v="9"/>
    <n v="0.54"/>
    <n v="0"/>
    <n v="0"/>
    <n v="9"/>
    <n v="0.98"/>
    <x v="0"/>
  </r>
  <r>
    <x v="0"/>
    <s v="茅野市"/>
    <x v="14"/>
    <x v="8"/>
    <n v="95"/>
    <n v="5.74"/>
    <n v="14"/>
    <n v="2"/>
    <n v="79"/>
    <n v="8.61"/>
    <x v="6"/>
  </r>
  <r>
    <x v="0"/>
    <s v="茅野市"/>
    <x v="14"/>
    <x v="9"/>
    <n v="90"/>
    <n v="5.44"/>
    <n v="46"/>
    <n v="6.58"/>
    <n v="44"/>
    <n v="4.79"/>
    <x v="0"/>
  </r>
  <r>
    <x v="0"/>
    <s v="茅野市"/>
    <x v="14"/>
    <x v="10"/>
    <n v="311"/>
    <n v="18.8"/>
    <n v="193"/>
    <n v="27.61"/>
    <n v="118"/>
    <n v="12.85"/>
    <x v="0"/>
  </r>
  <r>
    <x v="0"/>
    <s v="茅野市"/>
    <x v="14"/>
    <x v="11"/>
    <n v="160"/>
    <n v="9.67"/>
    <n v="114"/>
    <n v="16.309999999999999"/>
    <n v="46"/>
    <n v="5.01"/>
    <x v="0"/>
  </r>
  <r>
    <x v="0"/>
    <s v="茅野市"/>
    <x v="14"/>
    <x v="12"/>
    <n v="52"/>
    <n v="3.14"/>
    <n v="27"/>
    <n v="3.86"/>
    <n v="21"/>
    <n v="2.29"/>
    <x v="0"/>
  </r>
  <r>
    <x v="0"/>
    <s v="茅野市"/>
    <x v="14"/>
    <x v="13"/>
    <n v="91"/>
    <n v="5.5"/>
    <n v="47"/>
    <n v="6.72"/>
    <n v="14"/>
    <n v="1.53"/>
    <x v="0"/>
  </r>
  <r>
    <x v="0"/>
    <s v="茅野市"/>
    <x v="14"/>
    <x v="14"/>
    <n v="58"/>
    <n v="3.51"/>
    <n v="21"/>
    <n v="3"/>
    <n v="36"/>
    <n v="3.92"/>
    <x v="0"/>
  </r>
  <r>
    <x v="0"/>
    <s v="塩尻市"/>
    <x v="15"/>
    <x v="0"/>
    <n v="1"/>
    <n v="0.06"/>
    <n v="0"/>
    <n v="0"/>
    <n v="1"/>
    <n v="0.13"/>
    <x v="0"/>
  </r>
  <r>
    <x v="0"/>
    <s v="塩尻市"/>
    <x v="15"/>
    <x v="1"/>
    <n v="234"/>
    <n v="13.53"/>
    <n v="80"/>
    <n v="8.9499999999999993"/>
    <n v="154"/>
    <n v="19.32"/>
    <x v="0"/>
  </r>
  <r>
    <x v="0"/>
    <s v="塩尻市"/>
    <x v="15"/>
    <x v="2"/>
    <n v="226"/>
    <n v="13.07"/>
    <n v="104"/>
    <n v="11.63"/>
    <n v="122"/>
    <n v="15.31"/>
    <x v="0"/>
  </r>
  <r>
    <x v="0"/>
    <s v="塩尻市"/>
    <x v="15"/>
    <x v="3"/>
    <n v="4"/>
    <n v="0.23"/>
    <n v="0"/>
    <n v="0"/>
    <n v="2"/>
    <n v="0.25"/>
    <x v="6"/>
  </r>
  <r>
    <x v="0"/>
    <s v="塩尻市"/>
    <x v="15"/>
    <x v="4"/>
    <n v="27"/>
    <n v="1.56"/>
    <n v="4"/>
    <n v="0.45"/>
    <n v="23"/>
    <n v="2.89"/>
    <x v="0"/>
  </r>
  <r>
    <x v="0"/>
    <s v="塩尻市"/>
    <x v="15"/>
    <x v="5"/>
    <n v="17"/>
    <n v="0.98"/>
    <n v="2"/>
    <n v="0.22"/>
    <n v="15"/>
    <n v="1.88"/>
    <x v="0"/>
  </r>
  <r>
    <x v="0"/>
    <s v="塩尻市"/>
    <x v="15"/>
    <x v="6"/>
    <n v="373"/>
    <n v="21.57"/>
    <n v="172"/>
    <n v="19.239999999999998"/>
    <n v="200"/>
    <n v="25.09"/>
    <x v="6"/>
  </r>
  <r>
    <x v="0"/>
    <s v="塩尻市"/>
    <x v="15"/>
    <x v="7"/>
    <n v="9"/>
    <n v="0.52"/>
    <n v="2"/>
    <n v="0.22"/>
    <n v="7"/>
    <n v="0.88"/>
    <x v="0"/>
  </r>
  <r>
    <x v="0"/>
    <s v="塩尻市"/>
    <x v="15"/>
    <x v="8"/>
    <n v="160"/>
    <n v="9.25"/>
    <n v="82"/>
    <n v="9.17"/>
    <n v="78"/>
    <n v="9.7899999999999991"/>
    <x v="0"/>
  </r>
  <r>
    <x v="0"/>
    <s v="塩尻市"/>
    <x v="15"/>
    <x v="9"/>
    <n v="71"/>
    <n v="4.1100000000000003"/>
    <n v="38"/>
    <n v="4.25"/>
    <n v="33"/>
    <n v="4.1399999999999997"/>
    <x v="0"/>
  </r>
  <r>
    <x v="0"/>
    <s v="塩尻市"/>
    <x v="15"/>
    <x v="10"/>
    <n v="183"/>
    <n v="10.58"/>
    <n v="135"/>
    <n v="15.1"/>
    <n v="47"/>
    <n v="5.9"/>
    <x v="0"/>
  </r>
  <r>
    <x v="0"/>
    <s v="塩尻市"/>
    <x v="15"/>
    <x v="11"/>
    <n v="200"/>
    <n v="11.57"/>
    <n v="166"/>
    <n v="18.57"/>
    <n v="34"/>
    <n v="4.2699999999999996"/>
    <x v="0"/>
  </r>
  <r>
    <x v="0"/>
    <s v="塩尻市"/>
    <x v="15"/>
    <x v="12"/>
    <n v="78"/>
    <n v="4.51"/>
    <n v="32"/>
    <n v="3.58"/>
    <n v="19"/>
    <n v="2.38"/>
    <x v="6"/>
  </r>
  <r>
    <x v="0"/>
    <s v="塩尻市"/>
    <x v="15"/>
    <x v="13"/>
    <n v="87"/>
    <n v="5.03"/>
    <n v="57"/>
    <n v="6.38"/>
    <n v="25"/>
    <n v="3.14"/>
    <x v="6"/>
  </r>
  <r>
    <x v="0"/>
    <s v="塩尻市"/>
    <x v="15"/>
    <x v="14"/>
    <n v="59"/>
    <n v="3.41"/>
    <n v="20"/>
    <n v="2.2400000000000002"/>
    <n v="37"/>
    <n v="4.6399999999999997"/>
    <x v="0"/>
  </r>
  <r>
    <x v="0"/>
    <s v="佐久市"/>
    <x v="16"/>
    <x v="0"/>
    <n v="0"/>
    <n v="0"/>
    <n v="0"/>
    <n v="0"/>
    <n v="0"/>
    <n v="0"/>
    <x v="0"/>
  </r>
  <r>
    <x v="0"/>
    <s v="佐久市"/>
    <x v="16"/>
    <x v="1"/>
    <n v="458"/>
    <n v="16.149999999999999"/>
    <n v="209"/>
    <n v="12.87"/>
    <n v="249"/>
    <n v="21.03"/>
    <x v="0"/>
  </r>
  <r>
    <x v="0"/>
    <s v="佐久市"/>
    <x v="16"/>
    <x v="2"/>
    <n v="284"/>
    <n v="10.01"/>
    <n v="112"/>
    <n v="6.9"/>
    <n v="172"/>
    <n v="14.53"/>
    <x v="0"/>
  </r>
  <r>
    <x v="0"/>
    <s v="佐久市"/>
    <x v="16"/>
    <x v="3"/>
    <n v="6"/>
    <n v="0.21"/>
    <n v="0"/>
    <n v="0"/>
    <n v="5"/>
    <n v="0.42"/>
    <x v="6"/>
  </r>
  <r>
    <x v="0"/>
    <s v="佐久市"/>
    <x v="16"/>
    <x v="4"/>
    <n v="21"/>
    <n v="0.74"/>
    <n v="5"/>
    <n v="0.31"/>
    <n v="16"/>
    <n v="1.35"/>
    <x v="0"/>
  </r>
  <r>
    <x v="0"/>
    <s v="佐久市"/>
    <x v="16"/>
    <x v="5"/>
    <n v="20"/>
    <n v="0.71"/>
    <n v="6"/>
    <n v="0.37"/>
    <n v="14"/>
    <n v="1.18"/>
    <x v="0"/>
  </r>
  <r>
    <x v="0"/>
    <s v="佐久市"/>
    <x v="16"/>
    <x v="6"/>
    <n v="616"/>
    <n v="21.72"/>
    <n v="315"/>
    <n v="19.399999999999999"/>
    <n v="301"/>
    <n v="25.42"/>
    <x v="0"/>
  </r>
  <r>
    <x v="0"/>
    <s v="佐久市"/>
    <x v="16"/>
    <x v="7"/>
    <n v="16"/>
    <n v="0.56000000000000005"/>
    <n v="5"/>
    <n v="0.31"/>
    <n v="11"/>
    <n v="0.93"/>
    <x v="0"/>
  </r>
  <r>
    <x v="0"/>
    <s v="佐久市"/>
    <x v="16"/>
    <x v="8"/>
    <n v="168"/>
    <n v="5.92"/>
    <n v="54"/>
    <n v="3.33"/>
    <n v="114"/>
    <n v="9.6300000000000008"/>
    <x v="0"/>
  </r>
  <r>
    <x v="0"/>
    <s v="佐久市"/>
    <x v="16"/>
    <x v="9"/>
    <n v="172"/>
    <n v="6.06"/>
    <n v="105"/>
    <n v="6.47"/>
    <n v="66"/>
    <n v="5.57"/>
    <x v="0"/>
  </r>
  <r>
    <x v="0"/>
    <s v="佐久市"/>
    <x v="16"/>
    <x v="10"/>
    <n v="374"/>
    <n v="13.19"/>
    <n v="322"/>
    <n v="19.829999999999998"/>
    <n v="52"/>
    <n v="4.3899999999999997"/>
    <x v="0"/>
  </r>
  <r>
    <x v="0"/>
    <s v="佐久市"/>
    <x v="16"/>
    <x v="11"/>
    <n v="338"/>
    <n v="11.92"/>
    <n v="275"/>
    <n v="16.93"/>
    <n v="61"/>
    <n v="5.15"/>
    <x v="6"/>
  </r>
  <r>
    <x v="0"/>
    <s v="佐久市"/>
    <x v="16"/>
    <x v="12"/>
    <n v="87"/>
    <n v="3.07"/>
    <n v="45"/>
    <n v="2.77"/>
    <n v="28"/>
    <n v="2.36"/>
    <x v="0"/>
  </r>
  <r>
    <x v="0"/>
    <s v="佐久市"/>
    <x v="16"/>
    <x v="13"/>
    <n v="159"/>
    <n v="5.61"/>
    <n v="108"/>
    <n v="6.65"/>
    <n v="45"/>
    <n v="3.8"/>
    <x v="0"/>
  </r>
  <r>
    <x v="0"/>
    <s v="佐久市"/>
    <x v="16"/>
    <x v="14"/>
    <n v="117"/>
    <n v="4.13"/>
    <n v="63"/>
    <n v="3.88"/>
    <n v="50"/>
    <n v="4.22"/>
    <x v="2"/>
  </r>
  <r>
    <x v="0"/>
    <s v="千曲市"/>
    <x v="17"/>
    <x v="0"/>
    <n v="1"/>
    <n v="0.06"/>
    <n v="0"/>
    <n v="0"/>
    <n v="1"/>
    <n v="0.14000000000000001"/>
    <x v="0"/>
  </r>
  <r>
    <x v="0"/>
    <s v="千曲市"/>
    <x v="17"/>
    <x v="1"/>
    <n v="240"/>
    <n v="14.66"/>
    <n v="93"/>
    <n v="10.28"/>
    <n v="147"/>
    <n v="20.82"/>
    <x v="0"/>
  </r>
  <r>
    <x v="0"/>
    <s v="千曲市"/>
    <x v="17"/>
    <x v="2"/>
    <n v="223"/>
    <n v="13.62"/>
    <n v="68"/>
    <n v="7.51"/>
    <n v="155"/>
    <n v="21.95"/>
    <x v="0"/>
  </r>
  <r>
    <x v="0"/>
    <s v="千曲市"/>
    <x v="17"/>
    <x v="3"/>
    <n v="6"/>
    <n v="0.37"/>
    <n v="1"/>
    <n v="0.11"/>
    <n v="4"/>
    <n v="0.56999999999999995"/>
    <x v="0"/>
  </r>
  <r>
    <x v="0"/>
    <s v="千曲市"/>
    <x v="17"/>
    <x v="4"/>
    <n v="9"/>
    <n v="0.55000000000000004"/>
    <n v="0"/>
    <n v="0"/>
    <n v="9"/>
    <n v="1.27"/>
    <x v="0"/>
  </r>
  <r>
    <x v="0"/>
    <s v="千曲市"/>
    <x v="17"/>
    <x v="5"/>
    <n v="8"/>
    <n v="0.49"/>
    <n v="2"/>
    <n v="0.22"/>
    <n v="5"/>
    <n v="0.71"/>
    <x v="0"/>
  </r>
  <r>
    <x v="0"/>
    <s v="千曲市"/>
    <x v="17"/>
    <x v="6"/>
    <n v="335"/>
    <n v="20.46"/>
    <n v="137"/>
    <n v="15.14"/>
    <n v="198"/>
    <n v="28.05"/>
    <x v="0"/>
  </r>
  <r>
    <x v="0"/>
    <s v="千曲市"/>
    <x v="17"/>
    <x v="7"/>
    <n v="4"/>
    <n v="0.24"/>
    <n v="1"/>
    <n v="0.11"/>
    <n v="3"/>
    <n v="0.42"/>
    <x v="0"/>
  </r>
  <r>
    <x v="0"/>
    <s v="千曲市"/>
    <x v="17"/>
    <x v="8"/>
    <n v="184"/>
    <n v="11.24"/>
    <n v="145"/>
    <n v="16.02"/>
    <n v="39"/>
    <n v="5.52"/>
    <x v="0"/>
  </r>
  <r>
    <x v="0"/>
    <s v="千曲市"/>
    <x v="17"/>
    <x v="9"/>
    <n v="73"/>
    <n v="4.46"/>
    <n v="48"/>
    <n v="5.3"/>
    <n v="25"/>
    <n v="3.54"/>
    <x v="0"/>
  </r>
  <r>
    <x v="0"/>
    <s v="千曲市"/>
    <x v="17"/>
    <x v="10"/>
    <n v="183"/>
    <n v="11.18"/>
    <n v="148"/>
    <n v="16.350000000000001"/>
    <n v="35"/>
    <n v="4.96"/>
    <x v="0"/>
  </r>
  <r>
    <x v="0"/>
    <s v="千曲市"/>
    <x v="17"/>
    <x v="11"/>
    <n v="195"/>
    <n v="11.91"/>
    <n v="164"/>
    <n v="18.12"/>
    <n v="29"/>
    <n v="4.1100000000000003"/>
    <x v="0"/>
  </r>
  <r>
    <x v="0"/>
    <s v="千曲市"/>
    <x v="17"/>
    <x v="12"/>
    <n v="60"/>
    <n v="3.67"/>
    <n v="35"/>
    <n v="3.87"/>
    <n v="10"/>
    <n v="1.42"/>
    <x v="0"/>
  </r>
  <r>
    <x v="0"/>
    <s v="千曲市"/>
    <x v="17"/>
    <x v="13"/>
    <n v="70"/>
    <n v="4.28"/>
    <n v="42"/>
    <n v="4.6399999999999997"/>
    <n v="24"/>
    <n v="3.4"/>
    <x v="6"/>
  </r>
  <r>
    <x v="0"/>
    <s v="千曲市"/>
    <x v="17"/>
    <x v="14"/>
    <n v="46"/>
    <n v="2.81"/>
    <n v="21"/>
    <n v="2.3199999999999998"/>
    <n v="22"/>
    <n v="3.12"/>
    <x v="0"/>
  </r>
  <r>
    <x v="0"/>
    <s v="東御市"/>
    <x v="18"/>
    <x v="0"/>
    <n v="0"/>
    <n v="0"/>
    <n v="0"/>
    <n v="0"/>
    <n v="0"/>
    <n v="0"/>
    <x v="0"/>
  </r>
  <r>
    <x v="0"/>
    <s v="東御市"/>
    <x v="18"/>
    <x v="1"/>
    <n v="165"/>
    <n v="20.86"/>
    <n v="86"/>
    <n v="19.82"/>
    <n v="79"/>
    <n v="23.94"/>
    <x v="0"/>
  </r>
  <r>
    <x v="0"/>
    <s v="東御市"/>
    <x v="18"/>
    <x v="2"/>
    <n v="117"/>
    <n v="14.79"/>
    <n v="47"/>
    <n v="10.83"/>
    <n v="69"/>
    <n v="20.91"/>
    <x v="6"/>
  </r>
  <r>
    <x v="0"/>
    <s v="東御市"/>
    <x v="18"/>
    <x v="3"/>
    <n v="5"/>
    <n v="0.63"/>
    <n v="1"/>
    <n v="0.23"/>
    <n v="4"/>
    <n v="1.21"/>
    <x v="0"/>
  </r>
  <r>
    <x v="0"/>
    <s v="東御市"/>
    <x v="18"/>
    <x v="4"/>
    <n v="9"/>
    <n v="1.1399999999999999"/>
    <n v="2"/>
    <n v="0.46"/>
    <n v="7"/>
    <n v="2.12"/>
    <x v="0"/>
  </r>
  <r>
    <x v="0"/>
    <s v="東御市"/>
    <x v="18"/>
    <x v="5"/>
    <n v="3"/>
    <n v="0.38"/>
    <n v="0"/>
    <n v="0"/>
    <n v="3"/>
    <n v="0.91"/>
    <x v="0"/>
  </r>
  <r>
    <x v="0"/>
    <s v="東御市"/>
    <x v="18"/>
    <x v="6"/>
    <n v="168"/>
    <n v="21.24"/>
    <n v="81"/>
    <n v="18.66"/>
    <n v="85"/>
    <n v="25.76"/>
    <x v="0"/>
  </r>
  <r>
    <x v="0"/>
    <s v="東御市"/>
    <x v="18"/>
    <x v="7"/>
    <n v="2"/>
    <n v="0.25"/>
    <n v="1"/>
    <n v="0.23"/>
    <n v="1"/>
    <n v="0.3"/>
    <x v="0"/>
  </r>
  <r>
    <x v="0"/>
    <s v="東御市"/>
    <x v="18"/>
    <x v="8"/>
    <n v="35"/>
    <n v="4.42"/>
    <n v="16"/>
    <n v="3.69"/>
    <n v="19"/>
    <n v="5.76"/>
    <x v="0"/>
  </r>
  <r>
    <x v="0"/>
    <s v="東御市"/>
    <x v="18"/>
    <x v="9"/>
    <n v="26"/>
    <n v="3.29"/>
    <n v="16"/>
    <n v="3.69"/>
    <n v="10"/>
    <n v="3.03"/>
    <x v="0"/>
  </r>
  <r>
    <x v="0"/>
    <s v="東御市"/>
    <x v="18"/>
    <x v="10"/>
    <n v="90"/>
    <n v="11.38"/>
    <n v="76"/>
    <n v="17.510000000000002"/>
    <n v="13"/>
    <n v="3.94"/>
    <x v="0"/>
  </r>
  <r>
    <x v="0"/>
    <s v="東御市"/>
    <x v="18"/>
    <x v="11"/>
    <n v="80"/>
    <n v="10.11"/>
    <n v="65"/>
    <n v="14.98"/>
    <n v="13"/>
    <n v="3.94"/>
    <x v="0"/>
  </r>
  <r>
    <x v="0"/>
    <s v="東御市"/>
    <x v="18"/>
    <x v="12"/>
    <n v="26"/>
    <n v="3.29"/>
    <n v="11"/>
    <n v="2.5299999999999998"/>
    <n v="6"/>
    <n v="1.82"/>
    <x v="0"/>
  </r>
  <r>
    <x v="0"/>
    <s v="東御市"/>
    <x v="18"/>
    <x v="13"/>
    <n v="34"/>
    <n v="4.3"/>
    <n v="18"/>
    <n v="4.1500000000000004"/>
    <n v="6"/>
    <n v="1.82"/>
    <x v="6"/>
  </r>
  <r>
    <x v="0"/>
    <s v="東御市"/>
    <x v="18"/>
    <x v="14"/>
    <n v="31"/>
    <n v="3.92"/>
    <n v="14"/>
    <n v="3.23"/>
    <n v="15"/>
    <n v="4.55"/>
    <x v="0"/>
  </r>
  <r>
    <x v="0"/>
    <s v="安曇野市"/>
    <x v="19"/>
    <x v="0"/>
    <n v="0"/>
    <n v="0"/>
    <n v="0"/>
    <n v="0"/>
    <n v="0"/>
    <n v="0"/>
    <x v="0"/>
  </r>
  <r>
    <x v="0"/>
    <s v="安曇野市"/>
    <x v="19"/>
    <x v="1"/>
    <n v="385"/>
    <n v="17.600000000000001"/>
    <n v="126"/>
    <n v="10.88"/>
    <n v="259"/>
    <n v="25.44"/>
    <x v="0"/>
  </r>
  <r>
    <x v="0"/>
    <s v="安曇野市"/>
    <x v="19"/>
    <x v="2"/>
    <n v="180"/>
    <n v="8.23"/>
    <n v="49"/>
    <n v="4.2300000000000004"/>
    <n v="131"/>
    <n v="12.87"/>
    <x v="0"/>
  </r>
  <r>
    <x v="0"/>
    <s v="安曇野市"/>
    <x v="19"/>
    <x v="3"/>
    <n v="7"/>
    <n v="0.32"/>
    <n v="1"/>
    <n v="0.09"/>
    <n v="6"/>
    <n v="0.59"/>
    <x v="0"/>
  </r>
  <r>
    <x v="0"/>
    <s v="安曇野市"/>
    <x v="19"/>
    <x v="4"/>
    <n v="12"/>
    <n v="0.55000000000000004"/>
    <n v="3"/>
    <n v="0.26"/>
    <n v="9"/>
    <n v="0.88"/>
    <x v="0"/>
  </r>
  <r>
    <x v="0"/>
    <s v="安曇野市"/>
    <x v="19"/>
    <x v="5"/>
    <n v="14"/>
    <n v="0.64"/>
    <n v="4"/>
    <n v="0.35"/>
    <n v="10"/>
    <n v="0.98"/>
    <x v="0"/>
  </r>
  <r>
    <x v="0"/>
    <s v="安曇野市"/>
    <x v="19"/>
    <x v="6"/>
    <n v="461"/>
    <n v="21.07"/>
    <n v="211"/>
    <n v="18.22"/>
    <n v="249"/>
    <n v="24.46"/>
    <x v="6"/>
  </r>
  <r>
    <x v="0"/>
    <s v="安曇野市"/>
    <x v="19"/>
    <x v="7"/>
    <n v="9"/>
    <n v="0.41"/>
    <n v="1"/>
    <n v="0.09"/>
    <n v="8"/>
    <n v="0.79"/>
    <x v="0"/>
  </r>
  <r>
    <x v="0"/>
    <s v="安曇野市"/>
    <x v="19"/>
    <x v="8"/>
    <n v="176"/>
    <n v="8.0399999999999991"/>
    <n v="102"/>
    <n v="8.81"/>
    <n v="74"/>
    <n v="7.27"/>
    <x v="0"/>
  </r>
  <r>
    <x v="0"/>
    <s v="安曇野市"/>
    <x v="19"/>
    <x v="9"/>
    <n v="89"/>
    <n v="4.07"/>
    <n v="41"/>
    <n v="3.54"/>
    <n v="48"/>
    <n v="4.72"/>
    <x v="0"/>
  </r>
  <r>
    <x v="0"/>
    <s v="安曇野市"/>
    <x v="19"/>
    <x v="10"/>
    <n v="301"/>
    <n v="13.76"/>
    <n v="243"/>
    <n v="20.98"/>
    <n v="58"/>
    <n v="5.7"/>
    <x v="0"/>
  </r>
  <r>
    <x v="0"/>
    <s v="安曇野市"/>
    <x v="19"/>
    <x v="11"/>
    <n v="264"/>
    <n v="12.07"/>
    <n v="203"/>
    <n v="17.53"/>
    <n v="59"/>
    <n v="5.8"/>
    <x v="0"/>
  </r>
  <r>
    <x v="0"/>
    <s v="安曇野市"/>
    <x v="19"/>
    <x v="12"/>
    <n v="116"/>
    <n v="5.3"/>
    <n v="75"/>
    <n v="6.48"/>
    <n v="34"/>
    <n v="3.34"/>
    <x v="0"/>
  </r>
  <r>
    <x v="0"/>
    <s v="安曇野市"/>
    <x v="19"/>
    <x v="13"/>
    <n v="115"/>
    <n v="5.26"/>
    <n v="73"/>
    <n v="6.3"/>
    <n v="42"/>
    <n v="4.13"/>
    <x v="0"/>
  </r>
  <r>
    <x v="0"/>
    <s v="安曇野市"/>
    <x v="19"/>
    <x v="14"/>
    <n v="59"/>
    <n v="2.7"/>
    <n v="26"/>
    <n v="2.25"/>
    <n v="31"/>
    <n v="3.05"/>
    <x v="6"/>
  </r>
  <r>
    <x v="0"/>
    <s v="南佐久郡小海町"/>
    <x v="20"/>
    <x v="0"/>
    <n v="0"/>
    <n v="0"/>
    <n v="0"/>
    <n v="0"/>
    <n v="0"/>
    <n v="0"/>
    <x v="0"/>
  </r>
  <r>
    <x v="0"/>
    <s v="南佐久郡小海町"/>
    <x v="20"/>
    <x v="1"/>
    <n v="37"/>
    <n v="20.11"/>
    <n v="27"/>
    <n v="20.93"/>
    <n v="10"/>
    <n v="20"/>
    <x v="0"/>
  </r>
  <r>
    <x v="0"/>
    <s v="南佐久郡小海町"/>
    <x v="20"/>
    <x v="2"/>
    <n v="24"/>
    <n v="13.04"/>
    <n v="16"/>
    <n v="12.4"/>
    <n v="8"/>
    <n v="16"/>
    <x v="0"/>
  </r>
  <r>
    <x v="0"/>
    <s v="南佐久郡小海町"/>
    <x v="20"/>
    <x v="3"/>
    <n v="2"/>
    <n v="1.0900000000000001"/>
    <n v="0"/>
    <n v="0"/>
    <n v="1"/>
    <n v="2"/>
    <x v="0"/>
  </r>
  <r>
    <x v="0"/>
    <s v="南佐久郡小海町"/>
    <x v="20"/>
    <x v="4"/>
    <n v="2"/>
    <n v="1.0900000000000001"/>
    <n v="1"/>
    <n v="0.78"/>
    <n v="1"/>
    <n v="2"/>
    <x v="0"/>
  </r>
  <r>
    <x v="0"/>
    <s v="南佐久郡小海町"/>
    <x v="20"/>
    <x v="5"/>
    <n v="2"/>
    <n v="1.0900000000000001"/>
    <n v="0"/>
    <n v="0"/>
    <n v="1"/>
    <n v="2"/>
    <x v="0"/>
  </r>
  <r>
    <x v="0"/>
    <s v="南佐久郡小海町"/>
    <x v="20"/>
    <x v="6"/>
    <n v="41"/>
    <n v="22.28"/>
    <n v="22"/>
    <n v="17.05"/>
    <n v="18"/>
    <n v="36"/>
    <x v="6"/>
  </r>
  <r>
    <x v="0"/>
    <s v="南佐久郡小海町"/>
    <x v="20"/>
    <x v="7"/>
    <n v="0"/>
    <n v="0"/>
    <n v="0"/>
    <n v="0"/>
    <n v="0"/>
    <n v="0"/>
    <x v="0"/>
  </r>
  <r>
    <x v="0"/>
    <s v="南佐久郡小海町"/>
    <x v="20"/>
    <x v="8"/>
    <n v="4"/>
    <n v="2.17"/>
    <n v="3"/>
    <n v="2.33"/>
    <n v="1"/>
    <n v="2"/>
    <x v="0"/>
  </r>
  <r>
    <x v="0"/>
    <s v="南佐久郡小海町"/>
    <x v="20"/>
    <x v="9"/>
    <n v="8"/>
    <n v="4.3499999999999996"/>
    <n v="5"/>
    <n v="3.88"/>
    <n v="2"/>
    <n v="4"/>
    <x v="0"/>
  </r>
  <r>
    <x v="0"/>
    <s v="南佐久郡小海町"/>
    <x v="20"/>
    <x v="10"/>
    <n v="26"/>
    <n v="14.13"/>
    <n v="25"/>
    <n v="19.38"/>
    <n v="1"/>
    <n v="2"/>
    <x v="0"/>
  </r>
  <r>
    <x v="0"/>
    <s v="南佐久郡小海町"/>
    <x v="20"/>
    <x v="11"/>
    <n v="23"/>
    <n v="12.5"/>
    <n v="19"/>
    <n v="14.73"/>
    <n v="4"/>
    <n v="8"/>
    <x v="0"/>
  </r>
  <r>
    <x v="0"/>
    <s v="南佐久郡小海町"/>
    <x v="20"/>
    <x v="12"/>
    <n v="4"/>
    <n v="2.17"/>
    <n v="3"/>
    <n v="2.33"/>
    <n v="0"/>
    <n v="0"/>
    <x v="0"/>
  </r>
  <r>
    <x v="0"/>
    <s v="南佐久郡小海町"/>
    <x v="20"/>
    <x v="13"/>
    <n v="6"/>
    <n v="3.26"/>
    <n v="6"/>
    <n v="4.6500000000000004"/>
    <n v="0"/>
    <n v="0"/>
    <x v="0"/>
  </r>
  <r>
    <x v="0"/>
    <s v="南佐久郡小海町"/>
    <x v="20"/>
    <x v="14"/>
    <n v="5"/>
    <n v="2.72"/>
    <n v="2"/>
    <n v="1.55"/>
    <n v="3"/>
    <n v="6"/>
    <x v="0"/>
  </r>
  <r>
    <x v="0"/>
    <s v="南佐久郡川上村"/>
    <x v="21"/>
    <x v="0"/>
    <n v="0"/>
    <n v="0"/>
    <n v="0"/>
    <n v="0"/>
    <n v="0"/>
    <n v="0"/>
    <x v="0"/>
  </r>
  <r>
    <x v="0"/>
    <s v="南佐久郡川上村"/>
    <x v="21"/>
    <x v="1"/>
    <n v="24"/>
    <n v="21.05"/>
    <n v="14"/>
    <n v="22.58"/>
    <n v="10"/>
    <n v="22.22"/>
    <x v="0"/>
  </r>
  <r>
    <x v="0"/>
    <s v="南佐久郡川上村"/>
    <x v="21"/>
    <x v="2"/>
    <n v="7"/>
    <n v="6.14"/>
    <n v="3"/>
    <n v="4.84"/>
    <n v="4"/>
    <n v="8.89"/>
    <x v="0"/>
  </r>
  <r>
    <x v="0"/>
    <s v="南佐久郡川上村"/>
    <x v="21"/>
    <x v="3"/>
    <n v="2"/>
    <n v="1.75"/>
    <n v="0"/>
    <n v="0"/>
    <n v="0"/>
    <n v="0"/>
    <x v="0"/>
  </r>
  <r>
    <x v="0"/>
    <s v="南佐久郡川上村"/>
    <x v="21"/>
    <x v="4"/>
    <n v="0"/>
    <n v="0"/>
    <n v="0"/>
    <n v="0"/>
    <n v="0"/>
    <n v="0"/>
    <x v="0"/>
  </r>
  <r>
    <x v="0"/>
    <s v="南佐久郡川上村"/>
    <x v="21"/>
    <x v="5"/>
    <n v="2"/>
    <n v="1.75"/>
    <n v="0"/>
    <n v="0"/>
    <n v="1"/>
    <n v="2.2200000000000002"/>
    <x v="0"/>
  </r>
  <r>
    <x v="0"/>
    <s v="南佐久郡川上村"/>
    <x v="21"/>
    <x v="6"/>
    <n v="31"/>
    <n v="27.19"/>
    <n v="14"/>
    <n v="22.58"/>
    <n v="17"/>
    <n v="37.78"/>
    <x v="0"/>
  </r>
  <r>
    <x v="0"/>
    <s v="南佐久郡川上村"/>
    <x v="21"/>
    <x v="7"/>
    <n v="0"/>
    <n v="0"/>
    <n v="0"/>
    <n v="0"/>
    <n v="0"/>
    <n v="0"/>
    <x v="0"/>
  </r>
  <r>
    <x v="0"/>
    <s v="南佐久郡川上村"/>
    <x v="21"/>
    <x v="8"/>
    <n v="1"/>
    <n v="0.88"/>
    <n v="0"/>
    <n v="0"/>
    <n v="1"/>
    <n v="2.2200000000000002"/>
    <x v="0"/>
  </r>
  <r>
    <x v="0"/>
    <s v="南佐久郡川上村"/>
    <x v="21"/>
    <x v="9"/>
    <n v="1"/>
    <n v="0.88"/>
    <n v="1"/>
    <n v="1.61"/>
    <n v="0"/>
    <n v="0"/>
    <x v="0"/>
  </r>
  <r>
    <x v="0"/>
    <s v="南佐久郡川上村"/>
    <x v="21"/>
    <x v="10"/>
    <n v="18"/>
    <n v="15.79"/>
    <n v="11"/>
    <n v="17.739999999999998"/>
    <n v="7"/>
    <n v="15.56"/>
    <x v="0"/>
  </r>
  <r>
    <x v="0"/>
    <s v="南佐久郡川上村"/>
    <x v="21"/>
    <x v="11"/>
    <n v="12"/>
    <n v="10.53"/>
    <n v="11"/>
    <n v="17.739999999999998"/>
    <n v="1"/>
    <n v="2.2200000000000002"/>
    <x v="0"/>
  </r>
  <r>
    <x v="0"/>
    <s v="南佐久郡川上村"/>
    <x v="21"/>
    <x v="12"/>
    <n v="8"/>
    <n v="7.02"/>
    <n v="7"/>
    <n v="11.29"/>
    <n v="0"/>
    <n v="0"/>
    <x v="0"/>
  </r>
  <r>
    <x v="0"/>
    <s v="南佐久郡川上村"/>
    <x v="21"/>
    <x v="13"/>
    <n v="3"/>
    <n v="2.63"/>
    <n v="1"/>
    <n v="1.61"/>
    <n v="0"/>
    <n v="0"/>
    <x v="0"/>
  </r>
  <r>
    <x v="0"/>
    <s v="南佐久郡川上村"/>
    <x v="21"/>
    <x v="14"/>
    <n v="5"/>
    <n v="4.3899999999999997"/>
    <n v="0"/>
    <n v="0"/>
    <n v="4"/>
    <n v="8.89"/>
    <x v="0"/>
  </r>
  <r>
    <x v="0"/>
    <s v="南佐久郡南牧村"/>
    <x v="22"/>
    <x v="0"/>
    <n v="0"/>
    <n v="0"/>
    <n v="0"/>
    <n v="0"/>
    <n v="0"/>
    <n v="0"/>
    <x v="0"/>
  </r>
  <r>
    <x v="0"/>
    <s v="南佐久郡南牧村"/>
    <x v="22"/>
    <x v="1"/>
    <n v="7"/>
    <n v="10.45"/>
    <n v="4"/>
    <n v="10.53"/>
    <n v="3"/>
    <n v="11.11"/>
    <x v="0"/>
  </r>
  <r>
    <x v="0"/>
    <s v="南佐久郡南牧村"/>
    <x v="22"/>
    <x v="2"/>
    <n v="3"/>
    <n v="4.4800000000000004"/>
    <n v="1"/>
    <n v="2.63"/>
    <n v="2"/>
    <n v="7.41"/>
    <x v="0"/>
  </r>
  <r>
    <x v="0"/>
    <s v="南佐久郡南牧村"/>
    <x v="22"/>
    <x v="3"/>
    <n v="2"/>
    <n v="2.99"/>
    <n v="0"/>
    <n v="0"/>
    <n v="1"/>
    <n v="3.7"/>
    <x v="0"/>
  </r>
  <r>
    <x v="0"/>
    <s v="南佐久郡南牧村"/>
    <x v="22"/>
    <x v="4"/>
    <n v="0"/>
    <n v="0"/>
    <n v="0"/>
    <n v="0"/>
    <n v="0"/>
    <n v="0"/>
    <x v="0"/>
  </r>
  <r>
    <x v="0"/>
    <s v="南佐久郡南牧村"/>
    <x v="22"/>
    <x v="5"/>
    <n v="3"/>
    <n v="4.4800000000000004"/>
    <n v="0"/>
    <n v="0"/>
    <n v="3"/>
    <n v="11.11"/>
    <x v="0"/>
  </r>
  <r>
    <x v="0"/>
    <s v="南佐久郡南牧村"/>
    <x v="22"/>
    <x v="6"/>
    <n v="15"/>
    <n v="22.39"/>
    <n v="6"/>
    <n v="15.79"/>
    <n v="9"/>
    <n v="33.33"/>
    <x v="0"/>
  </r>
  <r>
    <x v="0"/>
    <s v="南佐久郡南牧村"/>
    <x v="22"/>
    <x v="7"/>
    <n v="0"/>
    <n v="0"/>
    <n v="0"/>
    <n v="0"/>
    <n v="0"/>
    <n v="0"/>
    <x v="0"/>
  </r>
  <r>
    <x v="0"/>
    <s v="南佐久郡南牧村"/>
    <x v="22"/>
    <x v="8"/>
    <n v="2"/>
    <n v="2.99"/>
    <n v="0"/>
    <n v="0"/>
    <n v="2"/>
    <n v="7.41"/>
    <x v="0"/>
  </r>
  <r>
    <x v="0"/>
    <s v="南佐久郡南牧村"/>
    <x v="22"/>
    <x v="9"/>
    <n v="2"/>
    <n v="2.99"/>
    <n v="1"/>
    <n v="2.63"/>
    <n v="1"/>
    <n v="3.7"/>
    <x v="0"/>
  </r>
  <r>
    <x v="0"/>
    <s v="南佐久郡南牧村"/>
    <x v="22"/>
    <x v="10"/>
    <n v="21"/>
    <n v="31.34"/>
    <n v="18"/>
    <n v="47.37"/>
    <n v="3"/>
    <n v="11.11"/>
    <x v="0"/>
  </r>
  <r>
    <x v="0"/>
    <s v="南佐久郡南牧村"/>
    <x v="22"/>
    <x v="11"/>
    <n v="5"/>
    <n v="7.46"/>
    <n v="5"/>
    <n v="13.16"/>
    <n v="0"/>
    <n v="0"/>
    <x v="0"/>
  </r>
  <r>
    <x v="0"/>
    <s v="南佐久郡南牧村"/>
    <x v="22"/>
    <x v="12"/>
    <n v="2"/>
    <n v="2.99"/>
    <n v="1"/>
    <n v="2.63"/>
    <n v="0"/>
    <n v="0"/>
    <x v="0"/>
  </r>
  <r>
    <x v="0"/>
    <s v="南佐久郡南牧村"/>
    <x v="22"/>
    <x v="13"/>
    <n v="1"/>
    <n v="1.49"/>
    <n v="1"/>
    <n v="2.63"/>
    <n v="0"/>
    <n v="0"/>
    <x v="0"/>
  </r>
  <r>
    <x v="0"/>
    <s v="南佐久郡南牧村"/>
    <x v="22"/>
    <x v="14"/>
    <n v="4"/>
    <n v="5.97"/>
    <n v="1"/>
    <n v="2.63"/>
    <n v="3"/>
    <n v="11.11"/>
    <x v="0"/>
  </r>
  <r>
    <x v="0"/>
    <s v="南佐久郡南相木村"/>
    <x v="23"/>
    <x v="0"/>
    <n v="1"/>
    <n v="2.33"/>
    <n v="1"/>
    <n v="4.17"/>
    <n v="0"/>
    <n v="0"/>
    <x v="0"/>
  </r>
  <r>
    <x v="0"/>
    <s v="南佐久郡南相木村"/>
    <x v="23"/>
    <x v="1"/>
    <n v="13"/>
    <n v="30.23"/>
    <n v="9"/>
    <n v="37.5"/>
    <n v="4"/>
    <n v="28.57"/>
    <x v="0"/>
  </r>
  <r>
    <x v="0"/>
    <s v="南佐久郡南相木村"/>
    <x v="23"/>
    <x v="2"/>
    <n v="2"/>
    <n v="4.6500000000000004"/>
    <n v="2"/>
    <n v="8.33"/>
    <n v="0"/>
    <n v="0"/>
    <x v="0"/>
  </r>
  <r>
    <x v="0"/>
    <s v="南佐久郡南相木村"/>
    <x v="23"/>
    <x v="3"/>
    <n v="1"/>
    <n v="2.33"/>
    <n v="0"/>
    <n v="0"/>
    <n v="0"/>
    <n v="0"/>
    <x v="0"/>
  </r>
  <r>
    <x v="0"/>
    <s v="南佐久郡南相木村"/>
    <x v="23"/>
    <x v="4"/>
    <n v="1"/>
    <n v="2.33"/>
    <n v="0"/>
    <n v="0"/>
    <n v="0"/>
    <n v="0"/>
    <x v="0"/>
  </r>
  <r>
    <x v="0"/>
    <s v="南佐久郡南相木村"/>
    <x v="23"/>
    <x v="5"/>
    <n v="1"/>
    <n v="2.33"/>
    <n v="0"/>
    <n v="0"/>
    <n v="1"/>
    <n v="7.14"/>
    <x v="0"/>
  </r>
  <r>
    <x v="0"/>
    <s v="南佐久郡南相木村"/>
    <x v="23"/>
    <x v="6"/>
    <n v="8"/>
    <n v="18.600000000000001"/>
    <n v="5"/>
    <n v="20.83"/>
    <n v="3"/>
    <n v="21.43"/>
    <x v="0"/>
  </r>
  <r>
    <x v="0"/>
    <s v="南佐久郡南相木村"/>
    <x v="23"/>
    <x v="7"/>
    <n v="0"/>
    <n v="0"/>
    <n v="0"/>
    <n v="0"/>
    <n v="0"/>
    <n v="0"/>
    <x v="0"/>
  </r>
  <r>
    <x v="0"/>
    <s v="南佐久郡南相木村"/>
    <x v="23"/>
    <x v="8"/>
    <n v="1"/>
    <n v="2.33"/>
    <n v="0"/>
    <n v="0"/>
    <n v="1"/>
    <n v="7.14"/>
    <x v="0"/>
  </r>
  <r>
    <x v="0"/>
    <s v="南佐久郡南相木村"/>
    <x v="23"/>
    <x v="9"/>
    <n v="1"/>
    <n v="2.33"/>
    <n v="0"/>
    <n v="0"/>
    <n v="1"/>
    <n v="7.14"/>
    <x v="0"/>
  </r>
  <r>
    <x v="0"/>
    <s v="南佐久郡南相木村"/>
    <x v="23"/>
    <x v="10"/>
    <n v="6"/>
    <n v="13.95"/>
    <n v="3"/>
    <n v="12.5"/>
    <n v="3"/>
    <n v="21.43"/>
    <x v="0"/>
  </r>
  <r>
    <x v="0"/>
    <s v="南佐久郡南相木村"/>
    <x v="23"/>
    <x v="11"/>
    <n v="5"/>
    <n v="11.63"/>
    <n v="4"/>
    <n v="16.670000000000002"/>
    <n v="0"/>
    <n v="0"/>
    <x v="0"/>
  </r>
  <r>
    <x v="0"/>
    <s v="南佐久郡南相木村"/>
    <x v="23"/>
    <x v="12"/>
    <n v="2"/>
    <n v="4.6500000000000004"/>
    <n v="0"/>
    <n v="0"/>
    <n v="0"/>
    <n v="0"/>
    <x v="0"/>
  </r>
  <r>
    <x v="0"/>
    <s v="南佐久郡南相木村"/>
    <x v="23"/>
    <x v="13"/>
    <n v="0"/>
    <n v="0"/>
    <n v="0"/>
    <n v="0"/>
    <n v="0"/>
    <n v="0"/>
    <x v="0"/>
  </r>
  <r>
    <x v="0"/>
    <s v="南佐久郡南相木村"/>
    <x v="23"/>
    <x v="14"/>
    <n v="1"/>
    <n v="2.33"/>
    <n v="0"/>
    <n v="0"/>
    <n v="1"/>
    <n v="7.14"/>
    <x v="0"/>
  </r>
  <r>
    <x v="0"/>
    <s v="南佐久郡北相木村"/>
    <x v="24"/>
    <x v="0"/>
    <n v="0"/>
    <n v="0"/>
    <n v="0"/>
    <n v="0"/>
    <n v="0"/>
    <n v="0"/>
    <x v="0"/>
  </r>
  <r>
    <x v="0"/>
    <s v="南佐久郡北相木村"/>
    <x v="24"/>
    <x v="1"/>
    <n v="13"/>
    <n v="43.33"/>
    <n v="9"/>
    <n v="42.86"/>
    <n v="4"/>
    <n v="80"/>
    <x v="0"/>
  </r>
  <r>
    <x v="0"/>
    <s v="南佐久郡北相木村"/>
    <x v="24"/>
    <x v="2"/>
    <n v="4"/>
    <n v="13.33"/>
    <n v="3"/>
    <n v="14.29"/>
    <n v="1"/>
    <n v="20"/>
    <x v="0"/>
  </r>
  <r>
    <x v="0"/>
    <s v="南佐久郡北相木村"/>
    <x v="24"/>
    <x v="3"/>
    <n v="0"/>
    <n v="0"/>
    <n v="0"/>
    <n v="0"/>
    <n v="0"/>
    <n v="0"/>
    <x v="0"/>
  </r>
  <r>
    <x v="0"/>
    <s v="南佐久郡北相木村"/>
    <x v="24"/>
    <x v="4"/>
    <n v="0"/>
    <n v="0"/>
    <n v="0"/>
    <n v="0"/>
    <n v="0"/>
    <n v="0"/>
    <x v="0"/>
  </r>
  <r>
    <x v="0"/>
    <s v="南佐久郡北相木村"/>
    <x v="24"/>
    <x v="5"/>
    <n v="0"/>
    <n v="0"/>
    <n v="0"/>
    <n v="0"/>
    <n v="0"/>
    <n v="0"/>
    <x v="0"/>
  </r>
  <r>
    <x v="0"/>
    <s v="南佐久郡北相木村"/>
    <x v="24"/>
    <x v="6"/>
    <n v="6"/>
    <n v="20"/>
    <n v="6"/>
    <n v="28.57"/>
    <n v="0"/>
    <n v="0"/>
    <x v="0"/>
  </r>
  <r>
    <x v="0"/>
    <s v="南佐久郡北相木村"/>
    <x v="24"/>
    <x v="7"/>
    <n v="0"/>
    <n v="0"/>
    <n v="0"/>
    <n v="0"/>
    <n v="0"/>
    <n v="0"/>
    <x v="0"/>
  </r>
  <r>
    <x v="0"/>
    <s v="南佐久郡北相木村"/>
    <x v="24"/>
    <x v="8"/>
    <n v="0"/>
    <n v="0"/>
    <n v="0"/>
    <n v="0"/>
    <n v="0"/>
    <n v="0"/>
    <x v="0"/>
  </r>
  <r>
    <x v="0"/>
    <s v="南佐久郡北相木村"/>
    <x v="24"/>
    <x v="9"/>
    <n v="0"/>
    <n v="0"/>
    <n v="0"/>
    <n v="0"/>
    <n v="0"/>
    <n v="0"/>
    <x v="0"/>
  </r>
  <r>
    <x v="0"/>
    <s v="南佐久郡北相木村"/>
    <x v="24"/>
    <x v="10"/>
    <n v="1"/>
    <n v="3.33"/>
    <n v="1"/>
    <n v="4.76"/>
    <n v="0"/>
    <n v="0"/>
    <x v="0"/>
  </r>
  <r>
    <x v="0"/>
    <s v="南佐久郡北相木村"/>
    <x v="24"/>
    <x v="11"/>
    <n v="2"/>
    <n v="6.67"/>
    <n v="1"/>
    <n v="4.76"/>
    <n v="0"/>
    <n v="0"/>
    <x v="0"/>
  </r>
  <r>
    <x v="0"/>
    <s v="南佐久郡北相木村"/>
    <x v="24"/>
    <x v="12"/>
    <n v="2"/>
    <n v="6.67"/>
    <n v="0"/>
    <n v="0"/>
    <n v="0"/>
    <n v="0"/>
    <x v="0"/>
  </r>
  <r>
    <x v="0"/>
    <s v="南佐久郡北相木村"/>
    <x v="24"/>
    <x v="13"/>
    <n v="2"/>
    <n v="6.67"/>
    <n v="1"/>
    <n v="4.76"/>
    <n v="0"/>
    <n v="0"/>
    <x v="0"/>
  </r>
  <r>
    <x v="0"/>
    <s v="南佐久郡北相木村"/>
    <x v="24"/>
    <x v="14"/>
    <n v="0"/>
    <n v="0"/>
    <n v="0"/>
    <n v="0"/>
    <n v="0"/>
    <n v="0"/>
    <x v="0"/>
  </r>
  <r>
    <x v="0"/>
    <s v="南佐久郡佐久穂町"/>
    <x v="25"/>
    <x v="0"/>
    <n v="2"/>
    <n v="0.64"/>
    <n v="0"/>
    <n v="0"/>
    <n v="2"/>
    <n v="1.79"/>
    <x v="0"/>
  </r>
  <r>
    <x v="0"/>
    <s v="南佐久郡佐久穂町"/>
    <x v="25"/>
    <x v="1"/>
    <n v="80"/>
    <n v="25.72"/>
    <n v="48"/>
    <n v="24.49"/>
    <n v="32"/>
    <n v="28.57"/>
    <x v="0"/>
  </r>
  <r>
    <x v="0"/>
    <s v="南佐久郡佐久穂町"/>
    <x v="25"/>
    <x v="2"/>
    <n v="46"/>
    <n v="14.79"/>
    <n v="19"/>
    <n v="9.69"/>
    <n v="27"/>
    <n v="24.11"/>
    <x v="0"/>
  </r>
  <r>
    <x v="0"/>
    <s v="南佐久郡佐久穂町"/>
    <x v="25"/>
    <x v="3"/>
    <n v="2"/>
    <n v="0.64"/>
    <n v="0"/>
    <n v="0"/>
    <n v="2"/>
    <n v="1.79"/>
    <x v="0"/>
  </r>
  <r>
    <x v="0"/>
    <s v="南佐久郡佐久穂町"/>
    <x v="25"/>
    <x v="4"/>
    <n v="1"/>
    <n v="0.32"/>
    <n v="0"/>
    <n v="0"/>
    <n v="1"/>
    <n v="0.89"/>
    <x v="0"/>
  </r>
  <r>
    <x v="0"/>
    <s v="南佐久郡佐久穂町"/>
    <x v="25"/>
    <x v="5"/>
    <n v="3"/>
    <n v="0.96"/>
    <n v="2"/>
    <n v="1.02"/>
    <n v="1"/>
    <n v="0.89"/>
    <x v="0"/>
  </r>
  <r>
    <x v="0"/>
    <s v="南佐久郡佐久穂町"/>
    <x v="25"/>
    <x v="6"/>
    <n v="57"/>
    <n v="18.329999999999998"/>
    <n v="38"/>
    <n v="19.39"/>
    <n v="19"/>
    <n v="16.96"/>
    <x v="0"/>
  </r>
  <r>
    <x v="0"/>
    <s v="南佐久郡佐久穂町"/>
    <x v="25"/>
    <x v="7"/>
    <n v="0"/>
    <n v="0"/>
    <n v="0"/>
    <n v="0"/>
    <n v="0"/>
    <n v="0"/>
    <x v="0"/>
  </r>
  <r>
    <x v="0"/>
    <s v="南佐久郡佐久穂町"/>
    <x v="25"/>
    <x v="8"/>
    <n v="9"/>
    <n v="2.89"/>
    <n v="1"/>
    <n v="0.51"/>
    <n v="7"/>
    <n v="6.25"/>
    <x v="0"/>
  </r>
  <r>
    <x v="0"/>
    <s v="南佐久郡佐久穂町"/>
    <x v="25"/>
    <x v="9"/>
    <n v="12"/>
    <n v="3.86"/>
    <n v="7"/>
    <n v="3.57"/>
    <n v="5"/>
    <n v="4.46"/>
    <x v="0"/>
  </r>
  <r>
    <x v="0"/>
    <s v="南佐久郡佐久穂町"/>
    <x v="25"/>
    <x v="10"/>
    <n v="33"/>
    <n v="10.61"/>
    <n v="27"/>
    <n v="13.78"/>
    <n v="6"/>
    <n v="5.36"/>
    <x v="0"/>
  </r>
  <r>
    <x v="0"/>
    <s v="南佐久郡佐久穂町"/>
    <x v="25"/>
    <x v="11"/>
    <n v="37"/>
    <n v="11.9"/>
    <n v="34"/>
    <n v="17.350000000000001"/>
    <n v="3"/>
    <n v="2.68"/>
    <x v="0"/>
  </r>
  <r>
    <x v="0"/>
    <s v="南佐久郡佐久穂町"/>
    <x v="25"/>
    <x v="12"/>
    <n v="3"/>
    <n v="0.96"/>
    <n v="2"/>
    <n v="1.02"/>
    <n v="0"/>
    <n v="0"/>
    <x v="0"/>
  </r>
  <r>
    <x v="0"/>
    <s v="南佐久郡佐久穂町"/>
    <x v="25"/>
    <x v="13"/>
    <n v="11"/>
    <n v="3.54"/>
    <n v="9"/>
    <n v="4.59"/>
    <n v="2"/>
    <n v="1.79"/>
    <x v="0"/>
  </r>
  <r>
    <x v="0"/>
    <s v="南佐久郡佐久穂町"/>
    <x v="25"/>
    <x v="14"/>
    <n v="15"/>
    <n v="4.82"/>
    <n v="9"/>
    <n v="4.59"/>
    <n v="5"/>
    <n v="4.46"/>
    <x v="0"/>
  </r>
  <r>
    <x v="0"/>
    <s v="北佐久郡軽井沢町"/>
    <x v="26"/>
    <x v="0"/>
    <n v="0"/>
    <n v="0"/>
    <n v="0"/>
    <n v="0"/>
    <n v="0"/>
    <n v="0"/>
    <x v="0"/>
  </r>
  <r>
    <x v="0"/>
    <s v="北佐久郡軽井沢町"/>
    <x v="26"/>
    <x v="1"/>
    <n v="117"/>
    <n v="10.92"/>
    <n v="26"/>
    <n v="6.4"/>
    <n v="91"/>
    <n v="13.96"/>
    <x v="0"/>
  </r>
  <r>
    <x v="0"/>
    <s v="北佐久郡軽井沢町"/>
    <x v="26"/>
    <x v="2"/>
    <n v="25"/>
    <n v="2.33"/>
    <n v="7"/>
    <n v="1.72"/>
    <n v="17"/>
    <n v="2.61"/>
    <x v="0"/>
  </r>
  <r>
    <x v="0"/>
    <s v="北佐久郡軽井沢町"/>
    <x v="26"/>
    <x v="3"/>
    <n v="0"/>
    <n v="0"/>
    <n v="0"/>
    <n v="0"/>
    <n v="0"/>
    <n v="0"/>
    <x v="0"/>
  </r>
  <r>
    <x v="0"/>
    <s v="北佐久郡軽井沢町"/>
    <x v="26"/>
    <x v="4"/>
    <n v="11"/>
    <n v="1.03"/>
    <n v="0"/>
    <n v="0"/>
    <n v="11"/>
    <n v="1.69"/>
    <x v="0"/>
  </r>
  <r>
    <x v="0"/>
    <s v="北佐久郡軽井沢町"/>
    <x v="26"/>
    <x v="5"/>
    <n v="0"/>
    <n v="0"/>
    <n v="0"/>
    <n v="0"/>
    <n v="0"/>
    <n v="0"/>
    <x v="0"/>
  </r>
  <r>
    <x v="0"/>
    <s v="北佐久郡軽井沢町"/>
    <x v="26"/>
    <x v="6"/>
    <n v="310"/>
    <n v="28.94"/>
    <n v="92"/>
    <n v="22.66"/>
    <n v="217"/>
    <n v="33.28"/>
    <x v="6"/>
  </r>
  <r>
    <x v="0"/>
    <s v="北佐久郡軽井沢町"/>
    <x v="26"/>
    <x v="7"/>
    <n v="4"/>
    <n v="0.37"/>
    <n v="0"/>
    <n v="0"/>
    <n v="4"/>
    <n v="0.61"/>
    <x v="0"/>
  </r>
  <r>
    <x v="0"/>
    <s v="北佐久郡軽井沢町"/>
    <x v="26"/>
    <x v="8"/>
    <n v="135"/>
    <n v="12.61"/>
    <n v="13"/>
    <n v="3.2"/>
    <n v="121"/>
    <n v="18.559999999999999"/>
    <x v="0"/>
  </r>
  <r>
    <x v="0"/>
    <s v="北佐久郡軽井沢町"/>
    <x v="26"/>
    <x v="9"/>
    <n v="44"/>
    <n v="4.1100000000000003"/>
    <n v="15"/>
    <n v="3.69"/>
    <n v="29"/>
    <n v="4.45"/>
    <x v="0"/>
  </r>
  <r>
    <x v="0"/>
    <s v="北佐久郡軽井沢町"/>
    <x v="26"/>
    <x v="10"/>
    <n v="282"/>
    <n v="26.33"/>
    <n v="180"/>
    <n v="44.33"/>
    <n v="102"/>
    <n v="15.64"/>
    <x v="0"/>
  </r>
  <r>
    <x v="0"/>
    <s v="北佐久郡軽井沢町"/>
    <x v="26"/>
    <x v="11"/>
    <n v="71"/>
    <n v="6.63"/>
    <n v="43"/>
    <n v="10.59"/>
    <n v="28"/>
    <n v="4.29"/>
    <x v="0"/>
  </r>
  <r>
    <x v="0"/>
    <s v="北佐久郡軽井沢町"/>
    <x v="26"/>
    <x v="12"/>
    <n v="27"/>
    <n v="2.52"/>
    <n v="11"/>
    <n v="2.71"/>
    <n v="10"/>
    <n v="1.53"/>
    <x v="2"/>
  </r>
  <r>
    <x v="0"/>
    <s v="北佐久郡軽井沢町"/>
    <x v="26"/>
    <x v="13"/>
    <n v="28"/>
    <n v="2.61"/>
    <n v="17"/>
    <n v="4.1900000000000004"/>
    <n v="7"/>
    <n v="1.07"/>
    <x v="0"/>
  </r>
  <r>
    <x v="0"/>
    <s v="北佐久郡軽井沢町"/>
    <x v="26"/>
    <x v="14"/>
    <n v="17"/>
    <n v="1.59"/>
    <n v="2"/>
    <n v="0.49"/>
    <n v="15"/>
    <n v="2.2999999999999998"/>
    <x v="0"/>
  </r>
  <r>
    <x v="0"/>
    <s v="北佐久郡御代田町"/>
    <x v="27"/>
    <x v="0"/>
    <n v="0"/>
    <n v="0"/>
    <n v="0"/>
    <n v="0"/>
    <n v="0"/>
    <n v="0"/>
    <x v="0"/>
  </r>
  <r>
    <x v="0"/>
    <s v="北佐久郡御代田町"/>
    <x v="27"/>
    <x v="1"/>
    <n v="55"/>
    <n v="16.77"/>
    <n v="24"/>
    <n v="13.56"/>
    <n v="31"/>
    <n v="21.09"/>
    <x v="0"/>
  </r>
  <r>
    <x v="0"/>
    <s v="北佐久郡御代田町"/>
    <x v="27"/>
    <x v="2"/>
    <n v="23"/>
    <n v="7.01"/>
    <n v="9"/>
    <n v="5.08"/>
    <n v="14"/>
    <n v="9.52"/>
    <x v="0"/>
  </r>
  <r>
    <x v="0"/>
    <s v="北佐久郡御代田町"/>
    <x v="27"/>
    <x v="3"/>
    <n v="1"/>
    <n v="0.3"/>
    <n v="0"/>
    <n v="0"/>
    <n v="1"/>
    <n v="0.68"/>
    <x v="0"/>
  </r>
  <r>
    <x v="0"/>
    <s v="北佐久郡御代田町"/>
    <x v="27"/>
    <x v="4"/>
    <n v="1"/>
    <n v="0.3"/>
    <n v="0"/>
    <n v="0"/>
    <n v="1"/>
    <n v="0.68"/>
    <x v="0"/>
  </r>
  <r>
    <x v="0"/>
    <s v="北佐久郡御代田町"/>
    <x v="27"/>
    <x v="5"/>
    <n v="3"/>
    <n v="0.91"/>
    <n v="1"/>
    <n v="0.56000000000000005"/>
    <n v="2"/>
    <n v="1.36"/>
    <x v="0"/>
  </r>
  <r>
    <x v="0"/>
    <s v="北佐久郡御代田町"/>
    <x v="27"/>
    <x v="6"/>
    <n v="71"/>
    <n v="21.65"/>
    <n v="32"/>
    <n v="18.079999999999998"/>
    <n v="39"/>
    <n v="26.53"/>
    <x v="0"/>
  </r>
  <r>
    <x v="0"/>
    <s v="北佐久郡御代田町"/>
    <x v="27"/>
    <x v="7"/>
    <n v="2"/>
    <n v="0.61"/>
    <n v="0"/>
    <n v="0"/>
    <n v="2"/>
    <n v="1.36"/>
    <x v="0"/>
  </r>
  <r>
    <x v="0"/>
    <s v="北佐久郡御代田町"/>
    <x v="27"/>
    <x v="8"/>
    <n v="16"/>
    <n v="4.88"/>
    <n v="4"/>
    <n v="2.2599999999999998"/>
    <n v="12"/>
    <n v="8.16"/>
    <x v="0"/>
  </r>
  <r>
    <x v="0"/>
    <s v="北佐久郡御代田町"/>
    <x v="27"/>
    <x v="9"/>
    <n v="17"/>
    <n v="5.18"/>
    <n v="6"/>
    <n v="3.39"/>
    <n v="10"/>
    <n v="6.8"/>
    <x v="0"/>
  </r>
  <r>
    <x v="0"/>
    <s v="北佐久郡御代田町"/>
    <x v="27"/>
    <x v="10"/>
    <n v="65"/>
    <n v="19.82"/>
    <n v="51"/>
    <n v="28.81"/>
    <n v="14"/>
    <n v="9.52"/>
    <x v="0"/>
  </r>
  <r>
    <x v="0"/>
    <s v="北佐久郡御代田町"/>
    <x v="27"/>
    <x v="11"/>
    <n v="40"/>
    <n v="12.2"/>
    <n v="29"/>
    <n v="16.38"/>
    <n v="9"/>
    <n v="6.12"/>
    <x v="0"/>
  </r>
  <r>
    <x v="0"/>
    <s v="北佐久郡御代田町"/>
    <x v="27"/>
    <x v="12"/>
    <n v="9"/>
    <n v="2.74"/>
    <n v="7"/>
    <n v="3.95"/>
    <n v="1"/>
    <n v="0.68"/>
    <x v="6"/>
  </r>
  <r>
    <x v="0"/>
    <s v="北佐久郡御代田町"/>
    <x v="27"/>
    <x v="13"/>
    <n v="16"/>
    <n v="4.88"/>
    <n v="11"/>
    <n v="6.21"/>
    <n v="5"/>
    <n v="3.4"/>
    <x v="0"/>
  </r>
  <r>
    <x v="0"/>
    <s v="北佐久郡御代田町"/>
    <x v="27"/>
    <x v="14"/>
    <n v="9"/>
    <n v="2.74"/>
    <n v="3"/>
    <n v="1.69"/>
    <n v="6"/>
    <n v="4.08"/>
    <x v="0"/>
  </r>
  <r>
    <x v="0"/>
    <s v="北佐久郡立科町"/>
    <x v="28"/>
    <x v="0"/>
    <n v="0"/>
    <n v="0"/>
    <n v="0"/>
    <n v="0"/>
    <n v="0"/>
    <n v="0"/>
    <x v="0"/>
  </r>
  <r>
    <x v="0"/>
    <s v="北佐久郡立科町"/>
    <x v="28"/>
    <x v="1"/>
    <n v="30"/>
    <n v="13.76"/>
    <n v="17"/>
    <n v="13.08"/>
    <n v="13"/>
    <n v="15.12"/>
    <x v="0"/>
  </r>
  <r>
    <x v="0"/>
    <s v="北佐久郡立科町"/>
    <x v="28"/>
    <x v="2"/>
    <n v="19"/>
    <n v="8.7200000000000006"/>
    <n v="8"/>
    <n v="6.15"/>
    <n v="11"/>
    <n v="12.79"/>
    <x v="0"/>
  </r>
  <r>
    <x v="0"/>
    <s v="北佐久郡立科町"/>
    <x v="28"/>
    <x v="3"/>
    <n v="1"/>
    <n v="0.46"/>
    <n v="0"/>
    <n v="0"/>
    <n v="1"/>
    <n v="1.1599999999999999"/>
    <x v="0"/>
  </r>
  <r>
    <x v="0"/>
    <s v="北佐久郡立科町"/>
    <x v="28"/>
    <x v="4"/>
    <n v="2"/>
    <n v="0.92"/>
    <n v="1"/>
    <n v="0.77"/>
    <n v="1"/>
    <n v="1.1599999999999999"/>
    <x v="0"/>
  </r>
  <r>
    <x v="0"/>
    <s v="北佐久郡立科町"/>
    <x v="28"/>
    <x v="5"/>
    <n v="3"/>
    <n v="1.38"/>
    <n v="1"/>
    <n v="0.77"/>
    <n v="2"/>
    <n v="2.33"/>
    <x v="0"/>
  </r>
  <r>
    <x v="0"/>
    <s v="北佐久郡立科町"/>
    <x v="28"/>
    <x v="6"/>
    <n v="41"/>
    <n v="18.809999999999999"/>
    <n v="21"/>
    <n v="16.149999999999999"/>
    <n v="20"/>
    <n v="23.26"/>
    <x v="0"/>
  </r>
  <r>
    <x v="0"/>
    <s v="北佐久郡立科町"/>
    <x v="28"/>
    <x v="7"/>
    <n v="2"/>
    <n v="0.92"/>
    <n v="1"/>
    <n v="0.77"/>
    <n v="1"/>
    <n v="1.1599999999999999"/>
    <x v="0"/>
  </r>
  <r>
    <x v="0"/>
    <s v="北佐久郡立科町"/>
    <x v="28"/>
    <x v="8"/>
    <n v="4"/>
    <n v="1.83"/>
    <n v="0"/>
    <n v="0"/>
    <n v="4"/>
    <n v="4.6500000000000004"/>
    <x v="0"/>
  </r>
  <r>
    <x v="0"/>
    <s v="北佐久郡立科町"/>
    <x v="28"/>
    <x v="9"/>
    <n v="13"/>
    <n v="5.96"/>
    <n v="9"/>
    <n v="6.92"/>
    <n v="4"/>
    <n v="4.6500000000000004"/>
    <x v="0"/>
  </r>
  <r>
    <x v="0"/>
    <s v="北佐久郡立科町"/>
    <x v="28"/>
    <x v="10"/>
    <n v="59"/>
    <n v="27.06"/>
    <n v="44"/>
    <n v="33.85"/>
    <n v="15"/>
    <n v="17.440000000000001"/>
    <x v="0"/>
  </r>
  <r>
    <x v="0"/>
    <s v="北佐久郡立科町"/>
    <x v="28"/>
    <x v="11"/>
    <n v="19"/>
    <n v="8.7200000000000006"/>
    <n v="13"/>
    <n v="10"/>
    <n v="6"/>
    <n v="6.98"/>
    <x v="0"/>
  </r>
  <r>
    <x v="0"/>
    <s v="北佐久郡立科町"/>
    <x v="28"/>
    <x v="12"/>
    <n v="9"/>
    <n v="4.13"/>
    <n v="5"/>
    <n v="3.85"/>
    <n v="3"/>
    <n v="3.49"/>
    <x v="6"/>
  </r>
  <r>
    <x v="0"/>
    <s v="北佐久郡立科町"/>
    <x v="28"/>
    <x v="13"/>
    <n v="5"/>
    <n v="2.29"/>
    <n v="4"/>
    <n v="3.08"/>
    <n v="1"/>
    <n v="1.1599999999999999"/>
    <x v="0"/>
  </r>
  <r>
    <x v="0"/>
    <s v="北佐久郡立科町"/>
    <x v="28"/>
    <x v="14"/>
    <n v="11"/>
    <n v="5.05"/>
    <n v="6"/>
    <n v="4.62"/>
    <n v="4"/>
    <n v="4.6500000000000004"/>
    <x v="0"/>
  </r>
  <r>
    <x v="0"/>
    <s v="小県郡青木村"/>
    <x v="29"/>
    <x v="0"/>
    <n v="0"/>
    <n v="0"/>
    <n v="0"/>
    <n v="0"/>
    <n v="0"/>
    <n v="0"/>
    <x v="0"/>
  </r>
  <r>
    <x v="0"/>
    <s v="小県郡青木村"/>
    <x v="29"/>
    <x v="1"/>
    <n v="27"/>
    <n v="20.61"/>
    <n v="20"/>
    <n v="22.73"/>
    <n v="7"/>
    <n v="22.58"/>
    <x v="0"/>
  </r>
  <r>
    <x v="0"/>
    <s v="小県郡青木村"/>
    <x v="29"/>
    <x v="2"/>
    <n v="23"/>
    <n v="17.559999999999999"/>
    <n v="16"/>
    <n v="18.18"/>
    <n v="7"/>
    <n v="22.58"/>
    <x v="0"/>
  </r>
  <r>
    <x v="0"/>
    <s v="小県郡青木村"/>
    <x v="29"/>
    <x v="3"/>
    <n v="1"/>
    <n v="0.76"/>
    <n v="0"/>
    <n v="0"/>
    <n v="0"/>
    <n v="0"/>
    <x v="0"/>
  </r>
  <r>
    <x v="0"/>
    <s v="小県郡青木村"/>
    <x v="29"/>
    <x v="4"/>
    <n v="0"/>
    <n v="0"/>
    <n v="0"/>
    <n v="0"/>
    <n v="0"/>
    <n v="0"/>
    <x v="0"/>
  </r>
  <r>
    <x v="0"/>
    <s v="小県郡青木村"/>
    <x v="29"/>
    <x v="5"/>
    <n v="1"/>
    <n v="0.76"/>
    <n v="0"/>
    <n v="0"/>
    <n v="0"/>
    <n v="0"/>
    <x v="0"/>
  </r>
  <r>
    <x v="0"/>
    <s v="小県郡青木村"/>
    <x v="29"/>
    <x v="6"/>
    <n v="19"/>
    <n v="14.5"/>
    <n v="13"/>
    <n v="14.77"/>
    <n v="6"/>
    <n v="19.350000000000001"/>
    <x v="0"/>
  </r>
  <r>
    <x v="0"/>
    <s v="小県郡青木村"/>
    <x v="29"/>
    <x v="7"/>
    <n v="0"/>
    <n v="0"/>
    <n v="0"/>
    <n v="0"/>
    <n v="0"/>
    <n v="0"/>
    <x v="0"/>
  </r>
  <r>
    <x v="0"/>
    <s v="小県郡青木村"/>
    <x v="29"/>
    <x v="8"/>
    <n v="4"/>
    <n v="3.05"/>
    <n v="1"/>
    <n v="1.1399999999999999"/>
    <n v="2"/>
    <n v="6.45"/>
    <x v="0"/>
  </r>
  <r>
    <x v="0"/>
    <s v="小県郡青木村"/>
    <x v="29"/>
    <x v="9"/>
    <n v="3"/>
    <n v="2.29"/>
    <n v="1"/>
    <n v="1.1399999999999999"/>
    <n v="2"/>
    <n v="6.45"/>
    <x v="0"/>
  </r>
  <r>
    <x v="0"/>
    <s v="小県郡青木村"/>
    <x v="29"/>
    <x v="10"/>
    <n v="16"/>
    <n v="12.21"/>
    <n v="14"/>
    <n v="15.91"/>
    <n v="2"/>
    <n v="6.45"/>
    <x v="0"/>
  </r>
  <r>
    <x v="0"/>
    <s v="小県郡青木村"/>
    <x v="29"/>
    <x v="11"/>
    <n v="13"/>
    <n v="9.92"/>
    <n v="11"/>
    <n v="12.5"/>
    <n v="0"/>
    <n v="0"/>
    <x v="6"/>
  </r>
  <r>
    <x v="0"/>
    <s v="小県郡青木村"/>
    <x v="29"/>
    <x v="12"/>
    <n v="7"/>
    <n v="5.34"/>
    <n v="4"/>
    <n v="4.55"/>
    <n v="0"/>
    <n v="0"/>
    <x v="0"/>
  </r>
  <r>
    <x v="0"/>
    <s v="小県郡青木村"/>
    <x v="29"/>
    <x v="13"/>
    <n v="12"/>
    <n v="9.16"/>
    <n v="6"/>
    <n v="6.82"/>
    <n v="2"/>
    <n v="6.45"/>
    <x v="0"/>
  </r>
  <r>
    <x v="0"/>
    <s v="小県郡青木村"/>
    <x v="29"/>
    <x v="14"/>
    <n v="5"/>
    <n v="3.82"/>
    <n v="2"/>
    <n v="2.27"/>
    <n v="3"/>
    <n v="9.68"/>
    <x v="0"/>
  </r>
  <r>
    <x v="0"/>
    <s v="小県郡長和町"/>
    <x v="30"/>
    <x v="0"/>
    <n v="0"/>
    <n v="0"/>
    <n v="0"/>
    <n v="0"/>
    <n v="0"/>
    <n v="0"/>
    <x v="0"/>
  </r>
  <r>
    <x v="0"/>
    <s v="小県郡長和町"/>
    <x v="30"/>
    <x v="1"/>
    <n v="45"/>
    <n v="19.309999999999999"/>
    <n v="30"/>
    <n v="19.350000000000001"/>
    <n v="15"/>
    <n v="21.43"/>
    <x v="0"/>
  </r>
  <r>
    <x v="0"/>
    <s v="小県郡長和町"/>
    <x v="30"/>
    <x v="2"/>
    <n v="31"/>
    <n v="13.3"/>
    <n v="14"/>
    <n v="9.0299999999999994"/>
    <n v="17"/>
    <n v="24.29"/>
    <x v="0"/>
  </r>
  <r>
    <x v="0"/>
    <s v="小県郡長和町"/>
    <x v="30"/>
    <x v="3"/>
    <n v="1"/>
    <n v="0.43"/>
    <n v="0"/>
    <n v="0"/>
    <n v="1"/>
    <n v="1.43"/>
    <x v="0"/>
  </r>
  <r>
    <x v="0"/>
    <s v="小県郡長和町"/>
    <x v="30"/>
    <x v="4"/>
    <n v="1"/>
    <n v="0.43"/>
    <n v="1"/>
    <n v="0.65"/>
    <n v="0"/>
    <n v="0"/>
    <x v="0"/>
  </r>
  <r>
    <x v="0"/>
    <s v="小県郡長和町"/>
    <x v="30"/>
    <x v="5"/>
    <n v="4"/>
    <n v="1.72"/>
    <n v="1"/>
    <n v="0.65"/>
    <n v="2"/>
    <n v="2.86"/>
    <x v="6"/>
  </r>
  <r>
    <x v="0"/>
    <s v="小県郡長和町"/>
    <x v="30"/>
    <x v="6"/>
    <n v="39"/>
    <n v="16.739999999999998"/>
    <n v="25"/>
    <n v="16.13"/>
    <n v="14"/>
    <n v="20"/>
    <x v="0"/>
  </r>
  <r>
    <x v="0"/>
    <s v="小県郡長和町"/>
    <x v="30"/>
    <x v="7"/>
    <n v="1"/>
    <n v="0.43"/>
    <n v="0"/>
    <n v="0"/>
    <n v="1"/>
    <n v="1.43"/>
    <x v="0"/>
  </r>
  <r>
    <x v="0"/>
    <s v="小県郡長和町"/>
    <x v="30"/>
    <x v="8"/>
    <n v="2"/>
    <n v="0.86"/>
    <n v="0"/>
    <n v="0"/>
    <n v="1"/>
    <n v="1.43"/>
    <x v="0"/>
  </r>
  <r>
    <x v="0"/>
    <s v="小県郡長和町"/>
    <x v="30"/>
    <x v="9"/>
    <n v="8"/>
    <n v="3.43"/>
    <n v="4"/>
    <n v="2.58"/>
    <n v="4"/>
    <n v="5.71"/>
    <x v="0"/>
  </r>
  <r>
    <x v="0"/>
    <s v="小県郡長和町"/>
    <x v="30"/>
    <x v="10"/>
    <n v="72"/>
    <n v="30.9"/>
    <n v="64"/>
    <n v="41.29"/>
    <n v="8"/>
    <n v="11.43"/>
    <x v="0"/>
  </r>
  <r>
    <x v="0"/>
    <s v="小県郡長和町"/>
    <x v="30"/>
    <x v="11"/>
    <n v="14"/>
    <n v="6.01"/>
    <n v="11"/>
    <n v="7.1"/>
    <n v="3"/>
    <n v="4.29"/>
    <x v="0"/>
  </r>
  <r>
    <x v="0"/>
    <s v="小県郡長和町"/>
    <x v="30"/>
    <x v="12"/>
    <n v="5"/>
    <n v="2.15"/>
    <n v="3"/>
    <n v="1.94"/>
    <n v="0"/>
    <n v="0"/>
    <x v="0"/>
  </r>
  <r>
    <x v="0"/>
    <s v="小県郡長和町"/>
    <x v="30"/>
    <x v="13"/>
    <n v="7"/>
    <n v="3"/>
    <n v="1"/>
    <n v="0.65"/>
    <n v="2"/>
    <n v="2.86"/>
    <x v="0"/>
  </r>
  <r>
    <x v="0"/>
    <s v="小県郡長和町"/>
    <x v="30"/>
    <x v="14"/>
    <n v="3"/>
    <n v="1.29"/>
    <n v="1"/>
    <n v="0.65"/>
    <n v="2"/>
    <n v="2.86"/>
    <x v="0"/>
  </r>
  <r>
    <x v="0"/>
    <s v="諏訪郡下諏訪町"/>
    <x v="31"/>
    <x v="0"/>
    <n v="0"/>
    <n v="0"/>
    <n v="0"/>
    <n v="0"/>
    <n v="0"/>
    <n v="0"/>
    <x v="0"/>
  </r>
  <r>
    <x v="0"/>
    <s v="諏訪郡下諏訪町"/>
    <x v="31"/>
    <x v="1"/>
    <n v="75"/>
    <n v="12.04"/>
    <n v="28"/>
    <n v="8.2799999999999994"/>
    <n v="47"/>
    <n v="17.34"/>
    <x v="0"/>
  </r>
  <r>
    <x v="0"/>
    <s v="諏訪郡下諏訪町"/>
    <x v="31"/>
    <x v="2"/>
    <n v="113"/>
    <n v="18.14"/>
    <n v="44"/>
    <n v="13.02"/>
    <n v="69"/>
    <n v="25.46"/>
    <x v="0"/>
  </r>
  <r>
    <x v="0"/>
    <s v="諏訪郡下諏訪町"/>
    <x v="31"/>
    <x v="3"/>
    <n v="1"/>
    <n v="0.16"/>
    <n v="0"/>
    <n v="0"/>
    <n v="0"/>
    <n v="0"/>
    <x v="0"/>
  </r>
  <r>
    <x v="0"/>
    <s v="諏訪郡下諏訪町"/>
    <x v="31"/>
    <x v="4"/>
    <n v="4"/>
    <n v="0.64"/>
    <n v="0"/>
    <n v="0"/>
    <n v="4"/>
    <n v="1.48"/>
    <x v="0"/>
  </r>
  <r>
    <x v="0"/>
    <s v="諏訪郡下諏訪町"/>
    <x v="31"/>
    <x v="5"/>
    <n v="1"/>
    <n v="0.16"/>
    <n v="0"/>
    <n v="0"/>
    <n v="0"/>
    <n v="0"/>
    <x v="6"/>
  </r>
  <r>
    <x v="0"/>
    <s v="諏訪郡下諏訪町"/>
    <x v="31"/>
    <x v="6"/>
    <n v="125"/>
    <n v="20.059999999999999"/>
    <n v="68"/>
    <n v="20.12"/>
    <n v="57"/>
    <n v="21.03"/>
    <x v="0"/>
  </r>
  <r>
    <x v="0"/>
    <s v="諏訪郡下諏訪町"/>
    <x v="31"/>
    <x v="7"/>
    <n v="6"/>
    <n v="0.96"/>
    <n v="1"/>
    <n v="0.3"/>
    <n v="5"/>
    <n v="1.85"/>
    <x v="0"/>
  </r>
  <r>
    <x v="0"/>
    <s v="諏訪郡下諏訪町"/>
    <x v="31"/>
    <x v="8"/>
    <n v="40"/>
    <n v="6.42"/>
    <n v="15"/>
    <n v="4.4400000000000004"/>
    <n v="25"/>
    <n v="9.23"/>
    <x v="0"/>
  </r>
  <r>
    <x v="0"/>
    <s v="諏訪郡下諏訪町"/>
    <x v="31"/>
    <x v="9"/>
    <n v="29"/>
    <n v="4.6500000000000004"/>
    <n v="21"/>
    <n v="6.21"/>
    <n v="8"/>
    <n v="2.95"/>
    <x v="0"/>
  </r>
  <r>
    <x v="0"/>
    <s v="諏訪郡下諏訪町"/>
    <x v="31"/>
    <x v="10"/>
    <n v="92"/>
    <n v="14.77"/>
    <n v="73"/>
    <n v="21.6"/>
    <n v="19"/>
    <n v="7.01"/>
    <x v="0"/>
  </r>
  <r>
    <x v="0"/>
    <s v="諏訪郡下諏訪町"/>
    <x v="31"/>
    <x v="11"/>
    <n v="79"/>
    <n v="12.68"/>
    <n v="58"/>
    <n v="17.16"/>
    <n v="16"/>
    <n v="5.9"/>
    <x v="0"/>
  </r>
  <r>
    <x v="0"/>
    <s v="諏訪郡下諏訪町"/>
    <x v="31"/>
    <x v="12"/>
    <n v="21"/>
    <n v="3.37"/>
    <n v="11"/>
    <n v="3.25"/>
    <n v="7"/>
    <n v="2.58"/>
    <x v="0"/>
  </r>
  <r>
    <x v="0"/>
    <s v="諏訪郡下諏訪町"/>
    <x v="31"/>
    <x v="13"/>
    <n v="16"/>
    <n v="2.57"/>
    <n v="11"/>
    <n v="3.25"/>
    <n v="4"/>
    <n v="1.48"/>
    <x v="0"/>
  </r>
  <r>
    <x v="0"/>
    <s v="諏訪郡下諏訪町"/>
    <x v="31"/>
    <x v="14"/>
    <n v="21"/>
    <n v="3.37"/>
    <n v="8"/>
    <n v="2.37"/>
    <n v="10"/>
    <n v="3.69"/>
    <x v="0"/>
  </r>
  <r>
    <x v="0"/>
    <s v="諏訪郡富士見町"/>
    <x v="32"/>
    <x v="0"/>
    <n v="2"/>
    <n v="0.53"/>
    <n v="0"/>
    <n v="0"/>
    <n v="2"/>
    <n v="0.96"/>
    <x v="0"/>
  </r>
  <r>
    <x v="0"/>
    <s v="諏訪郡富士見町"/>
    <x v="32"/>
    <x v="1"/>
    <n v="65"/>
    <n v="17.329999999999998"/>
    <n v="23"/>
    <n v="14.47"/>
    <n v="42"/>
    <n v="20.100000000000001"/>
    <x v="0"/>
  </r>
  <r>
    <x v="0"/>
    <s v="諏訪郡富士見町"/>
    <x v="32"/>
    <x v="2"/>
    <n v="57"/>
    <n v="15.2"/>
    <n v="14"/>
    <n v="8.81"/>
    <n v="43"/>
    <n v="20.57"/>
    <x v="0"/>
  </r>
  <r>
    <x v="0"/>
    <s v="諏訪郡富士見町"/>
    <x v="32"/>
    <x v="3"/>
    <n v="3"/>
    <n v="0.8"/>
    <n v="0"/>
    <n v="0"/>
    <n v="3"/>
    <n v="1.44"/>
    <x v="0"/>
  </r>
  <r>
    <x v="0"/>
    <s v="諏訪郡富士見町"/>
    <x v="32"/>
    <x v="4"/>
    <n v="9"/>
    <n v="2.4"/>
    <n v="1"/>
    <n v="0.63"/>
    <n v="8"/>
    <n v="3.83"/>
    <x v="0"/>
  </r>
  <r>
    <x v="0"/>
    <s v="諏訪郡富士見町"/>
    <x v="32"/>
    <x v="5"/>
    <n v="5"/>
    <n v="1.33"/>
    <n v="0"/>
    <n v="0"/>
    <n v="4"/>
    <n v="1.91"/>
    <x v="6"/>
  </r>
  <r>
    <x v="0"/>
    <s v="諏訪郡富士見町"/>
    <x v="32"/>
    <x v="6"/>
    <n v="74"/>
    <n v="19.73"/>
    <n v="24"/>
    <n v="15.09"/>
    <n v="50"/>
    <n v="23.92"/>
    <x v="0"/>
  </r>
  <r>
    <x v="0"/>
    <s v="諏訪郡富士見町"/>
    <x v="32"/>
    <x v="7"/>
    <n v="0"/>
    <n v="0"/>
    <n v="0"/>
    <n v="0"/>
    <n v="0"/>
    <n v="0"/>
    <x v="0"/>
  </r>
  <r>
    <x v="0"/>
    <s v="諏訪郡富士見町"/>
    <x v="32"/>
    <x v="8"/>
    <n v="8"/>
    <n v="2.13"/>
    <n v="1"/>
    <n v="0.63"/>
    <n v="7"/>
    <n v="3.35"/>
    <x v="0"/>
  </r>
  <r>
    <x v="0"/>
    <s v="諏訪郡富士見町"/>
    <x v="32"/>
    <x v="9"/>
    <n v="15"/>
    <n v="4"/>
    <n v="5"/>
    <n v="3.14"/>
    <n v="9"/>
    <n v="4.3099999999999996"/>
    <x v="0"/>
  </r>
  <r>
    <x v="0"/>
    <s v="諏訪郡富士見町"/>
    <x v="32"/>
    <x v="10"/>
    <n v="71"/>
    <n v="18.93"/>
    <n v="51"/>
    <n v="32.08"/>
    <n v="20"/>
    <n v="9.57"/>
    <x v="0"/>
  </r>
  <r>
    <x v="0"/>
    <s v="諏訪郡富士見町"/>
    <x v="32"/>
    <x v="11"/>
    <n v="24"/>
    <n v="6.4"/>
    <n v="19"/>
    <n v="11.95"/>
    <n v="4"/>
    <n v="1.91"/>
    <x v="0"/>
  </r>
  <r>
    <x v="0"/>
    <s v="諏訪郡富士見町"/>
    <x v="32"/>
    <x v="12"/>
    <n v="14"/>
    <n v="3.73"/>
    <n v="6"/>
    <n v="3.77"/>
    <n v="6"/>
    <n v="2.87"/>
    <x v="0"/>
  </r>
  <r>
    <x v="0"/>
    <s v="諏訪郡富士見町"/>
    <x v="32"/>
    <x v="13"/>
    <n v="12"/>
    <n v="3.2"/>
    <n v="11"/>
    <n v="6.92"/>
    <n v="0"/>
    <n v="0"/>
    <x v="0"/>
  </r>
  <r>
    <x v="0"/>
    <s v="諏訪郡富士見町"/>
    <x v="32"/>
    <x v="14"/>
    <n v="16"/>
    <n v="4.2699999999999996"/>
    <n v="4"/>
    <n v="2.52"/>
    <n v="11"/>
    <n v="5.26"/>
    <x v="0"/>
  </r>
  <r>
    <x v="0"/>
    <s v="諏訪郡原村"/>
    <x v="33"/>
    <x v="0"/>
    <n v="0"/>
    <n v="0"/>
    <n v="0"/>
    <n v="0"/>
    <n v="0"/>
    <n v="0"/>
    <x v="0"/>
  </r>
  <r>
    <x v="0"/>
    <s v="諏訪郡原村"/>
    <x v="33"/>
    <x v="1"/>
    <n v="64"/>
    <n v="21.48"/>
    <n v="36"/>
    <n v="18.559999999999999"/>
    <n v="28"/>
    <n v="27.45"/>
    <x v="0"/>
  </r>
  <r>
    <x v="0"/>
    <s v="諏訪郡原村"/>
    <x v="33"/>
    <x v="2"/>
    <n v="44"/>
    <n v="14.77"/>
    <n v="25"/>
    <n v="12.89"/>
    <n v="19"/>
    <n v="18.63"/>
    <x v="0"/>
  </r>
  <r>
    <x v="0"/>
    <s v="諏訪郡原村"/>
    <x v="33"/>
    <x v="3"/>
    <n v="0"/>
    <n v="0"/>
    <n v="0"/>
    <n v="0"/>
    <n v="0"/>
    <n v="0"/>
    <x v="0"/>
  </r>
  <r>
    <x v="0"/>
    <s v="諏訪郡原村"/>
    <x v="33"/>
    <x v="4"/>
    <n v="4"/>
    <n v="1.34"/>
    <n v="0"/>
    <n v="0"/>
    <n v="4"/>
    <n v="3.92"/>
    <x v="0"/>
  </r>
  <r>
    <x v="0"/>
    <s v="諏訪郡原村"/>
    <x v="33"/>
    <x v="5"/>
    <n v="1"/>
    <n v="0.34"/>
    <n v="0"/>
    <n v="0"/>
    <n v="0"/>
    <n v="0"/>
    <x v="6"/>
  </r>
  <r>
    <x v="0"/>
    <s v="諏訪郡原村"/>
    <x v="33"/>
    <x v="6"/>
    <n v="37"/>
    <n v="12.42"/>
    <n v="23"/>
    <n v="11.86"/>
    <n v="14"/>
    <n v="13.73"/>
    <x v="0"/>
  </r>
  <r>
    <x v="0"/>
    <s v="諏訪郡原村"/>
    <x v="33"/>
    <x v="7"/>
    <n v="1"/>
    <n v="0.34"/>
    <n v="0"/>
    <n v="0"/>
    <n v="1"/>
    <n v="0.98"/>
    <x v="0"/>
  </r>
  <r>
    <x v="0"/>
    <s v="諏訪郡原村"/>
    <x v="33"/>
    <x v="8"/>
    <n v="8"/>
    <n v="2.68"/>
    <n v="2"/>
    <n v="1.03"/>
    <n v="6"/>
    <n v="5.88"/>
    <x v="0"/>
  </r>
  <r>
    <x v="0"/>
    <s v="諏訪郡原村"/>
    <x v="33"/>
    <x v="9"/>
    <n v="19"/>
    <n v="6.38"/>
    <n v="10"/>
    <n v="5.15"/>
    <n v="8"/>
    <n v="7.84"/>
    <x v="0"/>
  </r>
  <r>
    <x v="0"/>
    <s v="諏訪郡原村"/>
    <x v="33"/>
    <x v="10"/>
    <n v="81"/>
    <n v="27.18"/>
    <n v="71"/>
    <n v="36.6"/>
    <n v="10"/>
    <n v="9.8000000000000007"/>
    <x v="0"/>
  </r>
  <r>
    <x v="0"/>
    <s v="諏訪郡原村"/>
    <x v="33"/>
    <x v="11"/>
    <n v="15"/>
    <n v="5.03"/>
    <n v="12"/>
    <n v="6.19"/>
    <n v="3"/>
    <n v="2.94"/>
    <x v="0"/>
  </r>
  <r>
    <x v="0"/>
    <s v="諏訪郡原村"/>
    <x v="33"/>
    <x v="12"/>
    <n v="8"/>
    <n v="2.68"/>
    <n v="7"/>
    <n v="3.61"/>
    <n v="1"/>
    <n v="0.98"/>
    <x v="0"/>
  </r>
  <r>
    <x v="0"/>
    <s v="諏訪郡原村"/>
    <x v="33"/>
    <x v="13"/>
    <n v="5"/>
    <n v="1.68"/>
    <n v="4"/>
    <n v="2.06"/>
    <n v="1"/>
    <n v="0.98"/>
    <x v="0"/>
  </r>
  <r>
    <x v="0"/>
    <s v="諏訪郡原村"/>
    <x v="33"/>
    <x v="14"/>
    <n v="11"/>
    <n v="3.69"/>
    <n v="4"/>
    <n v="2.06"/>
    <n v="7"/>
    <n v="6.86"/>
    <x v="0"/>
  </r>
  <r>
    <x v="0"/>
    <s v="上伊那郡辰野町"/>
    <x v="34"/>
    <x v="0"/>
    <n v="1"/>
    <n v="0.18"/>
    <n v="0"/>
    <n v="0"/>
    <n v="1"/>
    <n v="0.41"/>
    <x v="0"/>
  </r>
  <r>
    <x v="0"/>
    <s v="上伊那郡辰野町"/>
    <x v="34"/>
    <x v="1"/>
    <n v="90"/>
    <n v="15.82"/>
    <n v="43"/>
    <n v="13.23"/>
    <n v="47"/>
    <n v="19.420000000000002"/>
    <x v="0"/>
  </r>
  <r>
    <x v="0"/>
    <s v="上伊那郡辰野町"/>
    <x v="34"/>
    <x v="2"/>
    <n v="104"/>
    <n v="18.28"/>
    <n v="46"/>
    <n v="14.15"/>
    <n v="58"/>
    <n v="23.97"/>
    <x v="0"/>
  </r>
  <r>
    <x v="0"/>
    <s v="上伊那郡辰野町"/>
    <x v="34"/>
    <x v="3"/>
    <n v="2"/>
    <n v="0.35"/>
    <n v="0"/>
    <n v="0"/>
    <n v="2"/>
    <n v="0.83"/>
    <x v="0"/>
  </r>
  <r>
    <x v="0"/>
    <s v="上伊那郡辰野町"/>
    <x v="34"/>
    <x v="4"/>
    <n v="5"/>
    <n v="0.88"/>
    <n v="1"/>
    <n v="0.31"/>
    <n v="4"/>
    <n v="1.65"/>
    <x v="0"/>
  </r>
  <r>
    <x v="0"/>
    <s v="上伊那郡辰野町"/>
    <x v="34"/>
    <x v="5"/>
    <n v="5"/>
    <n v="0.88"/>
    <n v="3"/>
    <n v="0.92"/>
    <n v="2"/>
    <n v="0.83"/>
    <x v="0"/>
  </r>
  <r>
    <x v="0"/>
    <s v="上伊那郡辰野町"/>
    <x v="34"/>
    <x v="6"/>
    <n v="125"/>
    <n v="21.97"/>
    <n v="56"/>
    <n v="17.23"/>
    <n v="69"/>
    <n v="28.51"/>
    <x v="0"/>
  </r>
  <r>
    <x v="0"/>
    <s v="上伊那郡辰野町"/>
    <x v="34"/>
    <x v="7"/>
    <n v="5"/>
    <n v="0.88"/>
    <n v="3"/>
    <n v="0.92"/>
    <n v="2"/>
    <n v="0.83"/>
    <x v="0"/>
  </r>
  <r>
    <x v="0"/>
    <s v="上伊那郡辰野町"/>
    <x v="34"/>
    <x v="8"/>
    <n v="30"/>
    <n v="5.27"/>
    <n v="21"/>
    <n v="6.46"/>
    <n v="9"/>
    <n v="3.72"/>
    <x v="0"/>
  </r>
  <r>
    <x v="0"/>
    <s v="上伊那郡辰野町"/>
    <x v="34"/>
    <x v="9"/>
    <n v="28"/>
    <n v="4.92"/>
    <n v="12"/>
    <n v="3.69"/>
    <n v="16"/>
    <n v="6.61"/>
    <x v="0"/>
  </r>
  <r>
    <x v="0"/>
    <s v="上伊那郡辰野町"/>
    <x v="34"/>
    <x v="10"/>
    <n v="61"/>
    <n v="10.72"/>
    <n v="52"/>
    <n v="16"/>
    <n v="9"/>
    <n v="3.72"/>
    <x v="0"/>
  </r>
  <r>
    <x v="0"/>
    <s v="上伊那郡辰野町"/>
    <x v="34"/>
    <x v="11"/>
    <n v="57"/>
    <n v="10.02"/>
    <n v="48"/>
    <n v="14.77"/>
    <n v="9"/>
    <n v="3.72"/>
    <x v="0"/>
  </r>
  <r>
    <x v="0"/>
    <s v="上伊那郡辰野町"/>
    <x v="34"/>
    <x v="12"/>
    <n v="20"/>
    <n v="3.51"/>
    <n v="16"/>
    <n v="4.92"/>
    <n v="3"/>
    <n v="1.24"/>
    <x v="0"/>
  </r>
  <r>
    <x v="0"/>
    <s v="上伊那郡辰野町"/>
    <x v="34"/>
    <x v="13"/>
    <n v="20"/>
    <n v="3.51"/>
    <n v="18"/>
    <n v="5.54"/>
    <n v="2"/>
    <n v="0.83"/>
    <x v="0"/>
  </r>
  <r>
    <x v="0"/>
    <s v="上伊那郡辰野町"/>
    <x v="34"/>
    <x v="14"/>
    <n v="16"/>
    <n v="2.81"/>
    <n v="6"/>
    <n v="1.85"/>
    <n v="9"/>
    <n v="3.72"/>
    <x v="0"/>
  </r>
  <r>
    <x v="0"/>
    <s v="上伊那郡箕輪町"/>
    <x v="35"/>
    <x v="0"/>
    <n v="0"/>
    <n v="0"/>
    <n v="0"/>
    <n v="0"/>
    <n v="0"/>
    <n v="0"/>
    <x v="0"/>
  </r>
  <r>
    <x v="0"/>
    <s v="上伊那郡箕輪町"/>
    <x v="35"/>
    <x v="1"/>
    <n v="85"/>
    <n v="14.51"/>
    <n v="34"/>
    <n v="11.89"/>
    <n v="51"/>
    <n v="17.059999999999999"/>
    <x v="0"/>
  </r>
  <r>
    <x v="0"/>
    <s v="上伊那郡箕輪町"/>
    <x v="35"/>
    <x v="2"/>
    <n v="156"/>
    <n v="26.62"/>
    <n v="59"/>
    <n v="20.63"/>
    <n v="97"/>
    <n v="32.44"/>
    <x v="0"/>
  </r>
  <r>
    <x v="0"/>
    <s v="上伊那郡箕輪町"/>
    <x v="35"/>
    <x v="3"/>
    <n v="1"/>
    <n v="0.17"/>
    <n v="0"/>
    <n v="0"/>
    <n v="1"/>
    <n v="0.33"/>
    <x v="0"/>
  </r>
  <r>
    <x v="0"/>
    <s v="上伊那郡箕輪町"/>
    <x v="35"/>
    <x v="4"/>
    <n v="2"/>
    <n v="0.34"/>
    <n v="1"/>
    <n v="0.35"/>
    <n v="1"/>
    <n v="0.33"/>
    <x v="0"/>
  </r>
  <r>
    <x v="0"/>
    <s v="上伊那郡箕輪町"/>
    <x v="35"/>
    <x v="5"/>
    <n v="3"/>
    <n v="0.51"/>
    <n v="1"/>
    <n v="0.35"/>
    <n v="2"/>
    <n v="0.67"/>
    <x v="0"/>
  </r>
  <r>
    <x v="0"/>
    <s v="上伊那郡箕輪町"/>
    <x v="35"/>
    <x v="6"/>
    <n v="118"/>
    <n v="20.14"/>
    <n v="45"/>
    <n v="15.73"/>
    <n v="73"/>
    <n v="24.41"/>
    <x v="0"/>
  </r>
  <r>
    <x v="0"/>
    <s v="上伊那郡箕輪町"/>
    <x v="35"/>
    <x v="7"/>
    <n v="6"/>
    <n v="1.02"/>
    <n v="2"/>
    <n v="0.7"/>
    <n v="4"/>
    <n v="1.34"/>
    <x v="0"/>
  </r>
  <r>
    <x v="0"/>
    <s v="上伊那郡箕輪町"/>
    <x v="35"/>
    <x v="8"/>
    <n v="25"/>
    <n v="4.2699999999999996"/>
    <n v="12"/>
    <n v="4.2"/>
    <n v="13"/>
    <n v="4.3499999999999996"/>
    <x v="0"/>
  </r>
  <r>
    <x v="0"/>
    <s v="上伊那郡箕輪町"/>
    <x v="35"/>
    <x v="9"/>
    <n v="20"/>
    <n v="3.41"/>
    <n v="14"/>
    <n v="4.9000000000000004"/>
    <n v="6"/>
    <n v="2.0099999999999998"/>
    <x v="0"/>
  </r>
  <r>
    <x v="0"/>
    <s v="上伊那郡箕輪町"/>
    <x v="35"/>
    <x v="10"/>
    <n v="59"/>
    <n v="10.07"/>
    <n v="40"/>
    <n v="13.99"/>
    <n v="19"/>
    <n v="6.35"/>
    <x v="0"/>
  </r>
  <r>
    <x v="0"/>
    <s v="上伊那郡箕輪町"/>
    <x v="35"/>
    <x v="11"/>
    <n v="55"/>
    <n v="9.39"/>
    <n v="42"/>
    <n v="14.69"/>
    <n v="13"/>
    <n v="4.3499999999999996"/>
    <x v="0"/>
  </r>
  <r>
    <x v="0"/>
    <s v="上伊那郡箕輪町"/>
    <x v="35"/>
    <x v="12"/>
    <n v="19"/>
    <n v="3.24"/>
    <n v="13"/>
    <n v="4.55"/>
    <n v="5"/>
    <n v="1.67"/>
    <x v="0"/>
  </r>
  <r>
    <x v="0"/>
    <s v="上伊那郡箕輪町"/>
    <x v="35"/>
    <x v="13"/>
    <n v="17"/>
    <n v="2.9"/>
    <n v="14"/>
    <n v="4.9000000000000004"/>
    <n v="3"/>
    <n v="1"/>
    <x v="0"/>
  </r>
  <r>
    <x v="0"/>
    <s v="上伊那郡箕輪町"/>
    <x v="35"/>
    <x v="14"/>
    <n v="20"/>
    <n v="3.41"/>
    <n v="9"/>
    <n v="3.15"/>
    <n v="11"/>
    <n v="3.68"/>
    <x v="0"/>
  </r>
  <r>
    <x v="0"/>
    <s v="上伊那郡飯島町"/>
    <x v="36"/>
    <x v="0"/>
    <n v="0"/>
    <n v="0"/>
    <n v="0"/>
    <n v="0"/>
    <n v="0"/>
    <n v="0"/>
    <x v="0"/>
  </r>
  <r>
    <x v="0"/>
    <s v="上伊那郡飯島町"/>
    <x v="36"/>
    <x v="1"/>
    <n v="53"/>
    <n v="19.7"/>
    <n v="28"/>
    <n v="16.37"/>
    <n v="25"/>
    <n v="26.04"/>
    <x v="0"/>
  </r>
  <r>
    <x v="0"/>
    <s v="上伊那郡飯島町"/>
    <x v="36"/>
    <x v="2"/>
    <n v="38"/>
    <n v="14.13"/>
    <n v="16"/>
    <n v="9.36"/>
    <n v="22"/>
    <n v="22.92"/>
    <x v="0"/>
  </r>
  <r>
    <x v="0"/>
    <s v="上伊那郡飯島町"/>
    <x v="36"/>
    <x v="3"/>
    <n v="0"/>
    <n v="0"/>
    <n v="0"/>
    <n v="0"/>
    <n v="0"/>
    <n v="0"/>
    <x v="0"/>
  </r>
  <r>
    <x v="0"/>
    <s v="上伊那郡飯島町"/>
    <x v="36"/>
    <x v="4"/>
    <n v="4"/>
    <n v="1.49"/>
    <n v="2"/>
    <n v="1.17"/>
    <n v="2"/>
    <n v="2.08"/>
    <x v="0"/>
  </r>
  <r>
    <x v="0"/>
    <s v="上伊那郡飯島町"/>
    <x v="36"/>
    <x v="5"/>
    <n v="4"/>
    <n v="1.49"/>
    <n v="1"/>
    <n v="0.57999999999999996"/>
    <n v="3"/>
    <n v="3.13"/>
    <x v="0"/>
  </r>
  <r>
    <x v="0"/>
    <s v="上伊那郡飯島町"/>
    <x v="36"/>
    <x v="6"/>
    <n v="43"/>
    <n v="15.99"/>
    <n v="21"/>
    <n v="12.28"/>
    <n v="22"/>
    <n v="22.92"/>
    <x v="0"/>
  </r>
  <r>
    <x v="0"/>
    <s v="上伊那郡飯島町"/>
    <x v="36"/>
    <x v="7"/>
    <n v="1"/>
    <n v="0.37"/>
    <n v="0"/>
    <n v="0"/>
    <n v="1"/>
    <n v="1.04"/>
    <x v="0"/>
  </r>
  <r>
    <x v="0"/>
    <s v="上伊那郡飯島町"/>
    <x v="36"/>
    <x v="8"/>
    <n v="5"/>
    <n v="1.86"/>
    <n v="1"/>
    <n v="0.57999999999999996"/>
    <n v="4"/>
    <n v="4.17"/>
    <x v="0"/>
  </r>
  <r>
    <x v="0"/>
    <s v="上伊那郡飯島町"/>
    <x v="36"/>
    <x v="9"/>
    <n v="19"/>
    <n v="7.06"/>
    <n v="15"/>
    <n v="8.77"/>
    <n v="3"/>
    <n v="3.13"/>
    <x v="0"/>
  </r>
  <r>
    <x v="0"/>
    <s v="上伊那郡飯島町"/>
    <x v="36"/>
    <x v="10"/>
    <n v="39"/>
    <n v="14.5"/>
    <n v="30"/>
    <n v="17.54"/>
    <n v="9"/>
    <n v="9.3800000000000008"/>
    <x v="0"/>
  </r>
  <r>
    <x v="0"/>
    <s v="上伊那郡飯島町"/>
    <x v="36"/>
    <x v="11"/>
    <n v="27"/>
    <n v="10.039999999999999"/>
    <n v="26"/>
    <n v="15.2"/>
    <n v="1"/>
    <n v="1.04"/>
    <x v="0"/>
  </r>
  <r>
    <x v="0"/>
    <s v="上伊那郡飯島町"/>
    <x v="36"/>
    <x v="12"/>
    <n v="13"/>
    <n v="4.83"/>
    <n v="13"/>
    <n v="7.6"/>
    <n v="0"/>
    <n v="0"/>
    <x v="0"/>
  </r>
  <r>
    <x v="0"/>
    <s v="上伊那郡飯島町"/>
    <x v="36"/>
    <x v="13"/>
    <n v="13"/>
    <n v="4.83"/>
    <n v="13"/>
    <n v="7.6"/>
    <n v="0"/>
    <n v="0"/>
    <x v="0"/>
  </r>
  <r>
    <x v="0"/>
    <s v="上伊那郡飯島町"/>
    <x v="36"/>
    <x v="14"/>
    <n v="10"/>
    <n v="3.72"/>
    <n v="5"/>
    <n v="2.92"/>
    <n v="4"/>
    <n v="4.17"/>
    <x v="0"/>
  </r>
  <r>
    <x v="0"/>
    <s v="上伊那郡南箕輪村"/>
    <x v="37"/>
    <x v="0"/>
    <n v="0"/>
    <n v="0"/>
    <n v="0"/>
    <n v="0"/>
    <n v="0"/>
    <n v="0"/>
    <x v="0"/>
  </r>
  <r>
    <x v="0"/>
    <s v="上伊那郡南箕輪村"/>
    <x v="37"/>
    <x v="1"/>
    <n v="49"/>
    <n v="16.440000000000001"/>
    <n v="24"/>
    <n v="17.02"/>
    <n v="25"/>
    <n v="16.34"/>
    <x v="0"/>
  </r>
  <r>
    <x v="0"/>
    <s v="上伊那郡南箕輪村"/>
    <x v="37"/>
    <x v="2"/>
    <n v="57"/>
    <n v="19.13"/>
    <n v="17"/>
    <n v="12.06"/>
    <n v="40"/>
    <n v="26.14"/>
    <x v="0"/>
  </r>
  <r>
    <x v="0"/>
    <s v="上伊那郡南箕輪村"/>
    <x v="37"/>
    <x v="3"/>
    <n v="1"/>
    <n v="0.34"/>
    <n v="0"/>
    <n v="0"/>
    <n v="1"/>
    <n v="0.65"/>
    <x v="0"/>
  </r>
  <r>
    <x v="0"/>
    <s v="上伊那郡南箕輪村"/>
    <x v="37"/>
    <x v="4"/>
    <n v="3"/>
    <n v="1.01"/>
    <n v="0"/>
    <n v="0"/>
    <n v="3"/>
    <n v="1.96"/>
    <x v="0"/>
  </r>
  <r>
    <x v="0"/>
    <s v="上伊那郡南箕輪村"/>
    <x v="37"/>
    <x v="5"/>
    <n v="2"/>
    <n v="0.67"/>
    <n v="1"/>
    <n v="0.71"/>
    <n v="1"/>
    <n v="0.65"/>
    <x v="0"/>
  </r>
  <r>
    <x v="0"/>
    <s v="上伊那郡南箕輪村"/>
    <x v="37"/>
    <x v="6"/>
    <n v="54"/>
    <n v="18.12"/>
    <n v="14"/>
    <n v="9.93"/>
    <n v="40"/>
    <n v="26.14"/>
    <x v="0"/>
  </r>
  <r>
    <x v="0"/>
    <s v="上伊那郡南箕輪村"/>
    <x v="37"/>
    <x v="7"/>
    <n v="1"/>
    <n v="0.34"/>
    <n v="0"/>
    <n v="0"/>
    <n v="1"/>
    <n v="0.65"/>
    <x v="0"/>
  </r>
  <r>
    <x v="0"/>
    <s v="上伊那郡南箕輪村"/>
    <x v="37"/>
    <x v="8"/>
    <n v="20"/>
    <n v="6.71"/>
    <n v="6"/>
    <n v="4.26"/>
    <n v="14"/>
    <n v="9.15"/>
    <x v="0"/>
  </r>
  <r>
    <x v="0"/>
    <s v="上伊那郡南箕輪村"/>
    <x v="37"/>
    <x v="9"/>
    <n v="12"/>
    <n v="4.03"/>
    <n v="6"/>
    <n v="4.26"/>
    <n v="6"/>
    <n v="3.92"/>
    <x v="0"/>
  </r>
  <r>
    <x v="0"/>
    <s v="上伊那郡南箕輪村"/>
    <x v="37"/>
    <x v="10"/>
    <n v="13"/>
    <n v="4.3600000000000003"/>
    <n v="8"/>
    <n v="5.67"/>
    <n v="5"/>
    <n v="3.27"/>
    <x v="0"/>
  </r>
  <r>
    <x v="0"/>
    <s v="上伊那郡南箕輪村"/>
    <x v="37"/>
    <x v="11"/>
    <n v="41"/>
    <n v="13.76"/>
    <n v="35"/>
    <n v="24.82"/>
    <n v="5"/>
    <n v="3.27"/>
    <x v="0"/>
  </r>
  <r>
    <x v="0"/>
    <s v="上伊那郡南箕輪村"/>
    <x v="37"/>
    <x v="12"/>
    <n v="20"/>
    <n v="6.71"/>
    <n v="15"/>
    <n v="10.64"/>
    <n v="3"/>
    <n v="1.96"/>
    <x v="0"/>
  </r>
  <r>
    <x v="0"/>
    <s v="上伊那郡南箕輪村"/>
    <x v="37"/>
    <x v="13"/>
    <n v="13"/>
    <n v="4.3600000000000003"/>
    <n v="11"/>
    <n v="7.8"/>
    <n v="1"/>
    <n v="0.65"/>
    <x v="0"/>
  </r>
  <r>
    <x v="0"/>
    <s v="上伊那郡南箕輪村"/>
    <x v="37"/>
    <x v="14"/>
    <n v="12"/>
    <n v="4.03"/>
    <n v="4"/>
    <n v="2.84"/>
    <n v="8"/>
    <n v="5.23"/>
    <x v="0"/>
  </r>
  <r>
    <x v="0"/>
    <s v="上伊那郡中川村"/>
    <x v="38"/>
    <x v="0"/>
    <n v="0"/>
    <n v="0"/>
    <n v="0"/>
    <n v="0"/>
    <n v="0"/>
    <n v="0"/>
    <x v="0"/>
  </r>
  <r>
    <x v="0"/>
    <s v="上伊那郡中川村"/>
    <x v="38"/>
    <x v="1"/>
    <n v="28"/>
    <n v="23.33"/>
    <n v="16"/>
    <n v="21.33"/>
    <n v="12"/>
    <n v="28.57"/>
    <x v="0"/>
  </r>
  <r>
    <x v="0"/>
    <s v="上伊那郡中川村"/>
    <x v="38"/>
    <x v="2"/>
    <n v="22"/>
    <n v="18.329999999999998"/>
    <n v="10"/>
    <n v="13.33"/>
    <n v="12"/>
    <n v="28.57"/>
    <x v="0"/>
  </r>
  <r>
    <x v="0"/>
    <s v="上伊那郡中川村"/>
    <x v="38"/>
    <x v="3"/>
    <n v="2"/>
    <n v="1.67"/>
    <n v="0"/>
    <n v="0"/>
    <n v="2"/>
    <n v="4.76"/>
    <x v="0"/>
  </r>
  <r>
    <x v="0"/>
    <s v="上伊那郡中川村"/>
    <x v="38"/>
    <x v="4"/>
    <n v="2"/>
    <n v="1.67"/>
    <n v="2"/>
    <n v="2.67"/>
    <n v="0"/>
    <n v="0"/>
    <x v="0"/>
  </r>
  <r>
    <x v="0"/>
    <s v="上伊那郡中川村"/>
    <x v="38"/>
    <x v="5"/>
    <n v="1"/>
    <n v="0.83"/>
    <n v="1"/>
    <n v="1.33"/>
    <n v="0"/>
    <n v="0"/>
    <x v="0"/>
  </r>
  <r>
    <x v="0"/>
    <s v="上伊那郡中川村"/>
    <x v="38"/>
    <x v="6"/>
    <n v="20"/>
    <n v="16.670000000000002"/>
    <n v="13"/>
    <n v="17.329999999999998"/>
    <n v="7"/>
    <n v="16.670000000000002"/>
    <x v="0"/>
  </r>
  <r>
    <x v="0"/>
    <s v="上伊那郡中川村"/>
    <x v="38"/>
    <x v="7"/>
    <n v="1"/>
    <n v="0.83"/>
    <n v="1"/>
    <n v="1.33"/>
    <n v="0"/>
    <n v="0"/>
    <x v="0"/>
  </r>
  <r>
    <x v="0"/>
    <s v="上伊那郡中川村"/>
    <x v="38"/>
    <x v="8"/>
    <n v="2"/>
    <n v="1.67"/>
    <n v="0"/>
    <n v="0"/>
    <n v="2"/>
    <n v="4.76"/>
    <x v="0"/>
  </r>
  <r>
    <x v="0"/>
    <s v="上伊那郡中川村"/>
    <x v="38"/>
    <x v="9"/>
    <n v="4"/>
    <n v="3.33"/>
    <n v="3"/>
    <n v="4"/>
    <n v="1"/>
    <n v="2.38"/>
    <x v="0"/>
  </r>
  <r>
    <x v="0"/>
    <s v="上伊那郡中川村"/>
    <x v="38"/>
    <x v="10"/>
    <n v="13"/>
    <n v="10.83"/>
    <n v="12"/>
    <n v="16"/>
    <n v="1"/>
    <n v="2.38"/>
    <x v="0"/>
  </r>
  <r>
    <x v="0"/>
    <s v="上伊那郡中川村"/>
    <x v="38"/>
    <x v="11"/>
    <n v="10"/>
    <n v="8.33"/>
    <n v="10"/>
    <n v="13.33"/>
    <n v="0"/>
    <n v="0"/>
    <x v="0"/>
  </r>
  <r>
    <x v="0"/>
    <s v="上伊那郡中川村"/>
    <x v="38"/>
    <x v="12"/>
    <n v="3"/>
    <n v="2.5"/>
    <n v="0"/>
    <n v="0"/>
    <n v="1"/>
    <n v="2.38"/>
    <x v="0"/>
  </r>
  <r>
    <x v="0"/>
    <s v="上伊那郡中川村"/>
    <x v="38"/>
    <x v="13"/>
    <n v="7"/>
    <n v="5.83"/>
    <n v="5"/>
    <n v="6.67"/>
    <n v="2"/>
    <n v="4.76"/>
    <x v="0"/>
  </r>
  <r>
    <x v="0"/>
    <s v="上伊那郡中川村"/>
    <x v="38"/>
    <x v="14"/>
    <n v="5"/>
    <n v="4.17"/>
    <n v="2"/>
    <n v="2.67"/>
    <n v="2"/>
    <n v="4.76"/>
    <x v="0"/>
  </r>
  <r>
    <x v="0"/>
    <s v="上伊那郡宮田村"/>
    <x v="39"/>
    <x v="0"/>
    <n v="0"/>
    <n v="0"/>
    <n v="0"/>
    <n v="0"/>
    <n v="0"/>
    <n v="0"/>
    <x v="0"/>
  </r>
  <r>
    <x v="0"/>
    <s v="上伊那郡宮田村"/>
    <x v="39"/>
    <x v="1"/>
    <n v="49"/>
    <n v="18.850000000000001"/>
    <n v="30"/>
    <n v="17.54"/>
    <n v="19"/>
    <n v="21.59"/>
    <x v="0"/>
  </r>
  <r>
    <x v="0"/>
    <s v="上伊那郡宮田村"/>
    <x v="39"/>
    <x v="2"/>
    <n v="37"/>
    <n v="14.23"/>
    <n v="19"/>
    <n v="11.11"/>
    <n v="18"/>
    <n v="20.45"/>
    <x v="0"/>
  </r>
  <r>
    <x v="0"/>
    <s v="上伊那郡宮田村"/>
    <x v="39"/>
    <x v="3"/>
    <n v="4"/>
    <n v="1.54"/>
    <n v="0"/>
    <n v="0"/>
    <n v="4"/>
    <n v="4.55"/>
    <x v="0"/>
  </r>
  <r>
    <x v="0"/>
    <s v="上伊那郡宮田村"/>
    <x v="39"/>
    <x v="4"/>
    <n v="0"/>
    <n v="0"/>
    <n v="0"/>
    <n v="0"/>
    <n v="0"/>
    <n v="0"/>
    <x v="0"/>
  </r>
  <r>
    <x v="0"/>
    <s v="上伊那郡宮田村"/>
    <x v="39"/>
    <x v="5"/>
    <n v="0"/>
    <n v="0"/>
    <n v="0"/>
    <n v="0"/>
    <n v="0"/>
    <n v="0"/>
    <x v="0"/>
  </r>
  <r>
    <x v="0"/>
    <s v="上伊那郡宮田村"/>
    <x v="39"/>
    <x v="6"/>
    <n v="57"/>
    <n v="21.92"/>
    <n v="36"/>
    <n v="21.05"/>
    <n v="21"/>
    <n v="23.86"/>
    <x v="0"/>
  </r>
  <r>
    <x v="0"/>
    <s v="上伊那郡宮田村"/>
    <x v="39"/>
    <x v="7"/>
    <n v="0"/>
    <n v="0"/>
    <n v="0"/>
    <n v="0"/>
    <n v="0"/>
    <n v="0"/>
    <x v="0"/>
  </r>
  <r>
    <x v="0"/>
    <s v="上伊那郡宮田村"/>
    <x v="39"/>
    <x v="8"/>
    <n v="7"/>
    <n v="2.69"/>
    <n v="3"/>
    <n v="1.75"/>
    <n v="4"/>
    <n v="4.55"/>
    <x v="0"/>
  </r>
  <r>
    <x v="0"/>
    <s v="上伊那郡宮田村"/>
    <x v="39"/>
    <x v="9"/>
    <n v="17"/>
    <n v="6.54"/>
    <n v="14"/>
    <n v="8.19"/>
    <n v="3"/>
    <n v="3.41"/>
    <x v="0"/>
  </r>
  <r>
    <x v="0"/>
    <s v="上伊那郡宮田村"/>
    <x v="39"/>
    <x v="10"/>
    <n v="24"/>
    <n v="9.23"/>
    <n v="16"/>
    <n v="9.36"/>
    <n v="8"/>
    <n v="9.09"/>
    <x v="0"/>
  </r>
  <r>
    <x v="0"/>
    <s v="上伊那郡宮田村"/>
    <x v="39"/>
    <x v="11"/>
    <n v="38"/>
    <n v="14.62"/>
    <n v="34"/>
    <n v="19.88"/>
    <n v="4"/>
    <n v="4.55"/>
    <x v="0"/>
  </r>
  <r>
    <x v="0"/>
    <s v="上伊那郡宮田村"/>
    <x v="39"/>
    <x v="12"/>
    <n v="10"/>
    <n v="3.85"/>
    <n v="7"/>
    <n v="4.09"/>
    <n v="2"/>
    <n v="2.27"/>
    <x v="0"/>
  </r>
  <r>
    <x v="0"/>
    <s v="上伊那郡宮田村"/>
    <x v="39"/>
    <x v="13"/>
    <n v="10"/>
    <n v="3.85"/>
    <n v="10"/>
    <n v="5.85"/>
    <n v="0"/>
    <n v="0"/>
    <x v="0"/>
  </r>
  <r>
    <x v="0"/>
    <s v="上伊那郡宮田村"/>
    <x v="39"/>
    <x v="14"/>
    <n v="7"/>
    <n v="2.69"/>
    <n v="2"/>
    <n v="1.17"/>
    <n v="5"/>
    <n v="5.68"/>
    <x v="0"/>
  </r>
  <r>
    <x v="0"/>
    <s v="下伊那郡松川町"/>
    <x v="40"/>
    <x v="0"/>
    <n v="0"/>
    <n v="0"/>
    <n v="0"/>
    <n v="0"/>
    <n v="0"/>
    <n v="0"/>
    <x v="0"/>
  </r>
  <r>
    <x v="0"/>
    <s v="下伊那郡松川町"/>
    <x v="40"/>
    <x v="1"/>
    <n v="73"/>
    <n v="19.41"/>
    <n v="34"/>
    <n v="15.38"/>
    <n v="39"/>
    <n v="25.49"/>
    <x v="0"/>
  </r>
  <r>
    <x v="0"/>
    <s v="下伊那郡松川町"/>
    <x v="40"/>
    <x v="2"/>
    <n v="44"/>
    <n v="11.7"/>
    <n v="17"/>
    <n v="7.69"/>
    <n v="27"/>
    <n v="17.649999999999999"/>
    <x v="0"/>
  </r>
  <r>
    <x v="0"/>
    <s v="下伊那郡松川町"/>
    <x v="40"/>
    <x v="3"/>
    <n v="7"/>
    <n v="1.86"/>
    <n v="0"/>
    <n v="0"/>
    <n v="7"/>
    <n v="4.58"/>
    <x v="0"/>
  </r>
  <r>
    <x v="0"/>
    <s v="下伊那郡松川町"/>
    <x v="40"/>
    <x v="4"/>
    <n v="1"/>
    <n v="0.27"/>
    <n v="1"/>
    <n v="0.45"/>
    <n v="0"/>
    <n v="0"/>
    <x v="0"/>
  </r>
  <r>
    <x v="0"/>
    <s v="下伊那郡松川町"/>
    <x v="40"/>
    <x v="5"/>
    <n v="2"/>
    <n v="0.53"/>
    <n v="0"/>
    <n v="0"/>
    <n v="2"/>
    <n v="1.31"/>
    <x v="0"/>
  </r>
  <r>
    <x v="0"/>
    <s v="下伊那郡松川町"/>
    <x v="40"/>
    <x v="6"/>
    <n v="78"/>
    <n v="20.74"/>
    <n v="32"/>
    <n v="14.48"/>
    <n v="46"/>
    <n v="30.07"/>
    <x v="0"/>
  </r>
  <r>
    <x v="0"/>
    <s v="下伊那郡松川町"/>
    <x v="40"/>
    <x v="7"/>
    <n v="0"/>
    <n v="0"/>
    <n v="0"/>
    <n v="0"/>
    <n v="0"/>
    <n v="0"/>
    <x v="0"/>
  </r>
  <r>
    <x v="0"/>
    <s v="下伊那郡松川町"/>
    <x v="40"/>
    <x v="8"/>
    <n v="20"/>
    <n v="5.32"/>
    <n v="8"/>
    <n v="3.62"/>
    <n v="12"/>
    <n v="7.84"/>
    <x v="0"/>
  </r>
  <r>
    <x v="0"/>
    <s v="下伊那郡松川町"/>
    <x v="40"/>
    <x v="9"/>
    <n v="15"/>
    <n v="3.99"/>
    <n v="13"/>
    <n v="5.88"/>
    <n v="2"/>
    <n v="1.31"/>
    <x v="0"/>
  </r>
  <r>
    <x v="0"/>
    <s v="下伊那郡松川町"/>
    <x v="40"/>
    <x v="10"/>
    <n v="46"/>
    <n v="12.23"/>
    <n v="41"/>
    <n v="18.55"/>
    <n v="5"/>
    <n v="3.27"/>
    <x v="0"/>
  </r>
  <r>
    <x v="0"/>
    <s v="下伊那郡松川町"/>
    <x v="40"/>
    <x v="11"/>
    <n v="45"/>
    <n v="11.97"/>
    <n v="42"/>
    <n v="19"/>
    <n v="2"/>
    <n v="1.31"/>
    <x v="0"/>
  </r>
  <r>
    <x v="0"/>
    <s v="下伊那郡松川町"/>
    <x v="40"/>
    <x v="12"/>
    <n v="10"/>
    <n v="2.66"/>
    <n v="10"/>
    <n v="4.5199999999999996"/>
    <n v="0"/>
    <n v="0"/>
    <x v="0"/>
  </r>
  <r>
    <x v="0"/>
    <s v="下伊那郡松川町"/>
    <x v="40"/>
    <x v="13"/>
    <n v="21"/>
    <n v="5.59"/>
    <n v="15"/>
    <n v="6.79"/>
    <n v="5"/>
    <n v="3.27"/>
    <x v="0"/>
  </r>
  <r>
    <x v="0"/>
    <s v="下伊那郡松川町"/>
    <x v="40"/>
    <x v="14"/>
    <n v="14"/>
    <n v="3.72"/>
    <n v="8"/>
    <n v="3.62"/>
    <n v="6"/>
    <n v="3.92"/>
    <x v="0"/>
  </r>
  <r>
    <x v="0"/>
    <s v="下伊那郡高森町"/>
    <x v="41"/>
    <x v="0"/>
    <n v="0"/>
    <n v="0"/>
    <n v="0"/>
    <n v="0"/>
    <n v="0"/>
    <n v="0"/>
    <x v="0"/>
  </r>
  <r>
    <x v="0"/>
    <s v="下伊那郡高森町"/>
    <x v="41"/>
    <x v="1"/>
    <n v="53"/>
    <n v="16.77"/>
    <n v="20"/>
    <n v="13.33"/>
    <n v="33"/>
    <n v="21.02"/>
    <x v="0"/>
  </r>
  <r>
    <x v="0"/>
    <s v="下伊那郡高森町"/>
    <x v="41"/>
    <x v="2"/>
    <n v="43"/>
    <n v="13.61"/>
    <n v="16"/>
    <n v="10.67"/>
    <n v="27"/>
    <n v="17.2"/>
    <x v="0"/>
  </r>
  <r>
    <x v="0"/>
    <s v="下伊那郡高森町"/>
    <x v="41"/>
    <x v="3"/>
    <n v="3"/>
    <n v="0.95"/>
    <n v="0"/>
    <n v="0"/>
    <n v="3"/>
    <n v="1.91"/>
    <x v="0"/>
  </r>
  <r>
    <x v="0"/>
    <s v="下伊那郡高森町"/>
    <x v="41"/>
    <x v="4"/>
    <n v="3"/>
    <n v="0.95"/>
    <n v="1"/>
    <n v="0.67"/>
    <n v="2"/>
    <n v="1.27"/>
    <x v="0"/>
  </r>
  <r>
    <x v="0"/>
    <s v="下伊那郡高森町"/>
    <x v="41"/>
    <x v="5"/>
    <n v="5"/>
    <n v="1.58"/>
    <n v="2"/>
    <n v="1.33"/>
    <n v="3"/>
    <n v="1.91"/>
    <x v="0"/>
  </r>
  <r>
    <x v="0"/>
    <s v="下伊那郡高森町"/>
    <x v="41"/>
    <x v="6"/>
    <n v="57"/>
    <n v="18.04"/>
    <n v="20"/>
    <n v="13.33"/>
    <n v="37"/>
    <n v="23.57"/>
    <x v="0"/>
  </r>
  <r>
    <x v="0"/>
    <s v="下伊那郡高森町"/>
    <x v="41"/>
    <x v="7"/>
    <n v="4"/>
    <n v="1.27"/>
    <n v="1"/>
    <n v="0.67"/>
    <n v="3"/>
    <n v="1.91"/>
    <x v="0"/>
  </r>
  <r>
    <x v="0"/>
    <s v="下伊那郡高森町"/>
    <x v="41"/>
    <x v="8"/>
    <n v="10"/>
    <n v="3.16"/>
    <n v="1"/>
    <n v="0.67"/>
    <n v="9"/>
    <n v="5.73"/>
    <x v="0"/>
  </r>
  <r>
    <x v="0"/>
    <s v="下伊那郡高森町"/>
    <x v="41"/>
    <x v="9"/>
    <n v="21"/>
    <n v="6.65"/>
    <n v="14"/>
    <n v="9.33"/>
    <n v="6"/>
    <n v="3.82"/>
    <x v="0"/>
  </r>
  <r>
    <x v="0"/>
    <s v="下伊那郡高森町"/>
    <x v="41"/>
    <x v="10"/>
    <n v="42"/>
    <n v="13.29"/>
    <n v="28"/>
    <n v="18.670000000000002"/>
    <n v="13"/>
    <n v="8.2799999999999994"/>
    <x v="0"/>
  </r>
  <r>
    <x v="0"/>
    <s v="下伊那郡高森町"/>
    <x v="41"/>
    <x v="11"/>
    <n v="40"/>
    <n v="12.66"/>
    <n v="32"/>
    <n v="21.33"/>
    <n v="8"/>
    <n v="5.0999999999999996"/>
    <x v="0"/>
  </r>
  <r>
    <x v="0"/>
    <s v="下伊那郡高森町"/>
    <x v="41"/>
    <x v="12"/>
    <n v="11"/>
    <n v="3.48"/>
    <n v="4"/>
    <n v="2.67"/>
    <n v="4"/>
    <n v="2.5499999999999998"/>
    <x v="0"/>
  </r>
  <r>
    <x v="0"/>
    <s v="下伊那郡高森町"/>
    <x v="41"/>
    <x v="13"/>
    <n v="13"/>
    <n v="4.1100000000000003"/>
    <n v="8"/>
    <n v="5.33"/>
    <n v="2"/>
    <n v="1.27"/>
    <x v="0"/>
  </r>
  <r>
    <x v="0"/>
    <s v="下伊那郡高森町"/>
    <x v="41"/>
    <x v="14"/>
    <n v="11"/>
    <n v="3.48"/>
    <n v="3"/>
    <n v="2"/>
    <n v="7"/>
    <n v="4.46"/>
    <x v="6"/>
  </r>
  <r>
    <x v="0"/>
    <s v="下伊那郡阿南町"/>
    <x v="42"/>
    <x v="0"/>
    <n v="2"/>
    <n v="1.35"/>
    <n v="0"/>
    <n v="0"/>
    <n v="2"/>
    <n v="4.3499999999999996"/>
    <x v="0"/>
  </r>
  <r>
    <x v="0"/>
    <s v="下伊那郡阿南町"/>
    <x v="42"/>
    <x v="1"/>
    <n v="50"/>
    <n v="33.78"/>
    <n v="29"/>
    <n v="29.59"/>
    <n v="21"/>
    <n v="45.65"/>
    <x v="0"/>
  </r>
  <r>
    <x v="0"/>
    <s v="下伊那郡阿南町"/>
    <x v="42"/>
    <x v="2"/>
    <n v="7"/>
    <n v="4.7300000000000004"/>
    <n v="5"/>
    <n v="5.0999999999999996"/>
    <n v="2"/>
    <n v="4.3499999999999996"/>
    <x v="0"/>
  </r>
  <r>
    <x v="0"/>
    <s v="下伊那郡阿南町"/>
    <x v="42"/>
    <x v="3"/>
    <n v="1"/>
    <n v="0.68"/>
    <n v="0"/>
    <n v="0"/>
    <n v="0"/>
    <n v="0"/>
    <x v="0"/>
  </r>
  <r>
    <x v="0"/>
    <s v="下伊那郡阿南町"/>
    <x v="42"/>
    <x v="4"/>
    <n v="0"/>
    <n v="0"/>
    <n v="0"/>
    <n v="0"/>
    <n v="0"/>
    <n v="0"/>
    <x v="0"/>
  </r>
  <r>
    <x v="0"/>
    <s v="下伊那郡阿南町"/>
    <x v="42"/>
    <x v="5"/>
    <n v="0"/>
    <n v="0"/>
    <n v="0"/>
    <n v="0"/>
    <n v="0"/>
    <n v="0"/>
    <x v="0"/>
  </r>
  <r>
    <x v="0"/>
    <s v="下伊那郡阿南町"/>
    <x v="42"/>
    <x v="6"/>
    <n v="38"/>
    <n v="25.68"/>
    <n v="26"/>
    <n v="26.53"/>
    <n v="12"/>
    <n v="26.09"/>
    <x v="0"/>
  </r>
  <r>
    <x v="0"/>
    <s v="下伊那郡阿南町"/>
    <x v="42"/>
    <x v="7"/>
    <n v="0"/>
    <n v="0"/>
    <n v="0"/>
    <n v="0"/>
    <n v="0"/>
    <n v="0"/>
    <x v="0"/>
  </r>
  <r>
    <x v="0"/>
    <s v="下伊那郡阿南町"/>
    <x v="42"/>
    <x v="8"/>
    <n v="1"/>
    <n v="0.68"/>
    <n v="0"/>
    <n v="0"/>
    <n v="1"/>
    <n v="2.17"/>
    <x v="0"/>
  </r>
  <r>
    <x v="0"/>
    <s v="下伊那郡阿南町"/>
    <x v="42"/>
    <x v="9"/>
    <n v="6"/>
    <n v="4.05"/>
    <n v="4"/>
    <n v="4.08"/>
    <n v="1"/>
    <n v="2.17"/>
    <x v="0"/>
  </r>
  <r>
    <x v="0"/>
    <s v="下伊那郡阿南町"/>
    <x v="42"/>
    <x v="10"/>
    <n v="15"/>
    <n v="10.14"/>
    <n v="12"/>
    <n v="12.24"/>
    <n v="2"/>
    <n v="4.3499999999999996"/>
    <x v="6"/>
  </r>
  <r>
    <x v="0"/>
    <s v="下伊那郡阿南町"/>
    <x v="42"/>
    <x v="11"/>
    <n v="13"/>
    <n v="8.7799999999999994"/>
    <n v="11"/>
    <n v="11.22"/>
    <n v="1"/>
    <n v="2.17"/>
    <x v="0"/>
  </r>
  <r>
    <x v="0"/>
    <s v="下伊那郡阿南町"/>
    <x v="42"/>
    <x v="12"/>
    <n v="3"/>
    <n v="2.0299999999999998"/>
    <n v="3"/>
    <n v="3.06"/>
    <n v="0"/>
    <n v="0"/>
    <x v="0"/>
  </r>
  <r>
    <x v="0"/>
    <s v="下伊那郡阿南町"/>
    <x v="42"/>
    <x v="13"/>
    <n v="6"/>
    <n v="4.05"/>
    <n v="3"/>
    <n v="3.06"/>
    <n v="3"/>
    <n v="6.52"/>
    <x v="0"/>
  </r>
  <r>
    <x v="0"/>
    <s v="下伊那郡阿南町"/>
    <x v="42"/>
    <x v="14"/>
    <n v="6"/>
    <n v="4.05"/>
    <n v="5"/>
    <n v="5.0999999999999996"/>
    <n v="1"/>
    <n v="2.17"/>
    <x v="0"/>
  </r>
  <r>
    <x v="0"/>
    <s v="下伊那郡阿智村"/>
    <x v="43"/>
    <x v="0"/>
    <n v="0"/>
    <n v="0"/>
    <n v="0"/>
    <n v="0"/>
    <n v="0"/>
    <n v="0"/>
    <x v="0"/>
  </r>
  <r>
    <x v="0"/>
    <s v="下伊那郡阿智村"/>
    <x v="43"/>
    <x v="1"/>
    <n v="53"/>
    <n v="19.63"/>
    <n v="31"/>
    <n v="18.239999999999998"/>
    <n v="22"/>
    <n v="23.16"/>
    <x v="0"/>
  </r>
  <r>
    <x v="0"/>
    <s v="下伊那郡阿智村"/>
    <x v="43"/>
    <x v="2"/>
    <n v="36"/>
    <n v="13.33"/>
    <n v="16"/>
    <n v="9.41"/>
    <n v="20"/>
    <n v="21.05"/>
    <x v="0"/>
  </r>
  <r>
    <x v="0"/>
    <s v="下伊那郡阿智村"/>
    <x v="43"/>
    <x v="3"/>
    <n v="1"/>
    <n v="0.37"/>
    <n v="0"/>
    <n v="0"/>
    <n v="0"/>
    <n v="0"/>
    <x v="0"/>
  </r>
  <r>
    <x v="0"/>
    <s v="下伊那郡阿智村"/>
    <x v="43"/>
    <x v="4"/>
    <n v="1"/>
    <n v="0.37"/>
    <n v="0"/>
    <n v="0"/>
    <n v="1"/>
    <n v="1.05"/>
    <x v="0"/>
  </r>
  <r>
    <x v="0"/>
    <s v="下伊那郡阿智村"/>
    <x v="43"/>
    <x v="5"/>
    <n v="4"/>
    <n v="1.48"/>
    <n v="1"/>
    <n v="0.59"/>
    <n v="3"/>
    <n v="3.16"/>
    <x v="0"/>
  </r>
  <r>
    <x v="0"/>
    <s v="下伊那郡阿智村"/>
    <x v="43"/>
    <x v="6"/>
    <n v="66"/>
    <n v="24.44"/>
    <n v="45"/>
    <n v="26.47"/>
    <n v="21"/>
    <n v="22.11"/>
    <x v="0"/>
  </r>
  <r>
    <x v="0"/>
    <s v="下伊那郡阿智村"/>
    <x v="43"/>
    <x v="7"/>
    <n v="1"/>
    <n v="0.37"/>
    <n v="0"/>
    <n v="0"/>
    <n v="1"/>
    <n v="1.05"/>
    <x v="0"/>
  </r>
  <r>
    <x v="0"/>
    <s v="下伊那郡阿智村"/>
    <x v="43"/>
    <x v="8"/>
    <n v="5"/>
    <n v="1.85"/>
    <n v="2"/>
    <n v="1.18"/>
    <n v="3"/>
    <n v="3.16"/>
    <x v="0"/>
  </r>
  <r>
    <x v="0"/>
    <s v="下伊那郡阿智村"/>
    <x v="43"/>
    <x v="9"/>
    <n v="9"/>
    <n v="3.33"/>
    <n v="6"/>
    <n v="3.53"/>
    <n v="3"/>
    <n v="3.16"/>
    <x v="0"/>
  </r>
  <r>
    <x v="0"/>
    <s v="下伊那郡阿智村"/>
    <x v="43"/>
    <x v="10"/>
    <n v="40"/>
    <n v="14.81"/>
    <n v="29"/>
    <n v="17.059999999999999"/>
    <n v="10"/>
    <n v="10.53"/>
    <x v="0"/>
  </r>
  <r>
    <x v="0"/>
    <s v="下伊那郡阿智村"/>
    <x v="43"/>
    <x v="11"/>
    <n v="24"/>
    <n v="8.89"/>
    <n v="21"/>
    <n v="12.35"/>
    <n v="3"/>
    <n v="3.16"/>
    <x v="0"/>
  </r>
  <r>
    <x v="0"/>
    <s v="下伊那郡阿智村"/>
    <x v="43"/>
    <x v="12"/>
    <n v="8"/>
    <n v="2.96"/>
    <n v="5"/>
    <n v="2.94"/>
    <n v="3"/>
    <n v="3.16"/>
    <x v="0"/>
  </r>
  <r>
    <x v="0"/>
    <s v="下伊那郡阿智村"/>
    <x v="43"/>
    <x v="13"/>
    <n v="16"/>
    <n v="5.93"/>
    <n v="11"/>
    <n v="6.47"/>
    <n v="3"/>
    <n v="3.16"/>
    <x v="0"/>
  </r>
  <r>
    <x v="0"/>
    <s v="下伊那郡阿智村"/>
    <x v="43"/>
    <x v="14"/>
    <n v="6"/>
    <n v="2.2200000000000002"/>
    <n v="3"/>
    <n v="1.76"/>
    <n v="2"/>
    <n v="2.11"/>
    <x v="0"/>
  </r>
  <r>
    <x v="0"/>
    <s v="下伊那郡平谷村"/>
    <x v="44"/>
    <x v="0"/>
    <n v="0"/>
    <n v="0"/>
    <n v="0"/>
    <n v="0"/>
    <n v="0"/>
    <n v="0"/>
    <x v="0"/>
  </r>
  <r>
    <x v="0"/>
    <s v="下伊那郡平谷村"/>
    <x v="44"/>
    <x v="1"/>
    <n v="4"/>
    <n v="12.9"/>
    <n v="1"/>
    <n v="5.56"/>
    <n v="3"/>
    <n v="27.27"/>
    <x v="0"/>
  </r>
  <r>
    <x v="0"/>
    <s v="下伊那郡平谷村"/>
    <x v="44"/>
    <x v="2"/>
    <n v="0"/>
    <n v="0"/>
    <n v="0"/>
    <n v="0"/>
    <n v="0"/>
    <n v="0"/>
    <x v="0"/>
  </r>
  <r>
    <x v="0"/>
    <s v="下伊那郡平谷村"/>
    <x v="44"/>
    <x v="3"/>
    <n v="1"/>
    <n v="3.23"/>
    <n v="0"/>
    <n v="0"/>
    <n v="0"/>
    <n v="0"/>
    <x v="0"/>
  </r>
  <r>
    <x v="0"/>
    <s v="下伊那郡平谷村"/>
    <x v="44"/>
    <x v="4"/>
    <n v="0"/>
    <n v="0"/>
    <n v="0"/>
    <n v="0"/>
    <n v="0"/>
    <n v="0"/>
    <x v="0"/>
  </r>
  <r>
    <x v="0"/>
    <s v="下伊那郡平谷村"/>
    <x v="44"/>
    <x v="5"/>
    <n v="0"/>
    <n v="0"/>
    <n v="0"/>
    <n v="0"/>
    <n v="0"/>
    <n v="0"/>
    <x v="0"/>
  </r>
  <r>
    <x v="0"/>
    <s v="下伊那郡平谷村"/>
    <x v="44"/>
    <x v="6"/>
    <n v="7"/>
    <n v="22.58"/>
    <n v="5"/>
    <n v="27.78"/>
    <n v="2"/>
    <n v="18.18"/>
    <x v="0"/>
  </r>
  <r>
    <x v="0"/>
    <s v="下伊那郡平谷村"/>
    <x v="44"/>
    <x v="7"/>
    <n v="0"/>
    <n v="0"/>
    <n v="0"/>
    <n v="0"/>
    <n v="0"/>
    <n v="0"/>
    <x v="0"/>
  </r>
  <r>
    <x v="0"/>
    <s v="下伊那郡平谷村"/>
    <x v="44"/>
    <x v="8"/>
    <n v="0"/>
    <n v="0"/>
    <n v="0"/>
    <n v="0"/>
    <n v="0"/>
    <n v="0"/>
    <x v="0"/>
  </r>
  <r>
    <x v="0"/>
    <s v="下伊那郡平谷村"/>
    <x v="44"/>
    <x v="9"/>
    <n v="0"/>
    <n v="0"/>
    <n v="0"/>
    <n v="0"/>
    <n v="0"/>
    <n v="0"/>
    <x v="0"/>
  </r>
  <r>
    <x v="0"/>
    <s v="下伊那郡平谷村"/>
    <x v="44"/>
    <x v="10"/>
    <n v="10"/>
    <n v="32.26"/>
    <n v="8"/>
    <n v="44.44"/>
    <n v="2"/>
    <n v="18.18"/>
    <x v="0"/>
  </r>
  <r>
    <x v="0"/>
    <s v="下伊那郡平谷村"/>
    <x v="44"/>
    <x v="11"/>
    <n v="4"/>
    <n v="12.9"/>
    <n v="2"/>
    <n v="11.11"/>
    <n v="2"/>
    <n v="18.18"/>
    <x v="0"/>
  </r>
  <r>
    <x v="0"/>
    <s v="下伊那郡平谷村"/>
    <x v="44"/>
    <x v="12"/>
    <n v="0"/>
    <n v="0"/>
    <n v="0"/>
    <n v="0"/>
    <n v="0"/>
    <n v="0"/>
    <x v="0"/>
  </r>
  <r>
    <x v="0"/>
    <s v="下伊那郡平谷村"/>
    <x v="44"/>
    <x v="13"/>
    <n v="3"/>
    <n v="9.68"/>
    <n v="1"/>
    <n v="5.56"/>
    <n v="1"/>
    <n v="9.09"/>
    <x v="0"/>
  </r>
  <r>
    <x v="0"/>
    <s v="下伊那郡平谷村"/>
    <x v="44"/>
    <x v="14"/>
    <n v="2"/>
    <n v="6.45"/>
    <n v="1"/>
    <n v="5.56"/>
    <n v="1"/>
    <n v="9.09"/>
    <x v="0"/>
  </r>
  <r>
    <x v="0"/>
    <s v="下伊那郡根羽村"/>
    <x v="45"/>
    <x v="0"/>
    <n v="0"/>
    <n v="0"/>
    <n v="0"/>
    <n v="0"/>
    <n v="0"/>
    <n v="0"/>
    <x v="0"/>
  </r>
  <r>
    <x v="0"/>
    <s v="下伊那郡根羽村"/>
    <x v="45"/>
    <x v="1"/>
    <n v="5"/>
    <n v="14.29"/>
    <n v="3"/>
    <n v="13.04"/>
    <n v="2"/>
    <n v="18.18"/>
    <x v="0"/>
  </r>
  <r>
    <x v="0"/>
    <s v="下伊那郡根羽村"/>
    <x v="45"/>
    <x v="2"/>
    <n v="3"/>
    <n v="8.57"/>
    <n v="0"/>
    <n v="0"/>
    <n v="2"/>
    <n v="18.18"/>
    <x v="6"/>
  </r>
  <r>
    <x v="0"/>
    <s v="下伊那郡根羽村"/>
    <x v="45"/>
    <x v="3"/>
    <n v="0"/>
    <n v="0"/>
    <n v="0"/>
    <n v="0"/>
    <n v="0"/>
    <n v="0"/>
    <x v="0"/>
  </r>
  <r>
    <x v="0"/>
    <s v="下伊那郡根羽村"/>
    <x v="45"/>
    <x v="4"/>
    <n v="1"/>
    <n v="2.86"/>
    <n v="0"/>
    <n v="0"/>
    <n v="1"/>
    <n v="9.09"/>
    <x v="0"/>
  </r>
  <r>
    <x v="0"/>
    <s v="下伊那郡根羽村"/>
    <x v="45"/>
    <x v="5"/>
    <n v="0"/>
    <n v="0"/>
    <n v="0"/>
    <n v="0"/>
    <n v="0"/>
    <n v="0"/>
    <x v="0"/>
  </r>
  <r>
    <x v="0"/>
    <s v="下伊那郡根羽村"/>
    <x v="45"/>
    <x v="6"/>
    <n v="11"/>
    <n v="31.43"/>
    <n v="9"/>
    <n v="39.130000000000003"/>
    <n v="2"/>
    <n v="18.18"/>
    <x v="0"/>
  </r>
  <r>
    <x v="0"/>
    <s v="下伊那郡根羽村"/>
    <x v="45"/>
    <x v="7"/>
    <n v="0"/>
    <n v="0"/>
    <n v="0"/>
    <n v="0"/>
    <n v="0"/>
    <n v="0"/>
    <x v="0"/>
  </r>
  <r>
    <x v="0"/>
    <s v="下伊那郡根羽村"/>
    <x v="45"/>
    <x v="8"/>
    <n v="1"/>
    <n v="2.86"/>
    <n v="1"/>
    <n v="4.3499999999999996"/>
    <n v="0"/>
    <n v="0"/>
    <x v="0"/>
  </r>
  <r>
    <x v="0"/>
    <s v="下伊那郡根羽村"/>
    <x v="45"/>
    <x v="9"/>
    <n v="1"/>
    <n v="2.86"/>
    <n v="1"/>
    <n v="4.3499999999999996"/>
    <n v="0"/>
    <n v="0"/>
    <x v="0"/>
  </r>
  <r>
    <x v="0"/>
    <s v="下伊那郡根羽村"/>
    <x v="45"/>
    <x v="10"/>
    <n v="4"/>
    <n v="11.43"/>
    <n v="4"/>
    <n v="17.39"/>
    <n v="0"/>
    <n v="0"/>
    <x v="0"/>
  </r>
  <r>
    <x v="0"/>
    <s v="下伊那郡根羽村"/>
    <x v="45"/>
    <x v="11"/>
    <n v="3"/>
    <n v="8.57"/>
    <n v="3"/>
    <n v="13.04"/>
    <n v="0"/>
    <n v="0"/>
    <x v="0"/>
  </r>
  <r>
    <x v="0"/>
    <s v="下伊那郡根羽村"/>
    <x v="45"/>
    <x v="12"/>
    <n v="1"/>
    <n v="2.86"/>
    <n v="0"/>
    <n v="0"/>
    <n v="1"/>
    <n v="9.09"/>
    <x v="0"/>
  </r>
  <r>
    <x v="0"/>
    <s v="下伊那郡根羽村"/>
    <x v="45"/>
    <x v="13"/>
    <n v="4"/>
    <n v="11.43"/>
    <n v="1"/>
    <n v="4.3499999999999996"/>
    <n v="3"/>
    <n v="27.27"/>
    <x v="0"/>
  </r>
  <r>
    <x v="0"/>
    <s v="下伊那郡根羽村"/>
    <x v="45"/>
    <x v="14"/>
    <n v="1"/>
    <n v="2.86"/>
    <n v="1"/>
    <n v="4.3499999999999996"/>
    <n v="0"/>
    <n v="0"/>
    <x v="0"/>
  </r>
  <r>
    <x v="0"/>
    <s v="下伊那郡下條村"/>
    <x v="46"/>
    <x v="0"/>
    <n v="1"/>
    <n v="0.94"/>
    <n v="0"/>
    <n v="0"/>
    <n v="1"/>
    <n v="3.7"/>
    <x v="0"/>
  </r>
  <r>
    <x v="0"/>
    <s v="下伊那郡下條村"/>
    <x v="46"/>
    <x v="1"/>
    <n v="31"/>
    <n v="29.25"/>
    <n v="21"/>
    <n v="28.38"/>
    <n v="10"/>
    <n v="37.04"/>
    <x v="0"/>
  </r>
  <r>
    <x v="0"/>
    <s v="下伊那郡下條村"/>
    <x v="46"/>
    <x v="2"/>
    <n v="5"/>
    <n v="4.72"/>
    <n v="2"/>
    <n v="2.7"/>
    <n v="3"/>
    <n v="11.11"/>
    <x v="0"/>
  </r>
  <r>
    <x v="0"/>
    <s v="下伊那郡下條村"/>
    <x v="46"/>
    <x v="3"/>
    <n v="3"/>
    <n v="2.83"/>
    <n v="2"/>
    <n v="2.7"/>
    <n v="1"/>
    <n v="3.7"/>
    <x v="0"/>
  </r>
  <r>
    <x v="0"/>
    <s v="下伊那郡下條村"/>
    <x v="46"/>
    <x v="4"/>
    <n v="2"/>
    <n v="1.89"/>
    <n v="2"/>
    <n v="2.7"/>
    <n v="0"/>
    <n v="0"/>
    <x v="0"/>
  </r>
  <r>
    <x v="0"/>
    <s v="下伊那郡下條村"/>
    <x v="46"/>
    <x v="5"/>
    <n v="2"/>
    <n v="1.89"/>
    <n v="2"/>
    <n v="2.7"/>
    <n v="0"/>
    <n v="0"/>
    <x v="0"/>
  </r>
  <r>
    <x v="0"/>
    <s v="下伊那郡下條村"/>
    <x v="46"/>
    <x v="6"/>
    <n v="29"/>
    <n v="27.36"/>
    <n v="22"/>
    <n v="29.73"/>
    <n v="7"/>
    <n v="25.93"/>
    <x v="0"/>
  </r>
  <r>
    <x v="0"/>
    <s v="下伊那郡下條村"/>
    <x v="46"/>
    <x v="7"/>
    <n v="0"/>
    <n v="0"/>
    <n v="0"/>
    <n v="0"/>
    <n v="0"/>
    <n v="0"/>
    <x v="0"/>
  </r>
  <r>
    <x v="0"/>
    <s v="下伊那郡下條村"/>
    <x v="46"/>
    <x v="8"/>
    <n v="1"/>
    <n v="0.94"/>
    <n v="1"/>
    <n v="1.35"/>
    <n v="0"/>
    <n v="0"/>
    <x v="0"/>
  </r>
  <r>
    <x v="0"/>
    <s v="下伊那郡下條村"/>
    <x v="46"/>
    <x v="9"/>
    <n v="4"/>
    <n v="3.77"/>
    <n v="2"/>
    <n v="2.7"/>
    <n v="2"/>
    <n v="7.41"/>
    <x v="0"/>
  </r>
  <r>
    <x v="0"/>
    <s v="下伊那郡下條村"/>
    <x v="46"/>
    <x v="10"/>
    <n v="8"/>
    <n v="7.55"/>
    <n v="6"/>
    <n v="8.11"/>
    <n v="1"/>
    <n v="3.7"/>
    <x v="0"/>
  </r>
  <r>
    <x v="0"/>
    <s v="下伊那郡下條村"/>
    <x v="46"/>
    <x v="11"/>
    <n v="9"/>
    <n v="8.49"/>
    <n v="7"/>
    <n v="9.4600000000000009"/>
    <n v="0"/>
    <n v="0"/>
    <x v="0"/>
  </r>
  <r>
    <x v="0"/>
    <s v="下伊那郡下條村"/>
    <x v="46"/>
    <x v="12"/>
    <n v="4"/>
    <n v="3.77"/>
    <n v="2"/>
    <n v="2.7"/>
    <n v="1"/>
    <n v="3.7"/>
    <x v="0"/>
  </r>
  <r>
    <x v="0"/>
    <s v="下伊那郡下條村"/>
    <x v="46"/>
    <x v="13"/>
    <n v="5"/>
    <n v="4.72"/>
    <n v="4"/>
    <n v="5.41"/>
    <n v="0"/>
    <n v="0"/>
    <x v="0"/>
  </r>
  <r>
    <x v="0"/>
    <s v="下伊那郡下條村"/>
    <x v="46"/>
    <x v="14"/>
    <n v="2"/>
    <n v="1.89"/>
    <n v="1"/>
    <n v="1.35"/>
    <n v="1"/>
    <n v="3.7"/>
    <x v="0"/>
  </r>
  <r>
    <x v="0"/>
    <s v="下伊那郡売木村"/>
    <x v="47"/>
    <x v="0"/>
    <n v="0"/>
    <n v="0"/>
    <n v="0"/>
    <n v="0"/>
    <n v="0"/>
    <n v="0"/>
    <x v="0"/>
  </r>
  <r>
    <x v="0"/>
    <s v="下伊那郡売木村"/>
    <x v="47"/>
    <x v="1"/>
    <n v="1"/>
    <n v="4.17"/>
    <n v="0"/>
    <n v="0"/>
    <n v="1"/>
    <n v="20"/>
    <x v="0"/>
  </r>
  <r>
    <x v="0"/>
    <s v="下伊那郡売木村"/>
    <x v="47"/>
    <x v="2"/>
    <n v="3"/>
    <n v="12.5"/>
    <n v="1"/>
    <n v="6.25"/>
    <n v="2"/>
    <n v="40"/>
    <x v="0"/>
  </r>
  <r>
    <x v="0"/>
    <s v="下伊那郡売木村"/>
    <x v="47"/>
    <x v="3"/>
    <n v="0"/>
    <n v="0"/>
    <n v="0"/>
    <n v="0"/>
    <n v="0"/>
    <n v="0"/>
    <x v="0"/>
  </r>
  <r>
    <x v="0"/>
    <s v="下伊那郡売木村"/>
    <x v="47"/>
    <x v="4"/>
    <n v="1"/>
    <n v="4.17"/>
    <n v="1"/>
    <n v="6.25"/>
    <n v="0"/>
    <n v="0"/>
    <x v="0"/>
  </r>
  <r>
    <x v="0"/>
    <s v="下伊那郡売木村"/>
    <x v="47"/>
    <x v="5"/>
    <n v="0"/>
    <n v="0"/>
    <n v="0"/>
    <n v="0"/>
    <n v="0"/>
    <n v="0"/>
    <x v="0"/>
  </r>
  <r>
    <x v="0"/>
    <s v="下伊那郡売木村"/>
    <x v="47"/>
    <x v="6"/>
    <n v="9"/>
    <n v="37.5"/>
    <n v="8"/>
    <n v="50"/>
    <n v="0"/>
    <n v="0"/>
    <x v="6"/>
  </r>
  <r>
    <x v="0"/>
    <s v="下伊那郡売木村"/>
    <x v="47"/>
    <x v="7"/>
    <n v="0"/>
    <n v="0"/>
    <n v="0"/>
    <n v="0"/>
    <n v="0"/>
    <n v="0"/>
    <x v="0"/>
  </r>
  <r>
    <x v="0"/>
    <s v="下伊那郡売木村"/>
    <x v="47"/>
    <x v="8"/>
    <n v="1"/>
    <n v="4.17"/>
    <n v="1"/>
    <n v="6.25"/>
    <n v="0"/>
    <n v="0"/>
    <x v="0"/>
  </r>
  <r>
    <x v="0"/>
    <s v="下伊那郡売木村"/>
    <x v="47"/>
    <x v="9"/>
    <n v="1"/>
    <n v="4.17"/>
    <n v="0"/>
    <n v="0"/>
    <n v="1"/>
    <n v="20"/>
    <x v="0"/>
  </r>
  <r>
    <x v="0"/>
    <s v="下伊那郡売木村"/>
    <x v="47"/>
    <x v="10"/>
    <n v="4"/>
    <n v="16.670000000000002"/>
    <n v="3"/>
    <n v="18.75"/>
    <n v="0"/>
    <n v="0"/>
    <x v="0"/>
  </r>
  <r>
    <x v="0"/>
    <s v="下伊那郡売木村"/>
    <x v="47"/>
    <x v="11"/>
    <n v="0"/>
    <n v="0"/>
    <n v="0"/>
    <n v="0"/>
    <n v="0"/>
    <n v="0"/>
    <x v="0"/>
  </r>
  <r>
    <x v="0"/>
    <s v="下伊那郡売木村"/>
    <x v="47"/>
    <x v="12"/>
    <n v="2"/>
    <n v="8.33"/>
    <n v="1"/>
    <n v="6.25"/>
    <n v="1"/>
    <n v="20"/>
    <x v="0"/>
  </r>
  <r>
    <x v="0"/>
    <s v="下伊那郡売木村"/>
    <x v="47"/>
    <x v="13"/>
    <n v="2"/>
    <n v="8.33"/>
    <n v="1"/>
    <n v="6.25"/>
    <n v="0"/>
    <n v="0"/>
    <x v="0"/>
  </r>
  <r>
    <x v="0"/>
    <s v="下伊那郡売木村"/>
    <x v="47"/>
    <x v="14"/>
    <n v="0"/>
    <n v="0"/>
    <n v="0"/>
    <n v="0"/>
    <n v="0"/>
    <n v="0"/>
    <x v="0"/>
  </r>
  <r>
    <x v="0"/>
    <s v="下伊那郡天龍村"/>
    <x v="48"/>
    <x v="0"/>
    <n v="0"/>
    <n v="0"/>
    <n v="0"/>
    <n v="0"/>
    <n v="0"/>
    <n v="0"/>
    <x v="0"/>
  </r>
  <r>
    <x v="0"/>
    <s v="下伊那郡天龍村"/>
    <x v="48"/>
    <x v="1"/>
    <n v="12"/>
    <n v="21.43"/>
    <n v="3"/>
    <n v="9.68"/>
    <n v="9"/>
    <n v="52.94"/>
    <x v="0"/>
  </r>
  <r>
    <x v="0"/>
    <s v="下伊那郡天龍村"/>
    <x v="48"/>
    <x v="2"/>
    <n v="3"/>
    <n v="5.36"/>
    <n v="1"/>
    <n v="3.23"/>
    <n v="1"/>
    <n v="5.88"/>
    <x v="6"/>
  </r>
  <r>
    <x v="0"/>
    <s v="下伊那郡天龍村"/>
    <x v="48"/>
    <x v="3"/>
    <n v="2"/>
    <n v="3.57"/>
    <n v="0"/>
    <n v="0"/>
    <n v="0"/>
    <n v="0"/>
    <x v="0"/>
  </r>
  <r>
    <x v="0"/>
    <s v="下伊那郡天龍村"/>
    <x v="48"/>
    <x v="4"/>
    <n v="0"/>
    <n v="0"/>
    <n v="0"/>
    <n v="0"/>
    <n v="0"/>
    <n v="0"/>
    <x v="0"/>
  </r>
  <r>
    <x v="0"/>
    <s v="下伊那郡天龍村"/>
    <x v="48"/>
    <x v="5"/>
    <n v="1"/>
    <n v="1.79"/>
    <n v="0"/>
    <n v="0"/>
    <n v="1"/>
    <n v="5.88"/>
    <x v="0"/>
  </r>
  <r>
    <x v="0"/>
    <s v="下伊那郡天龍村"/>
    <x v="48"/>
    <x v="6"/>
    <n v="18"/>
    <n v="32.14"/>
    <n v="12"/>
    <n v="38.71"/>
    <n v="4"/>
    <n v="23.53"/>
    <x v="2"/>
  </r>
  <r>
    <x v="0"/>
    <s v="下伊那郡天龍村"/>
    <x v="48"/>
    <x v="7"/>
    <n v="0"/>
    <n v="0"/>
    <n v="0"/>
    <n v="0"/>
    <n v="0"/>
    <n v="0"/>
    <x v="0"/>
  </r>
  <r>
    <x v="0"/>
    <s v="下伊那郡天龍村"/>
    <x v="48"/>
    <x v="8"/>
    <n v="1"/>
    <n v="1.79"/>
    <n v="1"/>
    <n v="3.23"/>
    <n v="0"/>
    <n v="0"/>
    <x v="0"/>
  </r>
  <r>
    <x v="0"/>
    <s v="下伊那郡天龍村"/>
    <x v="48"/>
    <x v="9"/>
    <n v="0"/>
    <n v="0"/>
    <n v="0"/>
    <n v="0"/>
    <n v="0"/>
    <n v="0"/>
    <x v="0"/>
  </r>
  <r>
    <x v="0"/>
    <s v="下伊那郡天龍村"/>
    <x v="48"/>
    <x v="10"/>
    <n v="8"/>
    <n v="14.29"/>
    <n v="6"/>
    <n v="19.350000000000001"/>
    <n v="1"/>
    <n v="5.88"/>
    <x v="0"/>
  </r>
  <r>
    <x v="0"/>
    <s v="下伊那郡天龍村"/>
    <x v="48"/>
    <x v="11"/>
    <n v="5"/>
    <n v="8.93"/>
    <n v="5"/>
    <n v="16.13"/>
    <n v="0"/>
    <n v="0"/>
    <x v="0"/>
  </r>
  <r>
    <x v="0"/>
    <s v="下伊那郡天龍村"/>
    <x v="48"/>
    <x v="12"/>
    <n v="1"/>
    <n v="1.79"/>
    <n v="1"/>
    <n v="3.23"/>
    <n v="0"/>
    <n v="0"/>
    <x v="0"/>
  </r>
  <r>
    <x v="0"/>
    <s v="下伊那郡天龍村"/>
    <x v="48"/>
    <x v="13"/>
    <n v="3"/>
    <n v="5.36"/>
    <n v="1"/>
    <n v="3.23"/>
    <n v="0"/>
    <n v="0"/>
    <x v="0"/>
  </r>
  <r>
    <x v="0"/>
    <s v="下伊那郡天龍村"/>
    <x v="48"/>
    <x v="14"/>
    <n v="2"/>
    <n v="3.57"/>
    <n v="1"/>
    <n v="3.23"/>
    <n v="1"/>
    <n v="5.88"/>
    <x v="0"/>
  </r>
  <r>
    <x v="0"/>
    <s v="下伊那郡泰阜村"/>
    <x v="49"/>
    <x v="0"/>
    <n v="1"/>
    <n v="1.75"/>
    <n v="0"/>
    <n v="0"/>
    <n v="1"/>
    <n v="5.88"/>
    <x v="0"/>
  </r>
  <r>
    <x v="0"/>
    <s v="下伊那郡泰阜村"/>
    <x v="49"/>
    <x v="1"/>
    <n v="16"/>
    <n v="28.07"/>
    <n v="13"/>
    <n v="34.21"/>
    <n v="3"/>
    <n v="17.649999999999999"/>
    <x v="0"/>
  </r>
  <r>
    <x v="0"/>
    <s v="下伊那郡泰阜村"/>
    <x v="49"/>
    <x v="2"/>
    <n v="4"/>
    <n v="7.02"/>
    <n v="0"/>
    <n v="0"/>
    <n v="4"/>
    <n v="23.53"/>
    <x v="0"/>
  </r>
  <r>
    <x v="0"/>
    <s v="下伊那郡泰阜村"/>
    <x v="49"/>
    <x v="3"/>
    <n v="0"/>
    <n v="0"/>
    <n v="0"/>
    <n v="0"/>
    <n v="0"/>
    <n v="0"/>
    <x v="0"/>
  </r>
  <r>
    <x v="0"/>
    <s v="下伊那郡泰阜村"/>
    <x v="49"/>
    <x v="4"/>
    <n v="0"/>
    <n v="0"/>
    <n v="0"/>
    <n v="0"/>
    <n v="0"/>
    <n v="0"/>
    <x v="0"/>
  </r>
  <r>
    <x v="0"/>
    <s v="下伊那郡泰阜村"/>
    <x v="49"/>
    <x v="5"/>
    <n v="1"/>
    <n v="1.75"/>
    <n v="0"/>
    <n v="0"/>
    <n v="1"/>
    <n v="5.88"/>
    <x v="0"/>
  </r>
  <r>
    <x v="0"/>
    <s v="下伊那郡泰阜村"/>
    <x v="49"/>
    <x v="6"/>
    <n v="19"/>
    <n v="33.33"/>
    <n v="13"/>
    <n v="34.21"/>
    <n v="6"/>
    <n v="35.29"/>
    <x v="0"/>
  </r>
  <r>
    <x v="0"/>
    <s v="下伊那郡泰阜村"/>
    <x v="49"/>
    <x v="7"/>
    <n v="0"/>
    <n v="0"/>
    <n v="0"/>
    <n v="0"/>
    <n v="0"/>
    <n v="0"/>
    <x v="0"/>
  </r>
  <r>
    <x v="0"/>
    <s v="下伊那郡泰阜村"/>
    <x v="49"/>
    <x v="8"/>
    <n v="0"/>
    <n v="0"/>
    <n v="0"/>
    <n v="0"/>
    <n v="0"/>
    <n v="0"/>
    <x v="0"/>
  </r>
  <r>
    <x v="0"/>
    <s v="下伊那郡泰阜村"/>
    <x v="49"/>
    <x v="9"/>
    <n v="0"/>
    <n v="0"/>
    <n v="0"/>
    <n v="0"/>
    <n v="0"/>
    <n v="0"/>
    <x v="0"/>
  </r>
  <r>
    <x v="0"/>
    <s v="下伊那郡泰阜村"/>
    <x v="49"/>
    <x v="10"/>
    <n v="7"/>
    <n v="12.28"/>
    <n v="5"/>
    <n v="13.16"/>
    <n v="2"/>
    <n v="11.76"/>
    <x v="0"/>
  </r>
  <r>
    <x v="0"/>
    <s v="下伊那郡泰阜村"/>
    <x v="49"/>
    <x v="11"/>
    <n v="4"/>
    <n v="7.02"/>
    <n v="4"/>
    <n v="10.53"/>
    <n v="0"/>
    <n v="0"/>
    <x v="0"/>
  </r>
  <r>
    <x v="0"/>
    <s v="下伊那郡泰阜村"/>
    <x v="49"/>
    <x v="12"/>
    <n v="1"/>
    <n v="1.75"/>
    <n v="1"/>
    <n v="2.63"/>
    <n v="0"/>
    <n v="0"/>
    <x v="0"/>
  </r>
  <r>
    <x v="0"/>
    <s v="下伊那郡泰阜村"/>
    <x v="49"/>
    <x v="13"/>
    <n v="3"/>
    <n v="5.26"/>
    <n v="2"/>
    <n v="5.26"/>
    <n v="0"/>
    <n v="0"/>
    <x v="0"/>
  </r>
  <r>
    <x v="0"/>
    <s v="下伊那郡泰阜村"/>
    <x v="49"/>
    <x v="14"/>
    <n v="1"/>
    <n v="1.75"/>
    <n v="0"/>
    <n v="0"/>
    <n v="0"/>
    <n v="0"/>
    <x v="0"/>
  </r>
  <r>
    <x v="0"/>
    <s v="下伊那郡喬木村"/>
    <x v="50"/>
    <x v="0"/>
    <n v="0"/>
    <n v="0"/>
    <n v="0"/>
    <n v="0"/>
    <n v="0"/>
    <n v="0"/>
    <x v="0"/>
  </r>
  <r>
    <x v="0"/>
    <s v="下伊那郡喬木村"/>
    <x v="50"/>
    <x v="1"/>
    <n v="54"/>
    <n v="29.35"/>
    <n v="34"/>
    <n v="26.98"/>
    <n v="20"/>
    <n v="36.36"/>
    <x v="0"/>
  </r>
  <r>
    <x v="0"/>
    <s v="下伊那郡喬木村"/>
    <x v="50"/>
    <x v="2"/>
    <n v="24"/>
    <n v="13.04"/>
    <n v="13"/>
    <n v="10.32"/>
    <n v="11"/>
    <n v="20"/>
    <x v="0"/>
  </r>
  <r>
    <x v="0"/>
    <s v="下伊那郡喬木村"/>
    <x v="50"/>
    <x v="3"/>
    <n v="1"/>
    <n v="0.54"/>
    <n v="0"/>
    <n v="0"/>
    <n v="1"/>
    <n v="1.82"/>
    <x v="0"/>
  </r>
  <r>
    <x v="0"/>
    <s v="下伊那郡喬木村"/>
    <x v="50"/>
    <x v="4"/>
    <n v="1"/>
    <n v="0.54"/>
    <n v="1"/>
    <n v="0.79"/>
    <n v="0"/>
    <n v="0"/>
    <x v="0"/>
  </r>
  <r>
    <x v="0"/>
    <s v="下伊那郡喬木村"/>
    <x v="50"/>
    <x v="5"/>
    <n v="0"/>
    <n v="0"/>
    <n v="0"/>
    <n v="0"/>
    <n v="0"/>
    <n v="0"/>
    <x v="0"/>
  </r>
  <r>
    <x v="0"/>
    <s v="下伊那郡喬木村"/>
    <x v="50"/>
    <x v="6"/>
    <n v="38"/>
    <n v="20.65"/>
    <n v="31"/>
    <n v="24.6"/>
    <n v="7"/>
    <n v="12.73"/>
    <x v="0"/>
  </r>
  <r>
    <x v="0"/>
    <s v="下伊那郡喬木村"/>
    <x v="50"/>
    <x v="7"/>
    <n v="0"/>
    <n v="0"/>
    <n v="0"/>
    <n v="0"/>
    <n v="0"/>
    <n v="0"/>
    <x v="0"/>
  </r>
  <r>
    <x v="0"/>
    <s v="下伊那郡喬木村"/>
    <x v="50"/>
    <x v="8"/>
    <n v="5"/>
    <n v="2.72"/>
    <n v="5"/>
    <n v="3.97"/>
    <n v="0"/>
    <n v="0"/>
    <x v="0"/>
  </r>
  <r>
    <x v="0"/>
    <s v="下伊那郡喬木村"/>
    <x v="50"/>
    <x v="9"/>
    <n v="7"/>
    <n v="3.8"/>
    <n v="5"/>
    <n v="3.97"/>
    <n v="2"/>
    <n v="3.64"/>
    <x v="0"/>
  </r>
  <r>
    <x v="0"/>
    <s v="下伊那郡喬木村"/>
    <x v="50"/>
    <x v="10"/>
    <n v="14"/>
    <n v="7.61"/>
    <n v="12"/>
    <n v="9.52"/>
    <n v="2"/>
    <n v="3.64"/>
    <x v="0"/>
  </r>
  <r>
    <x v="0"/>
    <s v="下伊那郡喬木村"/>
    <x v="50"/>
    <x v="11"/>
    <n v="15"/>
    <n v="8.15"/>
    <n v="13"/>
    <n v="10.32"/>
    <n v="2"/>
    <n v="3.64"/>
    <x v="0"/>
  </r>
  <r>
    <x v="0"/>
    <s v="下伊那郡喬木村"/>
    <x v="50"/>
    <x v="12"/>
    <n v="5"/>
    <n v="2.72"/>
    <n v="3"/>
    <n v="2.38"/>
    <n v="0"/>
    <n v="0"/>
    <x v="6"/>
  </r>
  <r>
    <x v="0"/>
    <s v="下伊那郡喬木村"/>
    <x v="50"/>
    <x v="13"/>
    <n v="15"/>
    <n v="8.15"/>
    <n v="7"/>
    <n v="5.56"/>
    <n v="7"/>
    <n v="12.73"/>
    <x v="0"/>
  </r>
  <r>
    <x v="0"/>
    <s v="下伊那郡喬木村"/>
    <x v="50"/>
    <x v="14"/>
    <n v="5"/>
    <n v="2.72"/>
    <n v="2"/>
    <n v="1.59"/>
    <n v="3"/>
    <n v="5.45"/>
    <x v="0"/>
  </r>
  <r>
    <x v="0"/>
    <s v="下伊那郡豊丘村"/>
    <x v="51"/>
    <x v="0"/>
    <n v="0"/>
    <n v="0"/>
    <n v="0"/>
    <n v="0"/>
    <n v="0"/>
    <n v="0"/>
    <x v="0"/>
  </r>
  <r>
    <x v="0"/>
    <s v="下伊那郡豊丘村"/>
    <x v="51"/>
    <x v="1"/>
    <n v="44"/>
    <n v="28.95"/>
    <n v="26"/>
    <n v="30.23"/>
    <n v="18"/>
    <n v="30"/>
    <x v="0"/>
  </r>
  <r>
    <x v="0"/>
    <s v="下伊那郡豊丘村"/>
    <x v="51"/>
    <x v="2"/>
    <n v="23"/>
    <n v="15.13"/>
    <n v="8"/>
    <n v="9.3000000000000007"/>
    <n v="15"/>
    <n v="25"/>
    <x v="0"/>
  </r>
  <r>
    <x v="0"/>
    <s v="下伊那郡豊丘村"/>
    <x v="51"/>
    <x v="3"/>
    <n v="2"/>
    <n v="1.32"/>
    <n v="0"/>
    <n v="0"/>
    <n v="1"/>
    <n v="1.67"/>
    <x v="0"/>
  </r>
  <r>
    <x v="0"/>
    <s v="下伊那郡豊丘村"/>
    <x v="51"/>
    <x v="4"/>
    <n v="0"/>
    <n v="0"/>
    <n v="0"/>
    <n v="0"/>
    <n v="0"/>
    <n v="0"/>
    <x v="0"/>
  </r>
  <r>
    <x v="0"/>
    <s v="下伊那郡豊丘村"/>
    <x v="51"/>
    <x v="5"/>
    <n v="1"/>
    <n v="0.66"/>
    <n v="0"/>
    <n v="0"/>
    <n v="1"/>
    <n v="1.67"/>
    <x v="0"/>
  </r>
  <r>
    <x v="0"/>
    <s v="下伊那郡豊丘村"/>
    <x v="51"/>
    <x v="6"/>
    <n v="22"/>
    <n v="14.47"/>
    <n v="10"/>
    <n v="11.63"/>
    <n v="12"/>
    <n v="20"/>
    <x v="0"/>
  </r>
  <r>
    <x v="0"/>
    <s v="下伊那郡豊丘村"/>
    <x v="51"/>
    <x v="7"/>
    <n v="0"/>
    <n v="0"/>
    <n v="0"/>
    <n v="0"/>
    <n v="0"/>
    <n v="0"/>
    <x v="0"/>
  </r>
  <r>
    <x v="0"/>
    <s v="下伊那郡豊丘村"/>
    <x v="51"/>
    <x v="8"/>
    <n v="5"/>
    <n v="3.29"/>
    <n v="1"/>
    <n v="1.1599999999999999"/>
    <n v="4"/>
    <n v="6.67"/>
    <x v="0"/>
  </r>
  <r>
    <x v="0"/>
    <s v="下伊那郡豊丘村"/>
    <x v="51"/>
    <x v="9"/>
    <n v="9"/>
    <n v="5.92"/>
    <n v="6"/>
    <n v="6.98"/>
    <n v="2"/>
    <n v="3.33"/>
    <x v="0"/>
  </r>
  <r>
    <x v="0"/>
    <s v="下伊那郡豊丘村"/>
    <x v="51"/>
    <x v="10"/>
    <n v="13"/>
    <n v="8.5500000000000007"/>
    <n v="13"/>
    <n v="15.12"/>
    <n v="0"/>
    <n v="0"/>
    <x v="0"/>
  </r>
  <r>
    <x v="0"/>
    <s v="下伊那郡豊丘村"/>
    <x v="51"/>
    <x v="11"/>
    <n v="11"/>
    <n v="7.24"/>
    <n v="9"/>
    <n v="10.47"/>
    <n v="2"/>
    <n v="3.33"/>
    <x v="0"/>
  </r>
  <r>
    <x v="0"/>
    <s v="下伊那郡豊丘村"/>
    <x v="51"/>
    <x v="12"/>
    <n v="6"/>
    <n v="3.95"/>
    <n v="5"/>
    <n v="5.81"/>
    <n v="0"/>
    <n v="0"/>
    <x v="0"/>
  </r>
  <r>
    <x v="0"/>
    <s v="下伊那郡豊丘村"/>
    <x v="51"/>
    <x v="13"/>
    <n v="10"/>
    <n v="6.58"/>
    <n v="7"/>
    <n v="8.14"/>
    <n v="1"/>
    <n v="1.67"/>
    <x v="0"/>
  </r>
  <r>
    <x v="0"/>
    <s v="下伊那郡豊丘村"/>
    <x v="51"/>
    <x v="14"/>
    <n v="6"/>
    <n v="3.95"/>
    <n v="1"/>
    <n v="1.1599999999999999"/>
    <n v="4"/>
    <n v="6.67"/>
    <x v="0"/>
  </r>
  <r>
    <x v="0"/>
    <s v="下伊那郡大鹿村"/>
    <x v="52"/>
    <x v="0"/>
    <n v="1"/>
    <n v="1.82"/>
    <n v="0"/>
    <n v="0"/>
    <n v="1"/>
    <n v="10"/>
    <x v="0"/>
  </r>
  <r>
    <x v="0"/>
    <s v="下伊那郡大鹿村"/>
    <x v="52"/>
    <x v="1"/>
    <n v="1"/>
    <n v="1.82"/>
    <n v="0"/>
    <n v="0"/>
    <n v="1"/>
    <n v="10"/>
    <x v="0"/>
  </r>
  <r>
    <x v="0"/>
    <s v="下伊那郡大鹿村"/>
    <x v="52"/>
    <x v="2"/>
    <n v="8"/>
    <n v="14.55"/>
    <n v="5"/>
    <n v="13.16"/>
    <n v="3"/>
    <n v="30"/>
    <x v="0"/>
  </r>
  <r>
    <x v="0"/>
    <s v="下伊那郡大鹿村"/>
    <x v="52"/>
    <x v="3"/>
    <n v="1"/>
    <n v="1.82"/>
    <n v="0"/>
    <n v="0"/>
    <n v="0"/>
    <n v="0"/>
    <x v="0"/>
  </r>
  <r>
    <x v="0"/>
    <s v="下伊那郡大鹿村"/>
    <x v="52"/>
    <x v="4"/>
    <n v="0"/>
    <n v="0"/>
    <n v="0"/>
    <n v="0"/>
    <n v="0"/>
    <n v="0"/>
    <x v="0"/>
  </r>
  <r>
    <x v="0"/>
    <s v="下伊那郡大鹿村"/>
    <x v="52"/>
    <x v="5"/>
    <n v="1"/>
    <n v="1.82"/>
    <n v="0"/>
    <n v="0"/>
    <n v="0"/>
    <n v="0"/>
    <x v="6"/>
  </r>
  <r>
    <x v="0"/>
    <s v="下伊那郡大鹿村"/>
    <x v="52"/>
    <x v="6"/>
    <n v="13"/>
    <n v="23.64"/>
    <n v="10"/>
    <n v="26.32"/>
    <n v="3"/>
    <n v="30"/>
    <x v="0"/>
  </r>
  <r>
    <x v="0"/>
    <s v="下伊那郡大鹿村"/>
    <x v="52"/>
    <x v="7"/>
    <n v="0"/>
    <n v="0"/>
    <n v="0"/>
    <n v="0"/>
    <n v="0"/>
    <n v="0"/>
    <x v="0"/>
  </r>
  <r>
    <x v="0"/>
    <s v="下伊那郡大鹿村"/>
    <x v="52"/>
    <x v="8"/>
    <n v="0"/>
    <n v="0"/>
    <n v="0"/>
    <n v="0"/>
    <n v="0"/>
    <n v="0"/>
    <x v="0"/>
  </r>
  <r>
    <x v="0"/>
    <s v="下伊那郡大鹿村"/>
    <x v="52"/>
    <x v="9"/>
    <n v="2"/>
    <n v="3.64"/>
    <n v="1"/>
    <n v="2.63"/>
    <n v="0"/>
    <n v="0"/>
    <x v="0"/>
  </r>
  <r>
    <x v="0"/>
    <s v="下伊那郡大鹿村"/>
    <x v="52"/>
    <x v="10"/>
    <n v="19"/>
    <n v="34.549999999999997"/>
    <n v="17"/>
    <n v="44.74"/>
    <n v="2"/>
    <n v="20"/>
    <x v="0"/>
  </r>
  <r>
    <x v="0"/>
    <s v="下伊那郡大鹿村"/>
    <x v="52"/>
    <x v="11"/>
    <n v="3"/>
    <n v="5.45"/>
    <n v="2"/>
    <n v="5.26"/>
    <n v="0"/>
    <n v="0"/>
    <x v="0"/>
  </r>
  <r>
    <x v="0"/>
    <s v="下伊那郡大鹿村"/>
    <x v="52"/>
    <x v="12"/>
    <n v="3"/>
    <n v="5.45"/>
    <n v="1"/>
    <n v="2.63"/>
    <n v="0"/>
    <n v="0"/>
    <x v="0"/>
  </r>
  <r>
    <x v="0"/>
    <s v="下伊那郡大鹿村"/>
    <x v="52"/>
    <x v="13"/>
    <n v="1"/>
    <n v="1.82"/>
    <n v="0"/>
    <n v="0"/>
    <n v="0"/>
    <n v="0"/>
    <x v="0"/>
  </r>
  <r>
    <x v="0"/>
    <s v="下伊那郡大鹿村"/>
    <x v="52"/>
    <x v="14"/>
    <n v="2"/>
    <n v="3.64"/>
    <n v="2"/>
    <n v="5.26"/>
    <n v="0"/>
    <n v="0"/>
    <x v="0"/>
  </r>
  <r>
    <x v="0"/>
    <s v="木曽郡上松町"/>
    <x v="53"/>
    <x v="0"/>
    <n v="1"/>
    <n v="0.49"/>
    <n v="1"/>
    <n v="0.76"/>
    <n v="0"/>
    <n v="0"/>
    <x v="0"/>
  </r>
  <r>
    <x v="0"/>
    <s v="木曽郡上松町"/>
    <x v="53"/>
    <x v="1"/>
    <n v="32"/>
    <n v="15.61"/>
    <n v="17"/>
    <n v="12.88"/>
    <n v="15"/>
    <n v="22.39"/>
    <x v="0"/>
  </r>
  <r>
    <x v="0"/>
    <s v="木曽郡上松町"/>
    <x v="53"/>
    <x v="2"/>
    <n v="24"/>
    <n v="11.71"/>
    <n v="11"/>
    <n v="8.33"/>
    <n v="13"/>
    <n v="19.399999999999999"/>
    <x v="0"/>
  </r>
  <r>
    <x v="0"/>
    <s v="木曽郡上松町"/>
    <x v="53"/>
    <x v="3"/>
    <n v="0"/>
    <n v="0"/>
    <n v="0"/>
    <n v="0"/>
    <n v="0"/>
    <n v="0"/>
    <x v="0"/>
  </r>
  <r>
    <x v="0"/>
    <s v="木曽郡上松町"/>
    <x v="53"/>
    <x v="4"/>
    <n v="0"/>
    <n v="0"/>
    <n v="0"/>
    <n v="0"/>
    <n v="0"/>
    <n v="0"/>
    <x v="0"/>
  </r>
  <r>
    <x v="0"/>
    <s v="木曽郡上松町"/>
    <x v="53"/>
    <x v="5"/>
    <n v="3"/>
    <n v="1.46"/>
    <n v="1"/>
    <n v="0.76"/>
    <n v="1"/>
    <n v="1.49"/>
    <x v="0"/>
  </r>
  <r>
    <x v="0"/>
    <s v="木曽郡上松町"/>
    <x v="53"/>
    <x v="6"/>
    <n v="58"/>
    <n v="28.29"/>
    <n v="39"/>
    <n v="29.55"/>
    <n v="19"/>
    <n v="28.36"/>
    <x v="0"/>
  </r>
  <r>
    <x v="0"/>
    <s v="木曽郡上松町"/>
    <x v="53"/>
    <x v="7"/>
    <n v="1"/>
    <n v="0.49"/>
    <n v="0"/>
    <n v="0"/>
    <n v="1"/>
    <n v="1.49"/>
    <x v="0"/>
  </r>
  <r>
    <x v="0"/>
    <s v="木曽郡上松町"/>
    <x v="53"/>
    <x v="8"/>
    <n v="17"/>
    <n v="8.2899999999999991"/>
    <n v="12"/>
    <n v="9.09"/>
    <n v="5"/>
    <n v="7.46"/>
    <x v="0"/>
  </r>
  <r>
    <x v="0"/>
    <s v="木曽郡上松町"/>
    <x v="53"/>
    <x v="9"/>
    <n v="11"/>
    <n v="5.37"/>
    <n v="7"/>
    <n v="5.3"/>
    <n v="3"/>
    <n v="4.4800000000000004"/>
    <x v="0"/>
  </r>
  <r>
    <x v="0"/>
    <s v="木曽郡上松町"/>
    <x v="53"/>
    <x v="10"/>
    <n v="27"/>
    <n v="13.17"/>
    <n v="21"/>
    <n v="15.91"/>
    <n v="6"/>
    <n v="8.9600000000000009"/>
    <x v="0"/>
  </r>
  <r>
    <x v="0"/>
    <s v="木曽郡上松町"/>
    <x v="53"/>
    <x v="11"/>
    <n v="17"/>
    <n v="8.2899999999999991"/>
    <n v="13"/>
    <n v="9.85"/>
    <n v="3"/>
    <n v="4.4800000000000004"/>
    <x v="0"/>
  </r>
  <r>
    <x v="0"/>
    <s v="木曽郡上松町"/>
    <x v="53"/>
    <x v="12"/>
    <n v="6"/>
    <n v="2.93"/>
    <n v="5"/>
    <n v="3.79"/>
    <n v="0"/>
    <n v="0"/>
    <x v="6"/>
  </r>
  <r>
    <x v="0"/>
    <s v="木曽郡上松町"/>
    <x v="53"/>
    <x v="13"/>
    <n v="7"/>
    <n v="3.41"/>
    <n v="5"/>
    <n v="3.79"/>
    <n v="1"/>
    <n v="1.49"/>
    <x v="0"/>
  </r>
  <r>
    <x v="0"/>
    <s v="木曽郡上松町"/>
    <x v="53"/>
    <x v="14"/>
    <n v="1"/>
    <n v="0.49"/>
    <n v="0"/>
    <n v="0"/>
    <n v="0"/>
    <n v="0"/>
    <x v="0"/>
  </r>
  <r>
    <x v="0"/>
    <s v="木曽郡南木曽町"/>
    <x v="54"/>
    <x v="0"/>
    <n v="0"/>
    <n v="0"/>
    <n v="0"/>
    <n v="0"/>
    <n v="0"/>
    <n v="0"/>
    <x v="0"/>
  </r>
  <r>
    <x v="0"/>
    <s v="木曽郡南木曽町"/>
    <x v="54"/>
    <x v="1"/>
    <n v="40"/>
    <n v="18.18"/>
    <n v="19"/>
    <n v="12.42"/>
    <n v="21"/>
    <n v="32.31"/>
    <x v="0"/>
  </r>
  <r>
    <x v="0"/>
    <s v="木曽郡南木曽町"/>
    <x v="54"/>
    <x v="2"/>
    <n v="40"/>
    <n v="18.18"/>
    <n v="24"/>
    <n v="15.69"/>
    <n v="15"/>
    <n v="23.08"/>
    <x v="6"/>
  </r>
  <r>
    <x v="0"/>
    <s v="木曽郡南木曽町"/>
    <x v="54"/>
    <x v="3"/>
    <n v="1"/>
    <n v="0.45"/>
    <n v="0"/>
    <n v="0"/>
    <n v="1"/>
    <n v="1.54"/>
    <x v="0"/>
  </r>
  <r>
    <x v="0"/>
    <s v="木曽郡南木曽町"/>
    <x v="54"/>
    <x v="4"/>
    <n v="1"/>
    <n v="0.45"/>
    <n v="1"/>
    <n v="0.65"/>
    <n v="0"/>
    <n v="0"/>
    <x v="0"/>
  </r>
  <r>
    <x v="0"/>
    <s v="木曽郡南木曽町"/>
    <x v="54"/>
    <x v="5"/>
    <n v="4"/>
    <n v="1.82"/>
    <n v="1"/>
    <n v="0.65"/>
    <n v="2"/>
    <n v="3.08"/>
    <x v="6"/>
  </r>
  <r>
    <x v="0"/>
    <s v="木曽郡南木曽町"/>
    <x v="54"/>
    <x v="6"/>
    <n v="61"/>
    <n v="27.73"/>
    <n v="48"/>
    <n v="31.37"/>
    <n v="13"/>
    <n v="20"/>
    <x v="0"/>
  </r>
  <r>
    <x v="0"/>
    <s v="木曽郡南木曽町"/>
    <x v="54"/>
    <x v="7"/>
    <n v="1"/>
    <n v="0.45"/>
    <n v="0"/>
    <n v="0"/>
    <n v="1"/>
    <n v="1.54"/>
    <x v="0"/>
  </r>
  <r>
    <x v="0"/>
    <s v="木曽郡南木曽町"/>
    <x v="54"/>
    <x v="8"/>
    <n v="5"/>
    <n v="2.27"/>
    <n v="2"/>
    <n v="1.31"/>
    <n v="3"/>
    <n v="4.62"/>
    <x v="0"/>
  </r>
  <r>
    <x v="0"/>
    <s v="木曽郡南木曽町"/>
    <x v="54"/>
    <x v="9"/>
    <n v="7"/>
    <n v="3.18"/>
    <n v="7"/>
    <n v="4.58"/>
    <n v="0"/>
    <n v="0"/>
    <x v="0"/>
  </r>
  <r>
    <x v="0"/>
    <s v="木曽郡南木曽町"/>
    <x v="54"/>
    <x v="10"/>
    <n v="35"/>
    <n v="15.91"/>
    <n v="27"/>
    <n v="17.649999999999999"/>
    <n v="8"/>
    <n v="12.31"/>
    <x v="0"/>
  </r>
  <r>
    <x v="0"/>
    <s v="木曽郡南木曽町"/>
    <x v="54"/>
    <x v="11"/>
    <n v="11"/>
    <n v="5"/>
    <n v="11"/>
    <n v="7.19"/>
    <n v="0"/>
    <n v="0"/>
    <x v="0"/>
  </r>
  <r>
    <x v="0"/>
    <s v="木曽郡南木曽町"/>
    <x v="54"/>
    <x v="12"/>
    <n v="4"/>
    <n v="1.82"/>
    <n v="4"/>
    <n v="2.61"/>
    <n v="0"/>
    <n v="0"/>
    <x v="0"/>
  </r>
  <r>
    <x v="0"/>
    <s v="木曽郡南木曽町"/>
    <x v="54"/>
    <x v="13"/>
    <n v="3"/>
    <n v="1.36"/>
    <n v="3"/>
    <n v="1.96"/>
    <n v="0"/>
    <n v="0"/>
    <x v="0"/>
  </r>
  <r>
    <x v="0"/>
    <s v="木曽郡南木曽町"/>
    <x v="54"/>
    <x v="14"/>
    <n v="7"/>
    <n v="3.18"/>
    <n v="6"/>
    <n v="3.92"/>
    <n v="1"/>
    <n v="1.54"/>
    <x v="0"/>
  </r>
  <r>
    <x v="0"/>
    <s v="木曽郡木祖村"/>
    <x v="55"/>
    <x v="0"/>
    <n v="0"/>
    <n v="0"/>
    <n v="0"/>
    <n v="0"/>
    <n v="0"/>
    <n v="0"/>
    <x v="0"/>
  </r>
  <r>
    <x v="0"/>
    <s v="木曽郡木祖村"/>
    <x v="55"/>
    <x v="1"/>
    <n v="34"/>
    <n v="21.38"/>
    <n v="23"/>
    <n v="18.25"/>
    <n v="11"/>
    <n v="35.479999999999997"/>
    <x v="0"/>
  </r>
  <r>
    <x v="0"/>
    <s v="木曽郡木祖村"/>
    <x v="55"/>
    <x v="2"/>
    <n v="24"/>
    <n v="15.09"/>
    <n v="18"/>
    <n v="14.29"/>
    <n v="6"/>
    <n v="19.350000000000001"/>
    <x v="0"/>
  </r>
  <r>
    <x v="0"/>
    <s v="木曽郡木祖村"/>
    <x v="55"/>
    <x v="3"/>
    <n v="0"/>
    <n v="0"/>
    <n v="0"/>
    <n v="0"/>
    <n v="0"/>
    <n v="0"/>
    <x v="0"/>
  </r>
  <r>
    <x v="0"/>
    <s v="木曽郡木祖村"/>
    <x v="55"/>
    <x v="4"/>
    <n v="0"/>
    <n v="0"/>
    <n v="0"/>
    <n v="0"/>
    <n v="0"/>
    <n v="0"/>
    <x v="0"/>
  </r>
  <r>
    <x v="0"/>
    <s v="木曽郡木祖村"/>
    <x v="55"/>
    <x v="5"/>
    <n v="3"/>
    <n v="1.89"/>
    <n v="0"/>
    <n v="0"/>
    <n v="3"/>
    <n v="9.68"/>
    <x v="0"/>
  </r>
  <r>
    <x v="0"/>
    <s v="木曽郡木祖村"/>
    <x v="55"/>
    <x v="6"/>
    <n v="44"/>
    <n v="27.67"/>
    <n v="37"/>
    <n v="29.37"/>
    <n v="6"/>
    <n v="19.350000000000001"/>
    <x v="6"/>
  </r>
  <r>
    <x v="0"/>
    <s v="木曽郡木祖村"/>
    <x v="55"/>
    <x v="7"/>
    <n v="0"/>
    <n v="0"/>
    <n v="0"/>
    <n v="0"/>
    <n v="0"/>
    <n v="0"/>
    <x v="0"/>
  </r>
  <r>
    <x v="0"/>
    <s v="木曽郡木祖村"/>
    <x v="55"/>
    <x v="8"/>
    <n v="4"/>
    <n v="2.52"/>
    <n v="3"/>
    <n v="2.38"/>
    <n v="1"/>
    <n v="3.23"/>
    <x v="0"/>
  </r>
  <r>
    <x v="0"/>
    <s v="木曽郡木祖村"/>
    <x v="55"/>
    <x v="9"/>
    <n v="3"/>
    <n v="1.89"/>
    <n v="3"/>
    <n v="2.38"/>
    <n v="0"/>
    <n v="0"/>
    <x v="0"/>
  </r>
  <r>
    <x v="0"/>
    <s v="木曽郡木祖村"/>
    <x v="55"/>
    <x v="10"/>
    <n v="21"/>
    <n v="13.21"/>
    <n v="19"/>
    <n v="15.08"/>
    <n v="2"/>
    <n v="6.45"/>
    <x v="0"/>
  </r>
  <r>
    <x v="0"/>
    <s v="木曽郡木祖村"/>
    <x v="55"/>
    <x v="11"/>
    <n v="14"/>
    <n v="8.81"/>
    <n v="13"/>
    <n v="10.32"/>
    <n v="1"/>
    <n v="3.23"/>
    <x v="0"/>
  </r>
  <r>
    <x v="0"/>
    <s v="木曽郡木祖村"/>
    <x v="55"/>
    <x v="12"/>
    <n v="5"/>
    <n v="3.14"/>
    <n v="5"/>
    <n v="3.97"/>
    <n v="0"/>
    <n v="0"/>
    <x v="0"/>
  </r>
  <r>
    <x v="0"/>
    <s v="木曽郡木祖村"/>
    <x v="55"/>
    <x v="13"/>
    <n v="4"/>
    <n v="2.52"/>
    <n v="3"/>
    <n v="2.38"/>
    <n v="0"/>
    <n v="0"/>
    <x v="0"/>
  </r>
  <r>
    <x v="0"/>
    <s v="木曽郡木祖村"/>
    <x v="55"/>
    <x v="14"/>
    <n v="3"/>
    <n v="1.89"/>
    <n v="2"/>
    <n v="1.59"/>
    <n v="1"/>
    <n v="3.23"/>
    <x v="0"/>
  </r>
  <r>
    <x v="0"/>
    <s v="木曽郡王滝村"/>
    <x v="56"/>
    <x v="0"/>
    <n v="1"/>
    <n v="2.04"/>
    <n v="0"/>
    <n v="0"/>
    <n v="1"/>
    <n v="4.3499999999999996"/>
    <x v="0"/>
  </r>
  <r>
    <x v="0"/>
    <s v="木曽郡王滝村"/>
    <x v="56"/>
    <x v="1"/>
    <n v="6"/>
    <n v="12.24"/>
    <n v="1"/>
    <n v="4.17"/>
    <n v="5"/>
    <n v="21.74"/>
    <x v="0"/>
  </r>
  <r>
    <x v="0"/>
    <s v="木曽郡王滝村"/>
    <x v="56"/>
    <x v="2"/>
    <n v="2"/>
    <n v="4.08"/>
    <n v="1"/>
    <n v="4.17"/>
    <n v="1"/>
    <n v="4.3499999999999996"/>
    <x v="0"/>
  </r>
  <r>
    <x v="0"/>
    <s v="木曽郡王滝村"/>
    <x v="56"/>
    <x v="3"/>
    <n v="1"/>
    <n v="2.04"/>
    <n v="0"/>
    <n v="0"/>
    <n v="0"/>
    <n v="0"/>
    <x v="0"/>
  </r>
  <r>
    <x v="0"/>
    <s v="木曽郡王滝村"/>
    <x v="56"/>
    <x v="4"/>
    <n v="0"/>
    <n v="0"/>
    <n v="0"/>
    <n v="0"/>
    <n v="0"/>
    <n v="0"/>
    <x v="0"/>
  </r>
  <r>
    <x v="0"/>
    <s v="木曽郡王滝村"/>
    <x v="56"/>
    <x v="5"/>
    <n v="1"/>
    <n v="2.04"/>
    <n v="0"/>
    <n v="0"/>
    <n v="1"/>
    <n v="4.3499999999999996"/>
    <x v="0"/>
  </r>
  <r>
    <x v="0"/>
    <s v="木曽郡王滝村"/>
    <x v="56"/>
    <x v="6"/>
    <n v="12"/>
    <n v="24.49"/>
    <n v="5"/>
    <n v="20.83"/>
    <n v="7"/>
    <n v="30.43"/>
    <x v="0"/>
  </r>
  <r>
    <x v="0"/>
    <s v="木曽郡王滝村"/>
    <x v="56"/>
    <x v="7"/>
    <n v="0"/>
    <n v="0"/>
    <n v="0"/>
    <n v="0"/>
    <n v="0"/>
    <n v="0"/>
    <x v="0"/>
  </r>
  <r>
    <x v="0"/>
    <s v="木曽郡王滝村"/>
    <x v="56"/>
    <x v="8"/>
    <n v="0"/>
    <n v="0"/>
    <n v="0"/>
    <n v="0"/>
    <n v="0"/>
    <n v="0"/>
    <x v="0"/>
  </r>
  <r>
    <x v="0"/>
    <s v="木曽郡王滝村"/>
    <x v="56"/>
    <x v="9"/>
    <n v="2"/>
    <n v="4.08"/>
    <n v="0"/>
    <n v="0"/>
    <n v="1"/>
    <n v="4.3499999999999996"/>
    <x v="0"/>
  </r>
  <r>
    <x v="0"/>
    <s v="木曽郡王滝村"/>
    <x v="56"/>
    <x v="10"/>
    <n v="20"/>
    <n v="40.82"/>
    <n v="15"/>
    <n v="62.5"/>
    <n v="5"/>
    <n v="21.74"/>
    <x v="0"/>
  </r>
  <r>
    <x v="0"/>
    <s v="木曽郡王滝村"/>
    <x v="56"/>
    <x v="11"/>
    <n v="4"/>
    <n v="8.16"/>
    <n v="2"/>
    <n v="8.33"/>
    <n v="2"/>
    <n v="8.6999999999999993"/>
    <x v="0"/>
  </r>
  <r>
    <x v="0"/>
    <s v="木曽郡王滝村"/>
    <x v="56"/>
    <x v="12"/>
    <n v="0"/>
    <n v="0"/>
    <n v="0"/>
    <n v="0"/>
    <n v="0"/>
    <n v="0"/>
    <x v="0"/>
  </r>
  <r>
    <x v="0"/>
    <s v="木曽郡王滝村"/>
    <x v="56"/>
    <x v="13"/>
    <n v="0"/>
    <n v="0"/>
    <n v="0"/>
    <n v="0"/>
    <n v="0"/>
    <n v="0"/>
    <x v="0"/>
  </r>
  <r>
    <x v="0"/>
    <s v="木曽郡王滝村"/>
    <x v="56"/>
    <x v="14"/>
    <n v="0"/>
    <n v="0"/>
    <n v="0"/>
    <n v="0"/>
    <n v="0"/>
    <n v="0"/>
    <x v="0"/>
  </r>
  <r>
    <x v="0"/>
    <s v="木曽郡大桑村"/>
    <x v="57"/>
    <x v="0"/>
    <n v="1"/>
    <n v="0.64"/>
    <n v="0"/>
    <n v="0"/>
    <n v="1"/>
    <n v="1.79"/>
    <x v="0"/>
  </r>
  <r>
    <x v="0"/>
    <s v="木曽郡大桑村"/>
    <x v="57"/>
    <x v="1"/>
    <n v="38"/>
    <n v="24.36"/>
    <n v="17"/>
    <n v="18.09"/>
    <n v="21"/>
    <n v="37.5"/>
    <x v="0"/>
  </r>
  <r>
    <x v="0"/>
    <s v="木曽郡大桑村"/>
    <x v="57"/>
    <x v="2"/>
    <n v="22"/>
    <n v="14.1"/>
    <n v="7"/>
    <n v="7.45"/>
    <n v="15"/>
    <n v="26.79"/>
    <x v="0"/>
  </r>
  <r>
    <x v="0"/>
    <s v="木曽郡大桑村"/>
    <x v="57"/>
    <x v="3"/>
    <n v="1"/>
    <n v="0.64"/>
    <n v="0"/>
    <n v="0"/>
    <n v="0"/>
    <n v="0"/>
    <x v="0"/>
  </r>
  <r>
    <x v="0"/>
    <s v="木曽郡大桑村"/>
    <x v="57"/>
    <x v="4"/>
    <n v="0"/>
    <n v="0"/>
    <n v="0"/>
    <n v="0"/>
    <n v="0"/>
    <n v="0"/>
    <x v="0"/>
  </r>
  <r>
    <x v="0"/>
    <s v="木曽郡大桑村"/>
    <x v="57"/>
    <x v="5"/>
    <n v="1"/>
    <n v="0.64"/>
    <n v="0"/>
    <n v="0"/>
    <n v="1"/>
    <n v="1.79"/>
    <x v="0"/>
  </r>
  <r>
    <x v="0"/>
    <s v="木曽郡大桑村"/>
    <x v="57"/>
    <x v="6"/>
    <n v="33"/>
    <n v="21.15"/>
    <n v="26"/>
    <n v="27.66"/>
    <n v="5"/>
    <n v="8.93"/>
    <x v="2"/>
  </r>
  <r>
    <x v="0"/>
    <s v="木曽郡大桑村"/>
    <x v="57"/>
    <x v="7"/>
    <n v="4"/>
    <n v="2.56"/>
    <n v="2"/>
    <n v="2.13"/>
    <n v="2"/>
    <n v="3.57"/>
    <x v="0"/>
  </r>
  <r>
    <x v="0"/>
    <s v="木曽郡大桑村"/>
    <x v="57"/>
    <x v="8"/>
    <n v="0"/>
    <n v="0"/>
    <n v="0"/>
    <n v="0"/>
    <n v="0"/>
    <n v="0"/>
    <x v="0"/>
  </r>
  <r>
    <x v="0"/>
    <s v="木曽郡大桑村"/>
    <x v="57"/>
    <x v="9"/>
    <n v="5"/>
    <n v="3.21"/>
    <n v="3"/>
    <n v="3.19"/>
    <n v="2"/>
    <n v="3.57"/>
    <x v="0"/>
  </r>
  <r>
    <x v="0"/>
    <s v="木曽郡大桑村"/>
    <x v="57"/>
    <x v="10"/>
    <n v="13"/>
    <n v="8.33"/>
    <n v="9"/>
    <n v="9.57"/>
    <n v="4"/>
    <n v="7.14"/>
    <x v="0"/>
  </r>
  <r>
    <x v="0"/>
    <s v="木曽郡大桑村"/>
    <x v="57"/>
    <x v="11"/>
    <n v="18"/>
    <n v="11.54"/>
    <n v="18"/>
    <n v="19.149999999999999"/>
    <n v="0"/>
    <n v="0"/>
    <x v="0"/>
  </r>
  <r>
    <x v="0"/>
    <s v="木曽郡大桑村"/>
    <x v="57"/>
    <x v="12"/>
    <n v="7"/>
    <n v="4.49"/>
    <n v="6"/>
    <n v="6.38"/>
    <n v="0"/>
    <n v="0"/>
    <x v="0"/>
  </r>
  <r>
    <x v="0"/>
    <s v="木曽郡大桑村"/>
    <x v="57"/>
    <x v="13"/>
    <n v="9"/>
    <n v="5.77"/>
    <n v="6"/>
    <n v="6.38"/>
    <n v="1"/>
    <n v="1.79"/>
    <x v="0"/>
  </r>
  <r>
    <x v="0"/>
    <s v="木曽郡大桑村"/>
    <x v="57"/>
    <x v="14"/>
    <n v="4"/>
    <n v="2.56"/>
    <n v="0"/>
    <n v="0"/>
    <n v="4"/>
    <n v="7.14"/>
    <x v="0"/>
  </r>
  <r>
    <x v="0"/>
    <s v="木曽郡木曽町"/>
    <x v="58"/>
    <x v="0"/>
    <n v="1"/>
    <n v="0.2"/>
    <n v="0"/>
    <n v="0"/>
    <n v="1"/>
    <n v="0.51"/>
    <x v="0"/>
  </r>
  <r>
    <x v="0"/>
    <s v="木曽郡木曽町"/>
    <x v="58"/>
    <x v="1"/>
    <n v="91"/>
    <n v="17.91"/>
    <n v="52"/>
    <n v="17.11"/>
    <n v="39"/>
    <n v="19.8"/>
    <x v="0"/>
  </r>
  <r>
    <x v="0"/>
    <s v="木曽郡木曽町"/>
    <x v="58"/>
    <x v="2"/>
    <n v="34"/>
    <n v="6.69"/>
    <n v="11"/>
    <n v="3.62"/>
    <n v="23"/>
    <n v="11.68"/>
    <x v="0"/>
  </r>
  <r>
    <x v="0"/>
    <s v="木曽郡木曽町"/>
    <x v="58"/>
    <x v="3"/>
    <n v="1"/>
    <n v="0.2"/>
    <n v="0"/>
    <n v="0"/>
    <n v="1"/>
    <n v="0.51"/>
    <x v="0"/>
  </r>
  <r>
    <x v="0"/>
    <s v="木曽郡木曽町"/>
    <x v="58"/>
    <x v="4"/>
    <n v="5"/>
    <n v="0.98"/>
    <n v="0"/>
    <n v="0"/>
    <n v="5"/>
    <n v="2.54"/>
    <x v="0"/>
  </r>
  <r>
    <x v="0"/>
    <s v="木曽郡木曽町"/>
    <x v="58"/>
    <x v="5"/>
    <n v="6"/>
    <n v="1.18"/>
    <n v="1"/>
    <n v="0.33"/>
    <n v="4"/>
    <n v="2.0299999999999998"/>
    <x v="6"/>
  </r>
  <r>
    <x v="0"/>
    <s v="木曽郡木曽町"/>
    <x v="58"/>
    <x v="6"/>
    <n v="117"/>
    <n v="23.03"/>
    <n v="74"/>
    <n v="24.34"/>
    <n v="43"/>
    <n v="21.83"/>
    <x v="0"/>
  </r>
  <r>
    <x v="0"/>
    <s v="木曽郡木曽町"/>
    <x v="58"/>
    <x v="7"/>
    <n v="4"/>
    <n v="0.79"/>
    <n v="1"/>
    <n v="0.33"/>
    <n v="3"/>
    <n v="1.52"/>
    <x v="0"/>
  </r>
  <r>
    <x v="0"/>
    <s v="木曽郡木曽町"/>
    <x v="58"/>
    <x v="8"/>
    <n v="14"/>
    <n v="2.76"/>
    <n v="2"/>
    <n v="0.66"/>
    <n v="12"/>
    <n v="6.09"/>
    <x v="0"/>
  </r>
  <r>
    <x v="0"/>
    <s v="木曽郡木曽町"/>
    <x v="58"/>
    <x v="9"/>
    <n v="23"/>
    <n v="4.53"/>
    <n v="16"/>
    <n v="5.26"/>
    <n v="7"/>
    <n v="3.55"/>
    <x v="0"/>
  </r>
  <r>
    <x v="0"/>
    <s v="木曽郡木曽町"/>
    <x v="58"/>
    <x v="10"/>
    <n v="115"/>
    <n v="22.64"/>
    <n v="80"/>
    <n v="26.32"/>
    <n v="35"/>
    <n v="17.77"/>
    <x v="0"/>
  </r>
  <r>
    <x v="0"/>
    <s v="木曽郡木曽町"/>
    <x v="58"/>
    <x v="11"/>
    <n v="48"/>
    <n v="9.4499999999999993"/>
    <n v="39"/>
    <n v="12.83"/>
    <n v="9"/>
    <n v="4.57"/>
    <x v="0"/>
  </r>
  <r>
    <x v="0"/>
    <s v="木曽郡木曽町"/>
    <x v="58"/>
    <x v="12"/>
    <n v="13"/>
    <n v="2.56"/>
    <n v="7"/>
    <n v="2.2999999999999998"/>
    <n v="2"/>
    <n v="1.02"/>
    <x v="0"/>
  </r>
  <r>
    <x v="0"/>
    <s v="木曽郡木曽町"/>
    <x v="58"/>
    <x v="13"/>
    <n v="21"/>
    <n v="4.13"/>
    <n v="13"/>
    <n v="4.28"/>
    <n v="8"/>
    <n v="4.0599999999999996"/>
    <x v="0"/>
  </r>
  <r>
    <x v="0"/>
    <s v="木曽郡木曽町"/>
    <x v="58"/>
    <x v="14"/>
    <n v="15"/>
    <n v="2.95"/>
    <n v="8"/>
    <n v="2.63"/>
    <n v="5"/>
    <n v="2.54"/>
    <x v="2"/>
  </r>
  <r>
    <x v="0"/>
    <s v="東筑摩郡麻績村"/>
    <x v="59"/>
    <x v="0"/>
    <n v="0"/>
    <n v="0"/>
    <n v="0"/>
    <n v="0"/>
    <n v="0"/>
    <n v="0"/>
    <x v="0"/>
  </r>
  <r>
    <x v="0"/>
    <s v="東筑摩郡麻績村"/>
    <x v="59"/>
    <x v="1"/>
    <n v="20"/>
    <n v="21.28"/>
    <n v="7"/>
    <n v="11.29"/>
    <n v="13"/>
    <n v="48.15"/>
    <x v="0"/>
  </r>
  <r>
    <x v="0"/>
    <s v="東筑摩郡麻績村"/>
    <x v="59"/>
    <x v="2"/>
    <n v="7"/>
    <n v="7.45"/>
    <n v="2"/>
    <n v="3.23"/>
    <n v="5"/>
    <n v="18.52"/>
    <x v="0"/>
  </r>
  <r>
    <x v="0"/>
    <s v="東筑摩郡麻績村"/>
    <x v="59"/>
    <x v="3"/>
    <n v="1"/>
    <n v="1.06"/>
    <n v="0"/>
    <n v="0"/>
    <n v="0"/>
    <n v="0"/>
    <x v="0"/>
  </r>
  <r>
    <x v="0"/>
    <s v="東筑摩郡麻績村"/>
    <x v="59"/>
    <x v="4"/>
    <n v="1"/>
    <n v="1.06"/>
    <n v="1"/>
    <n v="1.61"/>
    <n v="0"/>
    <n v="0"/>
    <x v="0"/>
  </r>
  <r>
    <x v="0"/>
    <s v="東筑摩郡麻績村"/>
    <x v="59"/>
    <x v="5"/>
    <n v="0"/>
    <n v="0"/>
    <n v="0"/>
    <n v="0"/>
    <n v="0"/>
    <n v="0"/>
    <x v="0"/>
  </r>
  <r>
    <x v="0"/>
    <s v="東筑摩郡麻績村"/>
    <x v="59"/>
    <x v="6"/>
    <n v="20"/>
    <n v="21.28"/>
    <n v="15"/>
    <n v="24.19"/>
    <n v="4"/>
    <n v="14.81"/>
    <x v="6"/>
  </r>
  <r>
    <x v="0"/>
    <s v="東筑摩郡麻績村"/>
    <x v="59"/>
    <x v="7"/>
    <n v="0"/>
    <n v="0"/>
    <n v="0"/>
    <n v="0"/>
    <n v="0"/>
    <n v="0"/>
    <x v="0"/>
  </r>
  <r>
    <x v="0"/>
    <s v="東筑摩郡麻績村"/>
    <x v="59"/>
    <x v="8"/>
    <n v="3"/>
    <n v="3.19"/>
    <n v="1"/>
    <n v="1.61"/>
    <n v="2"/>
    <n v="7.41"/>
    <x v="0"/>
  </r>
  <r>
    <x v="0"/>
    <s v="東筑摩郡麻績村"/>
    <x v="59"/>
    <x v="9"/>
    <n v="2"/>
    <n v="2.13"/>
    <n v="2"/>
    <n v="3.23"/>
    <n v="0"/>
    <n v="0"/>
    <x v="0"/>
  </r>
  <r>
    <x v="0"/>
    <s v="東筑摩郡麻績村"/>
    <x v="59"/>
    <x v="10"/>
    <n v="11"/>
    <n v="11.7"/>
    <n v="10"/>
    <n v="16.13"/>
    <n v="1"/>
    <n v="3.7"/>
    <x v="0"/>
  </r>
  <r>
    <x v="0"/>
    <s v="東筑摩郡麻績村"/>
    <x v="59"/>
    <x v="11"/>
    <n v="11"/>
    <n v="11.7"/>
    <n v="11"/>
    <n v="17.739999999999998"/>
    <n v="0"/>
    <n v="0"/>
    <x v="0"/>
  </r>
  <r>
    <x v="0"/>
    <s v="東筑摩郡麻績村"/>
    <x v="59"/>
    <x v="12"/>
    <n v="9"/>
    <n v="9.57"/>
    <n v="8"/>
    <n v="12.9"/>
    <n v="0"/>
    <n v="0"/>
    <x v="0"/>
  </r>
  <r>
    <x v="0"/>
    <s v="東筑摩郡麻績村"/>
    <x v="59"/>
    <x v="13"/>
    <n v="5"/>
    <n v="5.32"/>
    <n v="2"/>
    <n v="3.23"/>
    <n v="1"/>
    <n v="3.7"/>
    <x v="0"/>
  </r>
  <r>
    <x v="0"/>
    <s v="東筑摩郡麻績村"/>
    <x v="59"/>
    <x v="14"/>
    <n v="4"/>
    <n v="4.26"/>
    <n v="3"/>
    <n v="4.84"/>
    <n v="1"/>
    <n v="3.7"/>
    <x v="0"/>
  </r>
  <r>
    <x v="0"/>
    <s v="東筑摩郡生坂村"/>
    <x v="60"/>
    <x v="0"/>
    <n v="0"/>
    <n v="0"/>
    <n v="0"/>
    <n v="0"/>
    <n v="0"/>
    <n v="0"/>
    <x v="0"/>
  </r>
  <r>
    <x v="0"/>
    <s v="東筑摩郡生坂村"/>
    <x v="60"/>
    <x v="1"/>
    <n v="21"/>
    <n v="35"/>
    <n v="15"/>
    <n v="36.590000000000003"/>
    <n v="6"/>
    <n v="37.5"/>
    <x v="0"/>
  </r>
  <r>
    <x v="0"/>
    <s v="東筑摩郡生坂村"/>
    <x v="60"/>
    <x v="2"/>
    <n v="8"/>
    <n v="13.33"/>
    <n v="3"/>
    <n v="7.32"/>
    <n v="5"/>
    <n v="31.25"/>
    <x v="0"/>
  </r>
  <r>
    <x v="0"/>
    <s v="東筑摩郡生坂村"/>
    <x v="60"/>
    <x v="3"/>
    <n v="0"/>
    <n v="0"/>
    <n v="0"/>
    <n v="0"/>
    <n v="0"/>
    <n v="0"/>
    <x v="0"/>
  </r>
  <r>
    <x v="0"/>
    <s v="東筑摩郡生坂村"/>
    <x v="60"/>
    <x v="4"/>
    <n v="1"/>
    <n v="1.67"/>
    <n v="1"/>
    <n v="2.44"/>
    <n v="0"/>
    <n v="0"/>
    <x v="0"/>
  </r>
  <r>
    <x v="0"/>
    <s v="東筑摩郡生坂村"/>
    <x v="60"/>
    <x v="5"/>
    <n v="1"/>
    <n v="1.67"/>
    <n v="1"/>
    <n v="2.44"/>
    <n v="0"/>
    <n v="0"/>
    <x v="0"/>
  </r>
  <r>
    <x v="0"/>
    <s v="東筑摩郡生坂村"/>
    <x v="60"/>
    <x v="6"/>
    <n v="12"/>
    <n v="20"/>
    <n v="8"/>
    <n v="19.510000000000002"/>
    <n v="3"/>
    <n v="18.75"/>
    <x v="0"/>
  </r>
  <r>
    <x v="0"/>
    <s v="東筑摩郡生坂村"/>
    <x v="60"/>
    <x v="7"/>
    <n v="0"/>
    <n v="0"/>
    <n v="0"/>
    <n v="0"/>
    <n v="0"/>
    <n v="0"/>
    <x v="0"/>
  </r>
  <r>
    <x v="0"/>
    <s v="東筑摩郡生坂村"/>
    <x v="60"/>
    <x v="8"/>
    <n v="0"/>
    <n v="0"/>
    <n v="0"/>
    <n v="0"/>
    <n v="0"/>
    <n v="0"/>
    <x v="0"/>
  </r>
  <r>
    <x v="0"/>
    <s v="東筑摩郡生坂村"/>
    <x v="60"/>
    <x v="9"/>
    <n v="0"/>
    <n v="0"/>
    <n v="0"/>
    <n v="0"/>
    <n v="0"/>
    <n v="0"/>
    <x v="0"/>
  </r>
  <r>
    <x v="0"/>
    <s v="東筑摩郡生坂村"/>
    <x v="60"/>
    <x v="10"/>
    <n v="7"/>
    <n v="11.67"/>
    <n v="5"/>
    <n v="12.2"/>
    <n v="0"/>
    <n v="0"/>
    <x v="0"/>
  </r>
  <r>
    <x v="0"/>
    <s v="東筑摩郡生坂村"/>
    <x v="60"/>
    <x v="11"/>
    <n v="7"/>
    <n v="11.67"/>
    <n v="6"/>
    <n v="14.63"/>
    <n v="1"/>
    <n v="6.25"/>
    <x v="0"/>
  </r>
  <r>
    <x v="0"/>
    <s v="東筑摩郡生坂村"/>
    <x v="60"/>
    <x v="12"/>
    <n v="0"/>
    <n v="0"/>
    <n v="0"/>
    <n v="0"/>
    <n v="0"/>
    <n v="0"/>
    <x v="0"/>
  </r>
  <r>
    <x v="0"/>
    <s v="東筑摩郡生坂村"/>
    <x v="60"/>
    <x v="13"/>
    <n v="1"/>
    <n v="1.67"/>
    <n v="1"/>
    <n v="2.44"/>
    <n v="0"/>
    <n v="0"/>
    <x v="0"/>
  </r>
  <r>
    <x v="0"/>
    <s v="東筑摩郡生坂村"/>
    <x v="60"/>
    <x v="14"/>
    <n v="2"/>
    <n v="3.33"/>
    <n v="1"/>
    <n v="2.44"/>
    <n v="1"/>
    <n v="6.25"/>
    <x v="0"/>
  </r>
  <r>
    <x v="0"/>
    <s v="東筑摩郡山形村"/>
    <x v="61"/>
    <x v="0"/>
    <n v="0"/>
    <n v="0"/>
    <n v="0"/>
    <n v="0"/>
    <n v="0"/>
    <n v="0"/>
    <x v="0"/>
  </r>
  <r>
    <x v="0"/>
    <s v="東筑摩郡山形村"/>
    <x v="61"/>
    <x v="1"/>
    <n v="61"/>
    <n v="29.76"/>
    <n v="30"/>
    <n v="27.03"/>
    <n v="31"/>
    <n v="34.07"/>
    <x v="0"/>
  </r>
  <r>
    <x v="0"/>
    <s v="東筑摩郡山形村"/>
    <x v="61"/>
    <x v="2"/>
    <n v="23"/>
    <n v="11.22"/>
    <n v="12"/>
    <n v="10.81"/>
    <n v="11"/>
    <n v="12.09"/>
    <x v="0"/>
  </r>
  <r>
    <x v="0"/>
    <s v="東筑摩郡山形村"/>
    <x v="61"/>
    <x v="3"/>
    <n v="4"/>
    <n v="1.95"/>
    <n v="0"/>
    <n v="0"/>
    <n v="3"/>
    <n v="3.3"/>
    <x v="0"/>
  </r>
  <r>
    <x v="0"/>
    <s v="東筑摩郡山形村"/>
    <x v="61"/>
    <x v="4"/>
    <n v="0"/>
    <n v="0"/>
    <n v="0"/>
    <n v="0"/>
    <n v="0"/>
    <n v="0"/>
    <x v="0"/>
  </r>
  <r>
    <x v="0"/>
    <s v="東筑摩郡山形村"/>
    <x v="61"/>
    <x v="5"/>
    <n v="4"/>
    <n v="1.95"/>
    <n v="1"/>
    <n v="0.9"/>
    <n v="3"/>
    <n v="3.3"/>
    <x v="0"/>
  </r>
  <r>
    <x v="0"/>
    <s v="東筑摩郡山形村"/>
    <x v="61"/>
    <x v="6"/>
    <n v="29"/>
    <n v="14.15"/>
    <n v="11"/>
    <n v="9.91"/>
    <n v="18"/>
    <n v="19.78"/>
    <x v="0"/>
  </r>
  <r>
    <x v="0"/>
    <s v="東筑摩郡山形村"/>
    <x v="61"/>
    <x v="7"/>
    <n v="0"/>
    <n v="0"/>
    <n v="0"/>
    <n v="0"/>
    <n v="0"/>
    <n v="0"/>
    <x v="0"/>
  </r>
  <r>
    <x v="0"/>
    <s v="東筑摩郡山形村"/>
    <x v="61"/>
    <x v="8"/>
    <n v="4"/>
    <n v="1.95"/>
    <n v="1"/>
    <n v="0.9"/>
    <n v="3"/>
    <n v="3.3"/>
    <x v="0"/>
  </r>
  <r>
    <x v="0"/>
    <s v="東筑摩郡山形村"/>
    <x v="61"/>
    <x v="9"/>
    <n v="5"/>
    <n v="2.44"/>
    <n v="3"/>
    <n v="2.7"/>
    <n v="2"/>
    <n v="2.2000000000000002"/>
    <x v="0"/>
  </r>
  <r>
    <x v="0"/>
    <s v="東筑摩郡山形村"/>
    <x v="61"/>
    <x v="10"/>
    <n v="21"/>
    <n v="10.24"/>
    <n v="18"/>
    <n v="16.22"/>
    <n v="3"/>
    <n v="3.3"/>
    <x v="0"/>
  </r>
  <r>
    <x v="0"/>
    <s v="東筑摩郡山形村"/>
    <x v="61"/>
    <x v="11"/>
    <n v="24"/>
    <n v="11.71"/>
    <n v="16"/>
    <n v="14.41"/>
    <n v="8"/>
    <n v="8.7899999999999991"/>
    <x v="0"/>
  </r>
  <r>
    <x v="0"/>
    <s v="東筑摩郡山形村"/>
    <x v="61"/>
    <x v="12"/>
    <n v="6"/>
    <n v="2.93"/>
    <n v="3"/>
    <n v="2.7"/>
    <n v="2"/>
    <n v="2.2000000000000002"/>
    <x v="0"/>
  </r>
  <r>
    <x v="0"/>
    <s v="東筑摩郡山形村"/>
    <x v="61"/>
    <x v="13"/>
    <n v="10"/>
    <n v="4.88"/>
    <n v="7"/>
    <n v="6.31"/>
    <n v="2"/>
    <n v="2.2000000000000002"/>
    <x v="0"/>
  </r>
  <r>
    <x v="0"/>
    <s v="東筑摩郡山形村"/>
    <x v="61"/>
    <x v="14"/>
    <n v="14"/>
    <n v="6.83"/>
    <n v="9"/>
    <n v="8.11"/>
    <n v="5"/>
    <n v="5.49"/>
    <x v="0"/>
  </r>
  <r>
    <x v="0"/>
    <s v="東筑摩郡朝日村"/>
    <x v="62"/>
    <x v="0"/>
    <n v="0"/>
    <n v="0"/>
    <n v="0"/>
    <n v="0"/>
    <n v="0"/>
    <n v="0"/>
    <x v="0"/>
  </r>
  <r>
    <x v="0"/>
    <s v="東筑摩郡朝日村"/>
    <x v="62"/>
    <x v="1"/>
    <n v="13"/>
    <n v="16.25"/>
    <n v="10"/>
    <n v="19.23"/>
    <n v="3"/>
    <n v="12"/>
    <x v="0"/>
  </r>
  <r>
    <x v="0"/>
    <s v="東筑摩郡朝日村"/>
    <x v="62"/>
    <x v="2"/>
    <n v="19"/>
    <n v="23.75"/>
    <n v="13"/>
    <n v="25"/>
    <n v="6"/>
    <n v="24"/>
    <x v="0"/>
  </r>
  <r>
    <x v="0"/>
    <s v="東筑摩郡朝日村"/>
    <x v="62"/>
    <x v="3"/>
    <n v="1"/>
    <n v="1.25"/>
    <n v="0"/>
    <n v="0"/>
    <n v="0"/>
    <n v="0"/>
    <x v="0"/>
  </r>
  <r>
    <x v="0"/>
    <s v="東筑摩郡朝日村"/>
    <x v="62"/>
    <x v="4"/>
    <n v="0"/>
    <n v="0"/>
    <n v="0"/>
    <n v="0"/>
    <n v="0"/>
    <n v="0"/>
    <x v="0"/>
  </r>
  <r>
    <x v="0"/>
    <s v="東筑摩郡朝日村"/>
    <x v="62"/>
    <x v="5"/>
    <n v="3"/>
    <n v="3.75"/>
    <n v="1"/>
    <n v="1.92"/>
    <n v="2"/>
    <n v="8"/>
    <x v="0"/>
  </r>
  <r>
    <x v="0"/>
    <s v="東筑摩郡朝日村"/>
    <x v="62"/>
    <x v="6"/>
    <n v="18"/>
    <n v="22.5"/>
    <n v="9"/>
    <n v="17.309999999999999"/>
    <n v="9"/>
    <n v="36"/>
    <x v="0"/>
  </r>
  <r>
    <x v="0"/>
    <s v="東筑摩郡朝日村"/>
    <x v="62"/>
    <x v="7"/>
    <n v="0"/>
    <n v="0"/>
    <n v="0"/>
    <n v="0"/>
    <n v="0"/>
    <n v="0"/>
    <x v="0"/>
  </r>
  <r>
    <x v="0"/>
    <s v="東筑摩郡朝日村"/>
    <x v="62"/>
    <x v="8"/>
    <n v="1"/>
    <n v="1.25"/>
    <n v="0"/>
    <n v="0"/>
    <n v="1"/>
    <n v="4"/>
    <x v="0"/>
  </r>
  <r>
    <x v="0"/>
    <s v="東筑摩郡朝日村"/>
    <x v="62"/>
    <x v="9"/>
    <n v="3"/>
    <n v="3.75"/>
    <n v="3"/>
    <n v="5.77"/>
    <n v="0"/>
    <n v="0"/>
    <x v="0"/>
  </r>
  <r>
    <x v="0"/>
    <s v="東筑摩郡朝日村"/>
    <x v="62"/>
    <x v="10"/>
    <n v="8"/>
    <n v="10"/>
    <n v="5"/>
    <n v="9.6199999999999992"/>
    <n v="3"/>
    <n v="12"/>
    <x v="0"/>
  </r>
  <r>
    <x v="0"/>
    <s v="東筑摩郡朝日村"/>
    <x v="62"/>
    <x v="11"/>
    <n v="3"/>
    <n v="3.75"/>
    <n v="3"/>
    <n v="5.77"/>
    <n v="0"/>
    <n v="0"/>
    <x v="0"/>
  </r>
  <r>
    <x v="0"/>
    <s v="東筑摩郡朝日村"/>
    <x v="62"/>
    <x v="12"/>
    <n v="6"/>
    <n v="7.5"/>
    <n v="3"/>
    <n v="5.77"/>
    <n v="1"/>
    <n v="4"/>
    <x v="0"/>
  </r>
  <r>
    <x v="0"/>
    <s v="東筑摩郡朝日村"/>
    <x v="62"/>
    <x v="13"/>
    <n v="3"/>
    <n v="3.75"/>
    <n v="3"/>
    <n v="5.77"/>
    <n v="0"/>
    <n v="0"/>
    <x v="0"/>
  </r>
  <r>
    <x v="0"/>
    <s v="東筑摩郡朝日村"/>
    <x v="62"/>
    <x v="14"/>
    <n v="2"/>
    <n v="2.5"/>
    <n v="2"/>
    <n v="3.85"/>
    <n v="0"/>
    <n v="0"/>
    <x v="0"/>
  </r>
  <r>
    <x v="0"/>
    <s v="東筑摩郡筑北村"/>
    <x v="63"/>
    <x v="0"/>
    <n v="0"/>
    <n v="0"/>
    <n v="0"/>
    <n v="0"/>
    <n v="0"/>
    <n v="0"/>
    <x v="0"/>
  </r>
  <r>
    <x v="0"/>
    <s v="東筑摩郡筑北村"/>
    <x v="63"/>
    <x v="1"/>
    <n v="34"/>
    <n v="26.77"/>
    <n v="24"/>
    <n v="26.67"/>
    <n v="10"/>
    <n v="33.33"/>
    <x v="0"/>
  </r>
  <r>
    <x v="0"/>
    <s v="東筑摩郡筑北村"/>
    <x v="63"/>
    <x v="2"/>
    <n v="6"/>
    <n v="4.72"/>
    <n v="4"/>
    <n v="4.4400000000000004"/>
    <n v="2"/>
    <n v="6.67"/>
    <x v="0"/>
  </r>
  <r>
    <x v="0"/>
    <s v="東筑摩郡筑北村"/>
    <x v="63"/>
    <x v="3"/>
    <n v="0"/>
    <n v="0"/>
    <n v="0"/>
    <n v="0"/>
    <n v="0"/>
    <n v="0"/>
    <x v="0"/>
  </r>
  <r>
    <x v="0"/>
    <s v="東筑摩郡筑北村"/>
    <x v="63"/>
    <x v="4"/>
    <n v="0"/>
    <n v="0"/>
    <n v="0"/>
    <n v="0"/>
    <n v="0"/>
    <n v="0"/>
    <x v="0"/>
  </r>
  <r>
    <x v="0"/>
    <s v="東筑摩郡筑北村"/>
    <x v="63"/>
    <x v="5"/>
    <n v="8"/>
    <n v="6.3"/>
    <n v="4"/>
    <n v="4.4400000000000004"/>
    <n v="1"/>
    <n v="3.33"/>
    <x v="0"/>
  </r>
  <r>
    <x v="0"/>
    <s v="東筑摩郡筑北村"/>
    <x v="63"/>
    <x v="6"/>
    <n v="42"/>
    <n v="33.07"/>
    <n v="31"/>
    <n v="34.44"/>
    <n v="11"/>
    <n v="36.67"/>
    <x v="0"/>
  </r>
  <r>
    <x v="0"/>
    <s v="東筑摩郡筑北村"/>
    <x v="63"/>
    <x v="7"/>
    <n v="0"/>
    <n v="0"/>
    <n v="0"/>
    <n v="0"/>
    <n v="0"/>
    <n v="0"/>
    <x v="0"/>
  </r>
  <r>
    <x v="0"/>
    <s v="東筑摩郡筑北村"/>
    <x v="63"/>
    <x v="8"/>
    <n v="2"/>
    <n v="1.57"/>
    <n v="2"/>
    <n v="2.2200000000000002"/>
    <n v="0"/>
    <n v="0"/>
    <x v="0"/>
  </r>
  <r>
    <x v="0"/>
    <s v="東筑摩郡筑北村"/>
    <x v="63"/>
    <x v="9"/>
    <n v="3"/>
    <n v="2.36"/>
    <n v="1"/>
    <n v="1.1100000000000001"/>
    <n v="2"/>
    <n v="6.67"/>
    <x v="0"/>
  </r>
  <r>
    <x v="0"/>
    <s v="東筑摩郡筑北村"/>
    <x v="63"/>
    <x v="10"/>
    <n v="10"/>
    <n v="7.87"/>
    <n v="9"/>
    <n v="10"/>
    <n v="1"/>
    <n v="3.33"/>
    <x v="0"/>
  </r>
  <r>
    <x v="0"/>
    <s v="東筑摩郡筑北村"/>
    <x v="63"/>
    <x v="11"/>
    <n v="12"/>
    <n v="9.4499999999999993"/>
    <n v="11"/>
    <n v="12.22"/>
    <n v="0"/>
    <n v="0"/>
    <x v="0"/>
  </r>
  <r>
    <x v="0"/>
    <s v="東筑摩郡筑北村"/>
    <x v="63"/>
    <x v="12"/>
    <n v="2"/>
    <n v="1.57"/>
    <n v="0"/>
    <n v="0"/>
    <n v="1"/>
    <n v="3.33"/>
    <x v="0"/>
  </r>
  <r>
    <x v="0"/>
    <s v="東筑摩郡筑北村"/>
    <x v="63"/>
    <x v="13"/>
    <n v="5"/>
    <n v="3.94"/>
    <n v="2"/>
    <n v="2.2200000000000002"/>
    <n v="1"/>
    <n v="3.33"/>
    <x v="0"/>
  </r>
  <r>
    <x v="0"/>
    <s v="東筑摩郡筑北村"/>
    <x v="63"/>
    <x v="14"/>
    <n v="3"/>
    <n v="2.36"/>
    <n v="2"/>
    <n v="2.2200000000000002"/>
    <n v="1"/>
    <n v="3.33"/>
    <x v="0"/>
  </r>
  <r>
    <x v="0"/>
    <s v="北安曇郡池田町"/>
    <x v="64"/>
    <x v="0"/>
    <n v="1"/>
    <n v="0.3"/>
    <n v="1"/>
    <n v="0.46"/>
    <n v="0"/>
    <n v="0"/>
    <x v="0"/>
  </r>
  <r>
    <x v="0"/>
    <s v="北安曇郡池田町"/>
    <x v="64"/>
    <x v="1"/>
    <n v="72"/>
    <n v="21.88"/>
    <n v="43"/>
    <n v="19.63"/>
    <n v="29"/>
    <n v="28.43"/>
    <x v="0"/>
  </r>
  <r>
    <x v="0"/>
    <s v="北安曇郡池田町"/>
    <x v="64"/>
    <x v="2"/>
    <n v="26"/>
    <n v="7.9"/>
    <n v="17"/>
    <n v="7.76"/>
    <n v="9"/>
    <n v="8.82"/>
    <x v="0"/>
  </r>
  <r>
    <x v="0"/>
    <s v="北安曇郡池田町"/>
    <x v="64"/>
    <x v="3"/>
    <n v="2"/>
    <n v="0.61"/>
    <n v="1"/>
    <n v="0.46"/>
    <n v="1"/>
    <n v="0.98"/>
    <x v="0"/>
  </r>
  <r>
    <x v="0"/>
    <s v="北安曇郡池田町"/>
    <x v="64"/>
    <x v="4"/>
    <n v="3"/>
    <n v="0.91"/>
    <n v="2"/>
    <n v="0.91"/>
    <n v="1"/>
    <n v="0.98"/>
    <x v="0"/>
  </r>
  <r>
    <x v="0"/>
    <s v="北安曇郡池田町"/>
    <x v="64"/>
    <x v="5"/>
    <n v="7"/>
    <n v="2.13"/>
    <n v="5"/>
    <n v="2.2799999999999998"/>
    <n v="1"/>
    <n v="0.98"/>
    <x v="6"/>
  </r>
  <r>
    <x v="0"/>
    <s v="北安曇郡池田町"/>
    <x v="64"/>
    <x v="6"/>
    <n v="71"/>
    <n v="21.58"/>
    <n v="44"/>
    <n v="20.09"/>
    <n v="27"/>
    <n v="26.47"/>
    <x v="0"/>
  </r>
  <r>
    <x v="0"/>
    <s v="北安曇郡池田町"/>
    <x v="64"/>
    <x v="7"/>
    <n v="3"/>
    <n v="0.91"/>
    <n v="1"/>
    <n v="0.46"/>
    <n v="1"/>
    <n v="0.98"/>
    <x v="0"/>
  </r>
  <r>
    <x v="0"/>
    <s v="北安曇郡池田町"/>
    <x v="64"/>
    <x v="8"/>
    <n v="10"/>
    <n v="3.04"/>
    <n v="3"/>
    <n v="1.37"/>
    <n v="7"/>
    <n v="6.86"/>
    <x v="0"/>
  </r>
  <r>
    <x v="0"/>
    <s v="北安曇郡池田町"/>
    <x v="64"/>
    <x v="9"/>
    <n v="19"/>
    <n v="5.78"/>
    <n v="12"/>
    <n v="5.48"/>
    <n v="6"/>
    <n v="5.88"/>
    <x v="6"/>
  </r>
  <r>
    <x v="0"/>
    <s v="北安曇郡池田町"/>
    <x v="64"/>
    <x v="10"/>
    <n v="25"/>
    <n v="7.6"/>
    <n v="24"/>
    <n v="10.96"/>
    <n v="1"/>
    <n v="0.98"/>
    <x v="0"/>
  </r>
  <r>
    <x v="0"/>
    <s v="北安曇郡池田町"/>
    <x v="64"/>
    <x v="11"/>
    <n v="44"/>
    <n v="13.37"/>
    <n v="34"/>
    <n v="15.53"/>
    <n v="8"/>
    <n v="7.84"/>
    <x v="6"/>
  </r>
  <r>
    <x v="0"/>
    <s v="北安曇郡池田町"/>
    <x v="64"/>
    <x v="12"/>
    <n v="18"/>
    <n v="5.47"/>
    <n v="14"/>
    <n v="6.39"/>
    <n v="2"/>
    <n v="1.96"/>
    <x v="0"/>
  </r>
  <r>
    <x v="0"/>
    <s v="北安曇郡池田町"/>
    <x v="64"/>
    <x v="13"/>
    <n v="17"/>
    <n v="5.17"/>
    <n v="12"/>
    <n v="5.48"/>
    <n v="5"/>
    <n v="4.9000000000000004"/>
    <x v="0"/>
  </r>
  <r>
    <x v="0"/>
    <s v="北安曇郡池田町"/>
    <x v="64"/>
    <x v="14"/>
    <n v="11"/>
    <n v="3.34"/>
    <n v="6"/>
    <n v="2.74"/>
    <n v="4"/>
    <n v="3.92"/>
    <x v="0"/>
  </r>
  <r>
    <x v="0"/>
    <s v="北安曇郡松川村"/>
    <x v="65"/>
    <x v="0"/>
    <n v="1"/>
    <n v="0.34"/>
    <n v="1"/>
    <n v="0.53"/>
    <n v="0"/>
    <n v="0"/>
    <x v="0"/>
  </r>
  <r>
    <x v="0"/>
    <s v="北安曇郡松川村"/>
    <x v="65"/>
    <x v="1"/>
    <n v="66"/>
    <n v="22.68"/>
    <n v="36"/>
    <n v="18.95"/>
    <n v="30"/>
    <n v="30.93"/>
    <x v="0"/>
  </r>
  <r>
    <x v="0"/>
    <s v="北安曇郡松川村"/>
    <x v="65"/>
    <x v="2"/>
    <n v="35"/>
    <n v="12.03"/>
    <n v="14"/>
    <n v="7.37"/>
    <n v="19"/>
    <n v="19.59"/>
    <x v="2"/>
  </r>
  <r>
    <x v="0"/>
    <s v="北安曇郡松川村"/>
    <x v="65"/>
    <x v="3"/>
    <n v="2"/>
    <n v="0.69"/>
    <n v="0"/>
    <n v="0"/>
    <n v="1"/>
    <n v="1.03"/>
    <x v="0"/>
  </r>
  <r>
    <x v="0"/>
    <s v="北安曇郡松川村"/>
    <x v="65"/>
    <x v="4"/>
    <n v="3"/>
    <n v="1.03"/>
    <n v="2"/>
    <n v="1.05"/>
    <n v="1"/>
    <n v="1.03"/>
    <x v="0"/>
  </r>
  <r>
    <x v="0"/>
    <s v="北安曇郡松川村"/>
    <x v="65"/>
    <x v="5"/>
    <n v="3"/>
    <n v="1.03"/>
    <n v="1"/>
    <n v="0.53"/>
    <n v="1"/>
    <n v="1.03"/>
    <x v="6"/>
  </r>
  <r>
    <x v="0"/>
    <s v="北安曇郡松川村"/>
    <x v="65"/>
    <x v="6"/>
    <n v="61"/>
    <n v="20.96"/>
    <n v="40"/>
    <n v="21.05"/>
    <n v="21"/>
    <n v="21.65"/>
    <x v="0"/>
  </r>
  <r>
    <x v="0"/>
    <s v="北安曇郡松川村"/>
    <x v="65"/>
    <x v="7"/>
    <n v="3"/>
    <n v="1.03"/>
    <n v="2"/>
    <n v="1.05"/>
    <n v="1"/>
    <n v="1.03"/>
    <x v="0"/>
  </r>
  <r>
    <x v="0"/>
    <s v="北安曇郡松川村"/>
    <x v="65"/>
    <x v="8"/>
    <n v="5"/>
    <n v="1.72"/>
    <n v="2"/>
    <n v="1.05"/>
    <n v="3"/>
    <n v="3.09"/>
    <x v="0"/>
  </r>
  <r>
    <x v="0"/>
    <s v="北安曇郡松川村"/>
    <x v="65"/>
    <x v="9"/>
    <n v="16"/>
    <n v="5.5"/>
    <n v="14"/>
    <n v="7.37"/>
    <n v="2"/>
    <n v="2.06"/>
    <x v="0"/>
  </r>
  <r>
    <x v="0"/>
    <s v="北安曇郡松川村"/>
    <x v="65"/>
    <x v="10"/>
    <n v="33"/>
    <n v="11.34"/>
    <n v="32"/>
    <n v="16.84"/>
    <n v="1"/>
    <n v="1.03"/>
    <x v="0"/>
  </r>
  <r>
    <x v="0"/>
    <s v="北安曇郡松川村"/>
    <x v="65"/>
    <x v="11"/>
    <n v="30"/>
    <n v="10.31"/>
    <n v="24"/>
    <n v="12.63"/>
    <n v="6"/>
    <n v="6.19"/>
    <x v="0"/>
  </r>
  <r>
    <x v="0"/>
    <s v="北安曇郡松川村"/>
    <x v="65"/>
    <x v="12"/>
    <n v="9"/>
    <n v="3.09"/>
    <n v="7"/>
    <n v="3.68"/>
    <n v="2"/>
    <n v="2.06"/>
    <x v="0"/>
  </r>
  <r>
    <x v="0"/>
    <s v="北安曇郡松川村"/>
    <x v="65"/>
    <x v="13"/>
    <n v="17"/>
    <n v="5.84"/>
    <n v="11"/>
    <n v="5.79"/>
    <n v="6"/>
    <n v="6.19"/>
    <x v="0"/>
  </r>
  <r>
    <x v="0"/>
    <s v="北安曇郡松川村"/>
    <x v="65"/>
    <x v="14"/>
    <n v="7"/>
    <n v="2.41"/>
    <n v="4"/>
    <n v="2.11"/>
    <n v="3"/>
    <n v="3.09"/>
    <x v="0"/>
  </r>
  <r>
    <x v="0"/>
    <s v="北安曇郡白馬村"/>
    <x v="66"/>
    <x v="0"/>
    <n v="0"/>
    <n v="0"/>
    <n v="0"/>
    <n v="0"/>
    <n v="0"/>
    <n v="0"/>
    <x v="0"/>
  </r>
  <r>
    <x v="0"/>
    <s v="北安曇郡白馬村"/>
    <x v="66"/>
    <x v="1"/>
    <n v="55"/>
    <n v="6.91"/>
    <n v="20"/>
    <n v="3.73"/>
    <n v="35"/>
    <n v="13.89"/>
    <x v="0"/>
  </r>
  <r>
    <x v="0"/>
    <s v="北安曇郡白馬村"/>
    <x v="66"/>
    <x v="2"/>
    <n v="12"/>
    <n v="1.51"/>
    <n v="5"/>
    <n v="0.93"/>
    <n v="7"/>
    <n v="2.78"/>
    <x v="0"/>
  </r>
  <r>
    <x v="0"/>
    <s v="北安曇郡白馬村"/>
    <x v="66"/>
    <x v="3"/>
    <n v="0"/>
    <n v="0"/>
    <n v="0"/>
    <n v="0"/>
    <n v="0"/>
    <n v="0"/>
    <x v="0"/>
  </r>
  <r>
    <x v="0"/>
    <s v="北安曇郡白馬村"/>
    <x v="66"/>
    <x v="4"/>
    <n v="5"/>
    <n v="0.63"/>
    <n v="1"/>
    <n v="0.19"/>
    <n v="4"/>
    <n v="1.59"/>
    <x v="0"/>
  </r>
  <r>
    <x v="0"/>
    <s v="北安曇郡白馬村"/>
    <x v="66"/>
    <x v="5"/>
    <n v="1"/>
    <n v="0.13"/>
    <n v="0"/>
    <n v="0"/>
    <n v="0"/>
    <n v="0"/>
    <x v="6"/>
  </r>
  <r>
    <x v="0"/>
    <s v="北安曇郡白馬村"/>
    <x v="66"/>
    <x v="6"/>
    <n v="75"/>
    <n v="9.42"/>
    <n v="37"/>
    <n v="6.9"/>
    <n v="38"/>
    <n v="15.08"/>
    <x v="0"/>
  </r>
  <r>
    <x v="0"/>
    <s v="北安曇郡白馬村"/>
    <x v="66"/>
    <x v="7"/>
    <n v="0"/>
    <n v="0"/>
    <n v="0"/>
    <n v="0"/>
    <n v="0"/>
    <n v="0"/>
    <x v="0"/>
  </r>
  <r>
    <x v="0"/>
    <s v="北安曇郡白馬村"/>
    <x v="66"/>
    <x v="8"/>
    <n v="58"/>
    <n v="7.29"/>
    <n v="32"/>
    <n v="5.97"/>
    <n v="26"/>
    <n v="10.32"/>
    <x v="0"/>
  </r>
  <r>
    <x v="0"/>
    <s v="北安曇郡白馬村"/>
    <x v="66"/>
    <x v="9"/>
    <n v="16"/>
    <n v="2.0099999999999998"/>
    <n v="7"/>
    <n v="1.31"/>
    <n v="6"/>
    <n v="2.38"/>
    <x v="0"/>
  </r>
  <r>
    <x v="0"/>
    <s v="北安曇郡白馬村"/>
    <x v="66"/>
    <x v="10"/>
    <n v="498"/>
    <n v="62.56"/>
    <n v="397"/>
    <n v="74.069999999999993"/>
    <n v="101"/>
    <n v="40.08"/>
    <x v="0"/>
  </r>
  <r>
    <x v="0"/>
    <s v="北安曇郡白馬村"/>
    <x v="66"/>
    <x v="11"/>
    <n v="39"/>
    <n v="4.9000000000000004"/>
    <n v="22"/>
    <n v="4.0999999999999996"/>
    <n v="16"/>
    <n v="6.35"/>
    <x v="0"/>
  </r>
  <r>
    <x v="0"/>
    <s v="北安曇郡白馬村"/>
    <x v="66"/>
    <x v="12"/>
    <n v="12"/>
    <n v="1.51"/>
    <n v="3"/>
    <n v="0.56000000000000005"/>
    <n v="8"/>
    <n v="3.17"/>
    <x v="0"/>
  </r>
  <r>
    <x v="0"/>
    <s v="北安曇郡白馬村"/>
    <x v="66"/>
    <x v="13"/>
    <n v="16"/>
    <n v="2.0099999999999998"/>
    <n v="11"/>
    <n v="2.0499999999999998"/>
    <n v="4"/>
    <n v="1.59"/>
    <x v="0"/>
  </r>
  <r>
    <x v="0"/>
    <s v="北安曇郡白馬村"/>
    <x v="66"/>
    <x v="14"/>
    <n v="9"/>
    <n v="1.1299999999999999"/>
    <n v="1"/>
    <n v="0.19"/>
    <n v="7"/>
    <n v="2.78"/>
    <x v="0"/>
  </r>
  <r>
    <x v="0"/>
    <s v="北安曇郡小谷村"/>
    <x v="67"/>
    <x v="0"/>
    <n v="1"/>
    <n v="0.45"/>
    <n v="1"/>
    <n v="0.68"/>
    <n v="0"/>
    <n v="0"/>
    <x v="0"/>
  </r>
  <r>
    <x v="0"/>
    <s v="北安曇郡小谷村"/>
    <x v="67"/>
    <x v="1"/>
    <n v="24"/>
    <n v="10.76"/>
    <n v="13"/>
    <n v="8.84"/>
    <n v="11"/>
    <n v="15.94"/>
    <x v="0"/>
  </r>
  <r>
    <x v="0"/>
    <s v="北安曇郡小谷村"/>
    <x v="67"/>
    <x v="2"/>
    <n v="4"/>
    <n v="1.79"/>
    <n v="2"/>
    <n v="1.36"/>
    <n v="2"/>
    <n v="2.9"/>
    <x v="0"/>
  </r>
  <r>
    <x v="0"/>
    <s v="北安曇郡小谷村"/>
    <x v="67"/>
    <x v="3"/>
    <n v="2"/>
    <n v="0.9"/>
    <n v="0"/>
    <n v="0"/>
    <n v="1"/>
    <n v="1.45"/>
    <x v="0"/>
  </r>
  <r>
    <x v="0"/>
    <s v="北安曇郡小谷村"/>
    <x v="67"/>
    <x v="4"/>
    <n v="0"/>
    <n v="0"/>
    <n v="0"/>
    <n v="0"/>
    <n v="0"/>
    <n v="0"/>
    <x v="0"/>
  </r>
  <r>
    <x v="0"/>
    <s v="北安曇郡小谷村"/>
    <x v="67"/>
    <x v="5"/>
    <n v="3"/>
    <n v="1.35"/>
    <n v="2"/>
    <n v="1.36"/>
    <n v="1"/>
    <n v="1.45"/>
    <x v="0"/>
  </r>
  <r>
    <x v="0"/>
    <s v="北安曇郡小谷村"/>
    <x v="67"/>
    <x v="6"/>
    <n v="28"/>
    <n v="12.56"/>
    <n v="14"/>
    <n v="9.52"/>
    <n v="13"/>
    <n v="18.84"/>
    <x v="6"/>
  </r>
  <r>
    <x v="0"/>
    <s v="北安曇郡小谷村"/>
    <x v="67"/>
    <x v="7"/>
    <n v="1"/>
    <n v="0.45"/>
    <n v="0"/>
    <n v="0"/>
    <n v="1"/>
    <n v="1.45"/>
    <x v="0"/>
  </r>
  <r>
    <x v="0"/>
    <s v="北安曇郡小谷村"/>
    <x v="67"/>
    <x v="8"/>
    <n v="5"/>
    <n v="2.2400000000000002"/>
    <n v="2"/>
    <n v="1.36"/>
    <n v="3"/>
    <n v="4.3499999999999996"/>
    <x v="0"/>
  </r>
  <r>
    <x v="0"/>
    <s v="北安曇郡小谷村"/>
    <x v="67"/>
    <x v="9"/>
    <n v="4"/>
    <n v="1.79"/>
    <n v="1"/>
    <n v="0.68"/>
    <n v="3"/>
    <n v="4.3499999999999996"/>
    <x v="0"/>
  </r>
  <r>
    <x v="0"/>
    <s v="北安曇郡小谷村"/>
    <x v="67"/>
    <x v="10"/>
    <n v="124"/>
    <n v="55.61"/>
    <n v="96"/>
    <n v="65.31"/>
    <n v="27"/>
    <n v="39.130000000000003"/>
    <x v="6"/>
  </r>
  <r>
    <x v="0"/>
    <s v="北安曇郡小谷村"/>
    <x v="67"/>
    <x v="11"/>
    <n v="14"/>
    <n v="6.28"/>
    <n v="10"/>
    <n v="6.8"/>
    <n v="4"/>
    <n v="5.8"/>
    <x v="0"/>
  </r>
  <r>
    <x v="0"/>
    <s v="北安曇郡小谷村"/>
    <x v="67"/>
    <x v="12"/>
    <n v="7"/>
    <n v="3.14"/>
    <n v="2"/>
    <n v="1.36"/>
    <n v="2"/>
    <n v="2.9"/>
    <x v="0"/>
  </r>
  <r>
    <x v="0"/>
    <s v="北安曇郡小谷村"/>
    <x v="67"/>
    <x v="13"/>
    <n v="2"/>
    <n v="0.9"/>
    <n v="2"/>
    <n v="1.36"/>
    <n v="0"/>
    <n v="0"/>
    <x v="0"/>
  </r>
  <r>
    <x v="0"/>
    <s v="北安曇郡小谷村"/>
    <x v="67"/>
    <x v="14"/>
    <n v="4"/>
    <n v="1.79"/>
    <n v="2"/>
    <n v="1.36"/>
    <n v="1"/>
    <n v="1.45"/>
    <x v="0"/>
  </r>
  <r>
    <x v="0"/>
    <s v="埴科郡坂城町"/>
    <x v="68"/>
    <x v="0"/>
    <n v="0"/>
    <n v="0"/>
    <n v="0"/>
    <n v="0"/>
    <n v="0"/>
    <n v="0"/>
    <x v="0"/>
  </r>
  <r>
    <x v="0"/>
    <s v="埴科郡坂城町"/>
    <x v="68"/>
    <x v="1"/>
    <n v="66"/>
    <n v="16.22"/>
    <n v="31"/>
    <n v="14.29"/>
    <n v="35"/>
    <n v="18.920000000000002"/>
    <x v="0"/>
  </r>
  <r>
    <x v="0"/>
    <s v="埴科郡坂城町"/>
    <x v="68"/>
    <x v="2"/>
    <n v="130"/>
    <n v="31.94"/>
    <n v="54"/>
    <n v="24.88"/>
    <n v="76"/>
    <n v="41.08"/>
    <x v="0"/>
  </r>
  <r>
    <x v="0"/>
    <s v="埴科郡坂城町"/>
    <x v="68"/>
    <x v="3"/>
    <n v="1"/>
    <n v="0.25"/>
    <n v="0"/>
    <n v="0"/>
    <n v="1"/>
    <n v="0.54"/>
    <x v="0"/>
  </r>
  <r>
    <x v="0"/>
    <s v="埴科郡坂城町"/>
    <x v="68"/>
    <x v="4"/>
    <n v="1"/>
    <n v="0.25"/>
    <n v="0"/>
    <n v="0"/>
    <n v="1"/>
    <n v="0.54"/>
    <x v="0"/>
  </r>
  <r>
    <x v="0"/>
    <s v="埴科郡坂城町"/>
    <x v="68"/>
    <x v="5"/>
    <n v="2"/>
    <n v="0.49"/>
    <n v="0"/>
    <n v="0"/>
    <n v="2"/>
    <n v="1.08"/>
    <x v="0"/>
  </r>
  <r>
    <x v="0"/>
    <s v="埴科郡坂城町"/>
    <x v="68"/>
    <x v="6"/>
    <n v="68"/>
    <n v="16.71"/>
    <n v="31"/>
    <n v="14.29"/>
    <n v="37"/>
    <n v="20"/>
    <x v="0"/>
  </r>
  <r>
    <x v="0"/>
    <s v="埴科郡坂城町"/>
    <x v="68"/>
    <x v="7"/>
    <n v="2"/>
    <n v="0.49"/>
    <n v="1"/>
    <n v="0.46"/>
    <n v="1"/>
    <n v="0.54"/>
    <x v="0"/>
  </r>
  <r>
    <x v="0"/>
    <s v="埴科郡坂城町"/>
    <x v="68"/>
    <x v="8"/>
    <n v="11"/>
    <n v="2.7"/>
    <n v="6"/>
    <n v="2.76"/>
    <n v="5"/>
    <n v="2.7"/>
    <x v="0"/>
  </r>
  <r>
    <x v="0"/>
    <s v="埴科郡坂城町"/>
    <x v="68"/>
    <x v="9"/>
    <n v="19"/>
    <n v="4.67"/>
    <n v="12"/>
    <n v="5.53"/>
    <n v="6"/>
    <n v="3.24"/>
    <x v="0"/>
  </r>
  <r>
    <x v="0"/>
    <s v="埴科郡坂城町"/>
    <x v="68"/>
    <x v="10"/>
    <n v="35"/>
    <n v="8.6"/>
    <n v="28"/>
    <n v="12.9"/>
    <n v="6"/>
    <n v="3.24"/>
    <x v="0"/>
  </r>
  <r>
    <x v="0"/>
    <s v="埴科郡坂城町"/>
    <x v="68"/>
    <x v="11"/>
    <n v="38"/>
    <n v="9.34"/>
    <n v="30"/>
    <n v="13.82"/>
    <n v="8"/>
    <n v="4.32"/>
    <x v="0"/>
  </r>
  <r>
    <x v="0"/>
    <s v="埴科郡坂城町"/>
    <x v="68"/>
    <x v="12"/>
    <n v="12"/>
    <n v="2.95"/>
    <n v="10"/>
    <n v="4.6100000000000003"/>
    <n v="1"/>
    <n v="0.54"/>
    <x v="0"/>
  </r>
  <r>
    <x v="0"/>
    <s v="埴科郡坂城町"/>
    <x v="68"/>
    <x v="13"/>
    <n v="14"/>
    <n v="3.44"/>
    <n v="11"/>
    <n v="5.07"/>
    <n v="1"/>
    <n v="0.54"/>
    <x v="0"/>
  </r>
  <r>
    <x v="0"/>
    <s v="埴科郡坂城町"/>
    <x v="68"/>
    <x v="14"/>
    <n v="8"/>
    <n v="1.97"/>
    <n v="3"/>
    <n v="1.38"/>
    <n v="5"/>
    <n v="2.7"/>
    <x v="0"/>
  </r>
  <r>
    <x v="0"/>
    <s v="上高井郡小布施町"/>
    <x v="69"/>
    <x v="0"/>
    <n v="1"/>
    <n v="0.32"/>
    <n v="0"/>
    <n v="0"/>
    <n v="1"/>
    <n v="0.86"/>
    <x v="0"/>
  </r>
  <r>
    <x v="0"/>
    <s v="上高井郡小布施町"/>
    <x v="69"/>
    <x v="1"/>
    <n v="56"/>
    <n v="18.12"/>
    <n v="38"/>
    <n v="20.32"/>
    <n v="18"/>
    <n v="15.52"/>
    <x v="0"/>
  </r>
  <r>
    <x v="0"/>
    <s v="上高井郡小布施町"/>
    <x v="69"/>
    <x v="2"/>
    <n v="43"/>
    <n v="13.92"/>
    <n v="19"/>
    <n v="10.16"/>
    <n v="24"/>
    <n v="20.69"/>
    <x v="0"/>
  </r>
  <r>
    <x v="0"/>
    <s v="上高井郡小布施町"/>
    <x v="69"/>
    <x v="3"/>
    <n v="2"/>
    <n v="0.65"/>
    <n v="0"/>
    <n v="0"/>
    <n v="2"/>
    <n v="1.72"/>
    <x v="0"/>
  </r>
  <r>
    <x v="0"/>
    <s v="上高井郡小布施町"/>
    <x v="69"/>
    <x v="4"/>
    <n v="4"/>
    <n v="1.29"/>
    <n v="2"/>
    <n v="1.07"/>
    <n v="2"/>
    <n v="1.72"/>
    <x v="0"/>
  </r>
  <r>
    <x v="0"/>
    <s v="上高井郡小布施町"/>
    <x v="69"/>
    <x v="5"/>
    <n v="1"/>
    <n v="0.32"/>
    <n v="0"/>
    <n v="0"/>
    <n v="1"/>
    <n v="0.86"/>
    <x v="0"/>
  </r>
  <r>
    <x v="0"/>
    <s v="上高井郡小布施町"/>
    <x v="69"/>
    <x v="6"/>
    <n v="79"/>
    <n v="25.57"/>
    <n v="40"/>
    <n v="21.39"/>
    <n v="39"/>
    <n v="33.619999999999997"/>
    <x v="0"/>
  </r>
  <r>
    <x v="0"/>
    <s v="上高井郡小布施町"/>
    <x v="69"/>
    <x v="7"/>
    <n v="0"/>
    <n v="0"/>
    <n v="0"/>
    <n v="0"/>
    <n v="0"/>
    <n v="0"/>
    <x v="0"/>
  </r>
  <r>
    <x v="0"/>
    <s v="上高井郡小布施町"/>
    <x v="69"/>
    <x v="8"/>
    <n v="12"/>
    <n v="3.88"/>
    <n v="6"/>
    <n v="3.21"/>
    <n v="6"/>
    <n v="5.17"/>
    <x v="0"/>
  </r>
  <r>
    <x v="0"/>
    <s v="上高井郡小布施町"/>
    <x v="69"/>
    <x v="9"/>
    <n v="12"/>
    <n v="3.88"/>
    <n v="8"/>
    <n v="4.28"/>
    <n v="4"/>
    <n v="3.45"/>
    <x v="0"/>
  </r>
  <r>
    <x v="0"/>
    <s v="上高井郡小布施町"/>
    <x v="69"/>
    <x v="10"/>
    <n v="37"/>
    <n v="11.97"/>
    <n v="32"/>
    <n v="17.11"/>
    <n v="5"/>
    <n v="4.3099999999999996"/>
    <x v="0"/>
  </r>
  <r>
    <x v="0"/>
    <s v="上高井郡小布施町"/>
    <x v="69"/>
    <x v="11"/>
    <n v="31"/>
    <n v="10.029999999999999"/>
    <n v="26"/>
    <n v="13.9"/>
    <n v="5"/>
    <n v="4.3099999999999996"/>
    <x v="0"/>
  </r>
  <r>
    <x v="0"/>
    <s v="上高井郡小布施町"/>
    <x v="69"/>
    <x v="12"/>
    <n v="9"/>
    <n v="2.91"/>
    <n v="4"/>
    <n v="2.14"/>
    <n v="2"/>
    <n v="1.72"/>
    <x v="0"/>
  </r>
  <r>
    <x v="0"/>
    <s v="上高井郡小布施町"/>
    <x v="69"/>
    <x v="13"/>
    <n v="16"/>
    <n v="5.18"/>
    <n v="10"/>
    <n v="5.35"/>
    <n v="5"/>
    <n v="4.3099999999999996"/>
    <x v="0"/>
  </r>
  <r>
    <x v="0"/>
    <s v="上高井郡小布施町"/>
    <x v="69"/>
    <x v="14"/>
    <n v="6"/>
    <n v="1.94"/>
    <n v="2"/>
    <n v="1.07"/>
    <n v="2"/>
    <n v="1.72"/>
    <x v="2"/>
  </r>
  <r>
    <x v="0"/>
    <s v="上高井郡高山村"/>
    <x v="70"/>
    <x v="0"/>
    <n v="0"/>
    <n v="0"/>
    <n v="0"/>
    <n v="0"/>
    <n v="0"/>
    <n v="0"/>
    <x v="0"/>
  </r>
  <r>
    <x v="0"/>
    <s v="上高井郡高山村"/>
    <x v="70"/>
    <x v="1"/>
    <n v="54"/>
    <n v="27.69"/>
    <n v="31"/>
    <n v="28.7"/>
    <n v="23"/>
    <n v="29.11"/>
    <x v="0"/>
  </r>
  <r>
    <x v="0"/>
    <s v="上高井郡高山村"/>
    <x v="70"/>
    <x v="2"/>
    <n v="49"/>
    <n v="25.13"/>
    <n v="24"/>
    <n v="22.22"/>
    <n v="24"/>
    <n v="30.38"/>
    <x v="0"/>
  </r>
  <r>
    <x v="0"/>
    <s v="上高井郡高山村"/>
    <x v="70"/>
    <x v="3"/>
    <n v="1"/>
    <n v="0.51"/>
    <n v="0"/>
    <n v="0"/>
    <n v="0"/>
    <n v="0"/>
    <x v="0"/>
  </r>
  <r>
    <x v="0"/>
    <s v="上高井郡高山村"/>
    <x v="70"/>
    <x v="4"/>
    <n v="2"/>
    <n v="1.03"/>
    <n v="1"/>
    <n v="0.93"/>
    <n v="1"/>
    <n v="1.27"/>
    <x v="0"/>
  </r>
  <r>
    <x v="0"/>
    <s v="上高井郡高山村"/>
    <x v="70"/>
    <x v="5"/>
    <n v="3"/>
    <n v="1.54"/>
    <n v="1"/>
    <n v="0.93"/>
    <n v="1"/>
    <n v="1.27"/>
    <x v="6"/>
  </r>
  <r>
    <x v="0"/>
    <s v="上高井郡高山村"/>
    <x v="70"/>
    <x v="6"/>
    <n v="28"/>
    <n v="14.36"/>
    <n v="13"/>
    <n v="12.04"/>
    <n v="13"/>
    <n v="16.46"/>
    <x v="2"/>
  </r>
  <r>
    <x v="0"/>
    <s v="上高井郡高山村"/>
    <x v="70"/>
    <x v="7"/>
    <n v="1"/>
    <n v="0.51"/>
    <n v="0"/>
    <n v="0"/>
    <n v="1"/>
    <n v="1.27"/>
    <x v="0"/>
  </r>
  <r>
    <x v="0"/>
    <s v="上高井郡高山村"/>
    <x v="70"/>
    <x v="8"/>
    <n v="1"/>
    <n v="0.51"/>
    <n v="0"/>
    <n v="0"/>
    <n v="1"/>
    <n v="1.27"/>
    <x v="0"/>
  </r>
  <r>
    <x v="0"/>
    <s v="上高井郡高山村"/>
    <x v="70"/>
    <x v="9"/>
    <n v="5"/>
    <n v="2.56"/>
    <n v="4"/>
    <n v="3.7"/>
    <n v="1"/>
    <n v="1.27"/>
    <x v="0"/>
  </r>
  <r>
    <x v="0"/>
    <s v="上高井郡高山村"/>
    <x v="70"/>
    <x v="10"/>
    <n v="22"/>
    <n v="11.28"/>
    <n v="12"/>
    <n v="11.11"/>
    <n v="10"/>
    <n v="12.66"/>
    <x v="0"/>
  </r>
  <r>
    <x v="0"/>
    <s v="上高井郡高山村"/>
    <x v="70"/>
    <x v="11"/>
    <n v="15"/>
    <n v="7.69"/>
    <n v="14"/>
    <n v="12.96"/>
    <n v="1"/>
    <n v="1.27"/>
    <x v="0"/>
  </r>
  <r>
    <x v="0"/>
    <s v="上高井郡高山村"/>
    <x v="70"/>
    <x v="12"/>
    <n v="6"/>
    <n v="3.08"/>
    <n v="5"/>
    <n v="4.63"/>
    <n v="0"/>
    <n v="0"/>
    <x v="0"/>
  </r>
  <r>
    <x v="0"/>
    <s v="上高井郡高山村"/>
    <x v="70"/>
    <x v="13"/>
    <n v="5"/>
    <n v="2.56"/>
    <n v="2"/>
    <n v="1.85"/>
    <n v="1"/>
    <n v="1.27"/>
    <x v="0"/>
  </r>
  <r>
    <x v="0"/>
    <s v="上高井郡高山村"/>
    <x v="70"/>
    <x v="14"/>
    <n v="3"/>
    <n v="1.54"/>
    <n v="1"/>
    <n v="0.93"/>
    <n v="2"/>
    <n v="2.5299999999999998"/>
    <x v="0"/>
  </r>
  <r>
    <x v="0"/>
    <s v="下高井郡山ノ内町"/>
    <x v="71"/>
    <x v="0"/>
    <n v="0"/>
    <n v="0"/>
    <n v="0"/>
    <n v="0"/>
    <n v="0"/>
    <n v="0"/>
    <x v="0"/>
  </r>
  <r>
    <x v="0"/>
    <s v="下高井郡山ノ内町"/>
    <x v="71"/>
    <x v="1"/>
    <n v="75"/>
    <n v="16.89"/>
    <n v="37"/>
    <n v="16.89"/>
    <n v="38"/>
    <n v="18.010000000000002"/>
    <x v="0"/>
  </r>
  <r>
    <x v="0"/>
    <s v="下高井郡山ノ内町"/>
    <x v="71"/>
    <x v="2"/>
    <n v="14"/>
    <n v="3.15"/>
    <n v="9"/>
    <n v="4.1100000000000003"/>
    <n v="5"/>
    <n v="2.37"/>
    <x v="0"/>
  </r>
  <r>
    <x v="0"/>
    <s v="下高井郡山ノ内町"/>
    <x v="71"/>
    <x v="3"/>
    <n v="3"/>
    <n v="0.68"/>
    <n v="0"/>
    <n v="0"/>
    <n v="3"/>
    <n v="1.42"/>
    <x v="0"/>
  </r>
  <r>
    <x v="0"/>
    <s v="下高井郡山ノ内町"/>
    <x v="71"/>
    <x v="4"/>
    <n v="0"/>
    <n v="0"/>
    <n v="0"/>
    <n v="0"/>
    <n v="0"/>
    <n v="0"/>
    <x v="0"/>
  </r>
  <r>
    <x v="0"/>
    <s v="下高井郡山ノ内町"/>
    <x v="71"/>
    <x v="5"/>
    <n v="4"/>
    <n v="0.9"/>
    <n v="0"/>
    <n v="0"/>
    <n v="4"/>
    <n v="1.9"/>
    <x v="0"/>
  </r>
  <r>
    <x v="0"/>
    <s v="下高井郡山ノ内町"/>
    <x v="71"/>
    <x v="6"/>
    <n v="86"/>
    <n v="19.37"/>
    <n v="42"/>
    <n v="19.18"/>
    <n v="44"/>
    <n v="20.85"/>
    <x v="0"/>
  </r>
  <r>
    <x v="0"/>
    <s v="下高井郡山ノ内町"/>
    <x v="71"/>
    <x v="7"/>
    <n v="0"/>
    <n v="0"/>
    <n v="0"/>
    <n v="0"/>
    <n v="0"/>
    <n v="0"/>
    <x v="0"/>
  </r>
  <r>
    <x v="0"/>
    <s v="下高井郡山ノ内町"/>
    <x v="71"/>
    <x v="8"/>
    <n v="21"/>
    <n v="4.7300000000000004"/>
    <n v="11"/>
    <n v="5.0199999999999996"/>
    <n v="9"/>
    <n v="4.2699999999999996"/>
    <x v="6"/>
  </r>
  <r>
    <x v="0"/>
    <s v="下高井郡山ノ内町"/>
    <x v="71"/>
    <x v="9"/>
    <n v="7"/>
    <n v="1.58"/>
    <n v="5"/>
    <n v="2.2799999999999998"/>
    <n v="2"/>
    <n v="0.95"/>
    <x v="0"/>
  </r>
  <r>
    <x v="0"/>
    <s v="下高井郡山ノ内町"/>
    <x v="71"/>
    <x v="10"/>
    <n v="153"/>
    <n v="34.46"/>
    <n v="70"/>
    <n v="31.96"/>
    <n v="82"/>
    <n v="38.86"/>
    <x v="6"/>
  </r>
  <r>
    <x v="0"/>
    <s v="下高井郡山ノ内町"/>
    <x v="71"/>
    <x v="11"/>
    <n v="48"/>
    <n v="10.81"/>
    <n v="34"/>
    <n v="15.53"/>
    <n v="12"/>
    <n v="5.69"/>
    <x v="6"/>
  </r>
  <r>
    <x v="0"/>
    <s v="下高井郡山ノ内町"/>
    <x v="71"/>
    <x v="12"/>
    <n v="11"/>
    <n v="2.48"/>
    <n v="2"/>
    <n v="0.91"/>
    <n v="3"/>
    <n v="1.42"/>
    <x v="0"/>
  </r>
  <r>
    <x v="0"/>
    <s v="下高井郡山ノ内町"/>
    <x v="71"/>
    <x v="13"/>
    <n v="9"/>
    <n v="2.0299999999999998"/>
    <n v="5"/>
    <n v="2.2799999999999998"/>
    <n v="2"/>
    <n v="0.95"/>
    <x v="0"/>
  </r>
  <r>
    <x v="0"/>
    <s v="下高井郡山ノ内町"/>
    <x v="71"/>
    <x v="14"/>
    <n v="13"/>
    <n v="2.93"/>
    <n v="4"/>
    <n v="1.83"/>
    <n v="7"/>
    <n v="3.32"/>
    <x v="6"/>
  </r>
  <r>
    <x v="0"/>
    <s v="下高井郡木島平村"/>
    <x v="72"/>
    <x v="0"/>
    <n v="0"/>
    <n v="0"/>
    <n v="0"/>
    <n v="0"/>
    <n v="0"/>
    <n v="0"/>
    <x v="0"/>
  </r>
  <r>
    <x v="0"/>
    <s v="下高井郡木島平村"/>
    <x v="72"/>
    <x v="1"/>
    <n v="32"/>
    <n v="23.88"/>
    <n v="11"/>
    <n v="14.47"/>
    <n v="21"/>
    <n v="39.619999999999997"/>
    <x v="0"/>
  </r>
  <r>
    <x v="0"/>
    <s v="下高井郡木島平村"/>
    <x v="72"/>
    <x v="2"/>
    <n v="6"/>
    <n v="4.4800000000000004"/>
    <n v="0"/>
    <n v="0"/>
    <n v="6"/>
    <n v="11.32"/>
    <x v="0"/>
  </r>
  <r>
    <x v="0"/>
    <s v="下高井郡木島平村"/>
    <x v="72"/>
    <x v="3"/>
    <n v="2"/>
    <n v="1.49"/>
    <n v="0"/>
    <n v="0"/>
    <n v="0"/>
    <n v="0"/>
    <x v="0"/>
  </r>
  <r>
    <x v="0"/>
    <s v="下高井郡木島平村"/>
    <x v="72"/>
    <x v="4"/>
    <n v="0"/>
    <n v="0"/>
    <n v="0"/>
    <n v="0"/>
    <n v="0"/>
    <n v="0"/>
    <x v="0"/>
  </r>
  <r>
    <x v="0"/>
    <s v="下高井郡木島平村"/>
    <x v="72"/>
    <x v="5"/>
    <n v="1"/>
    <n v="0.75"/>
    <n v="0"/>
    <n v="0"/>
    <n v="1"/>
    <n v="1.89"/>
    <x v="0"/>
  </r>
  <r>
    <x v="0"/>
    <s v="下高井郡木島平村"/>
    <x v="72"/>
    <x v="6"/>
    <n v="35"/>
    <n v="26.12"/>
    <n v="19"/>
    <n v="25"/>
    <n v="14"/>
    <n v="26.42"/>
    <x v="6"/>
  </r>
  <r>
    <x v="0"/>
    <s v="下高井郡木島平村"/>
    <x v="72"/>
    <x v="7"/>
    <n v="0"/>
    <n v="0"/>
    <n v="0"/>
    <n v="0"/>
    <n v="0"/>
    <n v="0"/>
    <x v="0"/>
  </r>
  <r>
    <x v="0"/>
    <s v="下高井郡木島平村"/>
    <x v="72"/>
    <x v="8"/>
    <n v="3"/>
    <n v="2.2400000000000002"/>
    <n v="1"/>
    <n v="1.32"/>
    <n v="2"/>
    <n v="3.77"/>
    <x v="0"/>
  </r>
  <r>
    <x v="0"/>
    <s v="下高井郡木島平村"/>
    <x v="72"/>
    <x v="9"/>
    <n v="4"/>
    <n v="2.99"/>
    <n v="3"/>
    <n v="3.95"/>
    <n v="1"/>
    <n v="1.89"/>
    <x v="0"/>
  </r>
  <r>
    <x v="0"/>
    <s v="下高井郡木島平村"/>
    <x v="72"/>
    <x v="10"/>
    <n v="35"/>
    <n v="26.12"/>
    <n v="29"/>
    <n v="38.159999999999997"/>
    <n v="6"/>
    <n v="11.32"/>
    <x v="0"/>
  </r>
  <r>
    <x v="0"/>
    <s v="下高井郡木島平村"/>
    <x v="72"/>
    <x v="11"/>
    <n v="11"/>
    <n v="8.2100000000000009"/>
    <n v="11"/>
    <n v="14.47"/>
    <n v="0"/>
    <n v="0"/>
    <x v="0"/>
  </r>
  <r>
    <x v="0"/>
    <s v="下高井郡木島平村"/>
    <x v="72"/>
    <x v="12"/>
    <n v="3"/>
    <n v="2.2400000000000002"/>
    <n v="1"/>
    <n v="1.32"/>
    <n v="1"/>
    <n v="1.89"/>
    <x v="0"/>
  </r>
  <r>
    <x v="0"/>
    <s v="下高井郡木島平村"/>
    <x v="72"/>
    <x v="13"/>
    <n v="1"/>
    <n v="0.75"/>
    <n v="1"/>
    <n v="1.32"/>
    <n v="0"/>
    <n v="0"/>
    <x v="0"/>
  </r>
  <r>
    <x v="0"/>
    <s v="下高井郡木島平村"/>
    <x v="72"/>
    <x v="14"/>
    <n v="1"/>
    <n v="0.75"/>
    <n v="0"/>
    <n v="0"/>
    <n v="1"/>
    <n v="1.89"/>
    <x v="0"/>
  </r>
  <r>
    <x v="0"/>
    <s v="下高井郡野沢温泉村"/>
    <x v="73"/>
    <x v="0"/>
    <n v="0"/>
    <n v="0"/>
    <n v="0"/>
    <n v="0"/>
    <n v="0"/>
    <n v="0"/>
    <x v="0"/>
  </r>
  <r>
    <x v="0"/>
    <s v="下高井郡野沢温泉村"/>
    <x v="73"/>
    <x v="1"/>
    <n v="21"/>
    <n v="6.52"/>
    <n v="9"/>
    <n v="4.07"/>
    <n v="12"/>
    <n v="13.19"/>
    <x v="0"/>
  </r>
  <r>
    <x v="0"/>
    <s v="下高井郡野沢温泉村"/>
    <x v="73"/>
    <x v="2"/>
    <n v="9"/>
    <n v="2.8"/>
    <n v="3"/>
    <n v="1.36"/>
    <n v="5"/>
    <n v="5.49"/>
    <x v="6"/>
  </r>
  <r>
    <x v="0"/>
    <s v="下高井郡野沢温泉村"/>
    <x v="73"/>
    <x v="3"/>
    <n v="2"/>
    <n v="0.62"/>
    <n v="0"/>
    <n v="0"/>
    <n v="0"/>
    <n v="0"/>
    <x v="0"/>
  </r>
  <r>
    <x v="0"/>
    <s v="下高井郡野沢温泉村"/>
    <x v="73"/>
    <x v="4"/>
    <n v="1"/>
    <n v="0.31"/>
    <n v="0"/>
    <n v="0"/>
    <n v="0"/>
    <n v="0"/>
    <x v="0"/>
  </r>
  <r>
    <x v="0"/>
    <s v="下高井郡野沢温泉村"/>
    <x v="73"/>
    <x v="5"/>
    <n v="2"/>
    <n v="0.62"/>
    <n v="0"/>
    <n v="0"/>
    <n v="2"/>
    <n v="2.2000000000000002"/>
    <x v="0"/>
  </r>
  <r>
    <x v="0"/>
    <s v="下高井郡野沢温泉村"/>
    <x v="73"/>
    <x v="6"/>
    <n v="46"/>
    <n v="14.29"/>
    <n v="18"/>
    <n v="8.14"/>
    <n v="27"/>
    <n v="29.67"/>
    <x v="6"/>
  </r>
  <r>
    <x v="0"/>
    <s v="下高井郡野沢温泉村"/>
    <x v="73"/>
    <x v="7"/>
    <n v="0"/>
    <n v="0"/>
    <n v="0"/>
    <n v="0"/>
    <n v="0"/>
    <n v="0"/>
    <x v="0"/>
  </r>
  <r>
    <x v="0"/>
    <s v="下高井郡野沢温泉村"/>
    <x v="73"/>
    <x v="8"/>
    <n v="7"/>
    <n v="2.17"/>
    <n v="1"/>
    <n v="0.45"/>
    <n v="5"/>
    <n v="5.49"/>
    <x v="0"/>
  </r>
  <r>
    <x v="0"/>
    <s v="下高井郡野沢温泉村"/>
    <x v="73"/>
    <x v="9"/>
    <n v="3"/>
    <n v="0.93"/>
    <n v="2"/>
    <n v="0.9"/>
    <n v="1"/>
    <n v="1.1000000000000001"/>
    <x v="0"/>
  </r>
  <r>
    <x v="0"/>
    <s v="下高井郡野沢温泉村"/>
    <x v="73"/>
    <x v="10"/>
    <n v="206"/>
    <n v="63.98"/>
    <n v="173"/>
    <n v="78.28"/>
    <n v="32"/>
    <n v="35.159999999999997"/>
    <x v="0"/>
  </r>
  <r>
    <x v="0"/>
    <s v="下高井郡野沢温泉村"/>
    <x v="73"/>
    <x v="11"/>
    <n v="12"/>
    <n v="3.73"/>
    <n v="11"/>
    <n v="4.9800000000000004"/>
    <n v="1"/>
    <n v="1.1000000000000001"/>
    <x v="0"/>
  </r>
  <r>
    <x v="0"/>
    <s v="下高井郡野沢温泉村"/>
    <x v="73"/>
    <x v="12"/>
    <n v="6"/>
    <n v="1.86"/>
    <n v="2"/>
    <n v="0.9"/>
    <n v="2"/>
    <n v="2.2000000000000002"/>
    <x v="0"/>
  </r>
  <r>
    <x v="0"/>
    <s v="下高井郡野沢温泉村"/>
    <x v="73"/>
    <x v="13"/>
    <n v="4"/>
    <n v="1.24"/>
    <n v="1"/>
    <n v="0.45"/>
    <n v="2"/>
    <n v="2.2000000000000002"/>
    <x v="0"/>
  </r>
  <r>
    <x v="0"/>
    <s v="下高井郡野沢温泉村"/>
    <x v="73"/>
    <x v="14"/>
    <n v="3"/>
    <n v="0.93"/>
    <n v="1"/>
    <n v="0.45"/>
    <n v="2"/>
    <n v="2.2000000000000002"/>
    <x v="0"/>
  </r>
  <r>
    <x v="0"/>
    <s v="上水内郡信濃町"/>
    <x v="74"/>
    <x v="0"/>
    <n v="0"/>
    <n v="0"/>
    <n v="0"/>
    <n v="0"/>
    <n v="0"/>
    <n v="0"/>
    <x v="0"/>
  </r>
  <r>
    <x v="0"/>
    <s v="上水内郡信濃町"/>
    <x v="74"/>
    <x v="1"/>
    <n v="49"/>
    <n v="17.95"/>
    <n v="19"/>
    <n v="11.88"/>
    <n v="30"/>
    <n v="28.3"/>
    <x v="0"/>
  </r>
  <r>
    <x v="0"/>
    <s v="上水内郡信濃町"/>
    <x v="74"/>
    <x v="2"/>
    <n v="25"/>
    <n v="9.16"/>
    <n v="10"/>
    <n v="6.25"/>
    <n v="15"/>
    <n v="14.15"/>
    <x v="0"/>
  </r>
  <r>
    <x v="0"/>
    <s v="上水内郡信濃町"/>
    <x v="74"/>
    <x v="3"/>
    <n v="0"/>
    <n v="0"/>
    <n v="0"/>
    <n v="0"/>
    <n v="0"/>
    <n v="0"/>
    <x v="0"/>
  </r>
  <r>
    <x v="0"/>
    <s v="上水内郡信濃町"/>
    <x v="74"/>
    <x v="4"/>
    <n v="2"/>
    <n v="0.73"/>
    <n v="2"/>
    <n v="1.25"/>
    <n v="0"/>
    <n v="0"/>
    <x v="0"/>
  </r>
  <r>
    <x v="0"/>
    <s v="上水内郡信濃町"/>
    <x v="74"/>
    <x v="5"/>
    <n v="2"/>
    <n v="0.73"/>
    <n v="0"/>
    <n v="0"/>
    <n v="1"/>
    <n v="0.94"/>
    <x v="0"/>
  </r>
  <r>
    <x v="0"/>
    <s v="上水内郡信濃町"/>
    <x v="74"/>
    <x v="6"/>
    <n v="55"/>
    <n v="20.149999999999999"/>
    <n v="35"/>
    <n v="21.88"/>
    <n v="20"/>
    <n v="18.87"/>
    <x v="0"/>
  </r>
  <r>
    <x v="0"/>
    <s v="上水内郡信濃町"/>
    <x v="74"/>
    <x v="7"/>
    <n v="0"/>
    <n v="0"/>
    <n v="0"/>
    <n v="0"/>
    <n v="0"/>
    <n v="0"/>
    <x v="0"/>
  </r>
  <r>
    <x v="0"/>
    <s v="上水内郡信濃町"/>
    <x v="74"/>
    <x v="8"/>
    <n v="3"/>
    <n v="1.1000000000000001"/>
    <n v="0"/>
    <n v="0"/>
    <n v="3"/>
    <n v="2.83"/>
    <x v="0"/>
  </r>
  <r>
    <x v="0"/>
    <s v="上水内郡信濃町"/>
    <x v="74"/>
    <x v="9"/>
    <n v="14"/>
    <n v="5.13"/>
    <n v="7"/>
    <n v="4.38"/>
    <n v="7"/>
    <n v="6.6"/>
    <x v="0"/>
  </r>
  <r>
    <x v="0"/>
    <s v="上水内郡信濃町"/>
    <x v="74"/>
    <x v="10"/>
    <n v="77"/>
    <n v="28.21"/>
    <n v="60"/>
    <n v="37.5"/>
    <n v="17"/>
    <n v="16.04"/>
    <x v="0"/>
  </r>
  <r>
    <x v="0"/>
    <s v="上水内郡信濃町"/>
    <x v="74"/>
    <x v="11"/>
    <n v="23"/>
    <n v="8.42"/>
    <n v="16"/>
    <n v="10"/>
    <n v="7"/>
    <n v="6.6"/>
    <x v="0"/>
  </r>
  <r>
    <x v="0"/>
    <s v="上水内郡信濃町"/>
    <x v="74"/>
    <x v="12"/>
    <n v="9"/>
    <n v="3.3"/>
    <n v="4"/>
    <n v="2.5"/>
    <n v="2"/>
    <n v="1.89"/>
    <x v="0"/>
  </r>
  <r>
    <x v="0"/>
    <s v="上水内郡信濃町"/>
    <x v="74"/>
    <x v="13"/>
    <n v="8"/>
    <n v="2.93"/>
    <n v="4"/>
    <n v="2.5"/>
    <n v="2"/>
    <n v="1.89"/>
    <x v="0"/>
  </r>
  <r>
    <x v="0"/>
    <s v="上水内郡信濃町"/>
    <x v="74"/>
    <x v="14"/>
    <n v="6"/>
    <n v="2.2000000000000002"/>
    <n v="3"/>
    <n v="1.88"/>
    <n v="2"/>
    <n v="1.89"/>
    <x v="0"/>
  </r>
  <r>
    <x v="0"/>
    <s v="上水内郡小川村"/>
    <x v="75"/>
    <x v="0"/>
    <n v="0"/>
    <n v="0"/>
    <n v="0"/>
    <n v="0"/>
    <n v="0"/>
    <n v="0"/>
    <x v="0"/>
  </r>
  <r>
    <x v="0"/>
    <s v="上水内郡小川村"/>
    <x v="75"/>
    <x v="1"/>
    <n v="25"/>
    <n v="27.78"/>
    <n v="13"/>
    <n v="23.21"/>
    <n v="12"/>
    <n v="42.86"/>
    <x v="0"/>
  </r>
  <r>
    <x v="0"/>
    <s v="上水内郡小川村"/>
    <x v="75"/>
    <x v="2"/>
    <n v="7"/>
    <n v="7.78"/>
    <n v="3"/>
    <n v="5.36"/>
    <n v="4"/>
    <n v="14.29"/>
    <x v="0"/>
  </r>
  <r>
    <x v="0"/>
    <s v="上水内郡小川村"/>
    <x v="75"/>
    <x v="3"/>
    <n v="1"/>
    <n v="1.1100000000000001"/>
    <n v="0"/>
    <n v="0"/>
    <n v="0"/>
    <n v="0"/>
    <x v="0"/>
  </r>
  <r>
    <x v="0"/>
    <s v="上水内郡小川村"/>
    <x v="75"/>
    <x v="4"/>
    <n v="0"/>
    <n v="0"/>
    <n v="0"/>
    <n v="0"/>
    <n v="0"/>
    <n v="0"/>
    <x v="0"/>
  </r>
  <r>
    <x v="0"/>
    <s v="上水内郡小川村"/>
    <x v="75"/>
    <x v="5"/>
    <n v="1"/>
    <n v="1.1100000000000001"/>
    <n v="1"/>
    <n v="1.79"/>
    <n v="0"/>
    <n v="0"/>
    <x v="0"/>
  </r>
  <r>
    <x v="0"/>
    <s v="上水内郡小川村"/>
    <x v="75"/>
    <x v="6"/>
    <n v="27"/>
    <n v="30"/>
    <n v="18"/>
    <n v="32.14"/>
    <n v="9"/>
    <n v="32.14"/>
    <x v="0"/>
  </r>
  <r>
    <x v="0"/>
    <s v="上水内郡小川村"/>
    <x v="75"/>
    <x v="7"/>
    <n v="0"/>
    <n v="0"/>
    <n v="0"/>
    <n v="0"/>
    <n v="0"/>
    <n v="0"/>
    <x v="0"/>
  </r>
  <r>
    <x v="0"/>
    <s v="上水内郡小川村"/>
    <x v="75"/>
    <x v="8"/>
    <n v="2"/>
    <n v="2.2200000000000002"/>
    <n v="0"/>
    <n v="0"/>
    <n v="2"/>
    <n v="7.14"/>
    <x v="0"/>
  </r>
  <r>
    <x v="0"/>
    <s v="上水内郡小川村"/>
    <x v="75"/>
    <x v="9"/>
    <n v="3"/>
    <n v="3.33"/>
    <n v="3"/>
    <n v="5.36"/>
    <n v="0"/>
    <n v="0"/>
    <x v="0"/>
  </r>
  <r>
    <x v="0"/>
    <s v="上水内郡小川村"/>
    <x v="75"/>
    <x v="10"/>
    <n v="8"/>
    <n v="8.89"/>
    <n v="6"/>
    <n v="10.71"/>
    <n v="1"/>
    <n v="3.57"/>
    <x v="0"/>
  </r>
  <r>
    <x v="0"/>
    <s v="上水内郡小川村"/>
    <x v="75"/>
    <x v="11"/>
    <n v="8"/>
    <n v="8.89"/>
    <n v="8"/>
    <n v="14.29"/>
    <n v="0"/>
    <n v="0"/>
    <x v="0"/>
  </r>
  <r>
    <x v="0"/>
    <s v="上水内郡小川村"/>
    <x v="75"/>
    <x v="12"/>
    <n v="1"/>
    <n v="1.1100000000000001"/>
    <n v="0"/>
    <n v="0"/>
    <n v="0"/>
    <n v="0"/>
    <x v="0"/>
  </r>
  <r>
    <x v="0"/>
    <s v="上水内郡小川村"/>
    <x v="75"/>
    <x v="13"/>
    <n v="5"/>
    <n v="5.56"/>
    <n v="2"/>
    <n v="3.57"/>
    <n v="0"/>
    <n v="0"/>
    <x v="0"/>
  </r>
  <r>
    <x v="0"/>
    <s v="上水内郡小川村"/>
    <x v="75"/>
    <x v="14"/>
    <n v="2"/>
    <n v="2.2200000000000002"/>
    <n v="2"/>
    <n v="3.57"/>
    <n v="0"/>
    <n v="0"/>
    <x v="0"/>
  </r>
  <r>
    <x v="0"/>
    <s v="上水内郡飯綱町"/>
    <x v="76"/>
    <x v="0"/>
    <n v="0"/>
    <n v="0"/>
    <n v="0"/>
    <n v="0"/>
    <n v="0"/>
    <n v="0"/>
    <x v="0"/>
  </r>
  <r>
    <x v="0"/>
    <s v="上水内郡飯綱町"/>
    <x v="76"/>
    <x v="1"/>
    <n v="58"/>
    <n v="25.11"/>
    <n v="31"/>
    <n v="22.79"/>
    <n v="27"/>
    <n v="31.03"/>
    <x v="0"/>
  </r>
  <r>
    <x v="0"/>
    <s v="上水内郡飯綱町"/>
    <x v="76"/>
    <x v="2"/>
    <n v="22"/>
    <n v="9.52"/>
    <n v="12"/>
    <n v="8.82"/>
    <n v="10"/>
    <n v="11.49"/>
    <x v="0"/>
  </r>
  <r>
    <x v="0"/>
    <s v="上水内郡飯綱町"/>
    <x v="76"/>
    <x v="3"/>
    <n v="2"/>
    <n v="0.87"/>
    <n v="0"/>
    <n v="0"/>
    <n v="0"/>
    <n v="0"/>
    <x v="0"/>
  </r>
  <r>
    <x v="0"/>
    <s v="上水内郡飯綱町"/>
    <x v="76"/>
    <x v="4"/>
    <n v="2"/>
    <n v="0.87"/>
    <n v="0"/>
    <n v="0"/>
    <n v="2"/>
    <n v="2.2999999999999998"/>
    <x v="0"/>
  </r>
  <r>
    <x v="0"/>
    <s v="上水内郡飯綱町"/>
    <x v="76"/>
    <x v="5"/>
    <n v="3"/>
    <n v="1.3"/>
    <n v="1"/>
    <n v="0.74"/>
    <n v="2"/>
    <n v="2.2999999999999998"/>
    <x v="0"/>
  </r>
  <r>
    <x v="0"/>
    <s v="上水内郡飯綱町"/>
    <x v="76"/>
    <x v="6"/>
    <n v="47"/>
    <n v="20.350000000000001"/>
    <n v="25"/>
    <n v="18.38"/>
    <n v="22"/>
    <n v="25.29"/>
    <x v="0"/>
  </r>
  <r>
    <x v="0"/>
    <s v="上水内郡飯綱町"/>
    <x v="76"/>
    <x v="7"/>
    <n v="0"/>
    <n v="0"/>
    <n v="0"/>
    <n v="0"/>
    <n v="0"/>
    <n v="0"/>
    <x v="0"/>
  </r>
  <r>
    <x v="0"/>
    <s v="上水内郡飯綱町"/>
    <x v="76"/>
    <x v="8"/>
    <n v="3"/>
    <n v="1.3"/>
    <n v="1"/>
    <n v="0.74"/>
    <n v="2"/>
    <n v="2.2999999999999998"/>
    <x v="0"/>
  </r>
  <r>
    <x v="0"/>
    <s v="上水内郡飯綱町"/>
    <x v="76"/>
    <x v="9"/>
    <n v="13"/>
    <n v="5.63"/>
    <n v="5"/>
    <n v="3.68"/>
    <n v="8"/>
    <n v="9.1999999999999993"/>
    <x v="0"/>
  </r>
  <r>
    <x v="0"/>
    <s v="上水内郡飯綱町"/>
    <x v="76"/>
    <x v="10"/>
    <n v="29"/>
    <n v="12.55"/>
    <n v="25"/>
    <n v="18.38"/>
    <n v="4"/>
    <n v="4.5999999999999996"/>
    <x v="0"/>
  </r>
  <r>
    <x v="0"/>
    <s v="上水内郡飯綱町"/>
    <x v="76"/>
    <x v="11"/>
    <n v="23"/>
    <n v="9.9600000000000009"/>
    <n v="20"/>
    <n v="14.71"/>
    <n v="2"/>
    <n v="2.2999999999999998"/>
    <x v="0"/>
  </r>
  <r>
    <x v="0"/>
    <s v="上水内郡飯綱町"/>
    <x v="76"/>
    <x v="12"/>
    <n v="11"/>
    <n v="4.76"/>
    <n v="9"/>
    <n v="6.62"/>
    <n v="0"/>
    <n v="0"/>
    <x v="0"/>
  </r>
  <r>
    <x v="0"/>
    <s v="上水内郡飯綱町"/>
    <x v="76"/>
    <x v="13"/>
    <n v="13"/>
    <n v="5.63"/>
    <n v="6"/>
    <n v="4.41"/>
    <n v="5"/>
    <n v="5.75"/>
    <x v="0"/>
  </r>
  <r>
    <x v="0"/>
    <s v="上水内郡飯綱町"/>
    <x v="76"/>
    <x v="14"/>
    <n v="5"/>
    <n v="2.16"/>
    <n v="1"/>
    <n v="0.74"/>
    <n v="3"/>
    <n v="3.45"/>
    <x v="0"/>
  </r>
  <r>
    <x v="0"/>
    <s v="下水内郡栄村"/>
    <x v="77"/>
    <x v="0"/>
    <n v="0"/>
    <n v="0"/>
    <n v="0"/>
    <n v="0"/>
    <n v="0"/>
    <n v="0"/>
    <x v="0"/>
  </r>
  <r>
    <x v="0"/>
    <s v="下水内郡栄村"/>
    <x v="77"/>
    <x v="1"/>
    <n v="17"/>
    <n v="28.33"/>
    <n v="9"/>
    <n v="27.27"/>
    <n v="8"/>
    <n v="30.77"/>
    <x v="0"/>
  </r>
  <r>
    <x v="0"/>
    <s v="下水内郡栄村"/>
    <x v="77"/>
    <x v="2"/>
    <n v="6"/>
    <n v="10"/>
    <n v="2"/>
    <n v="6.06"/>
    <n v="4"/>
    <n v="15.38"/>
    <x v="0"/>
  </r>
  <r>
    <x v="0"/>
    <s v="下水内郡栄村"/>
    <x v="77"/>
    <x v="3"/>
    <n v="0"/>
    <n v="0"/>
    <n v="0"/>
    <n v="0"/>
    <n v="0"/>
    <n v="0"/>
    <x v="0"/>
  </r>
  <r>
    <x v="0"/>
    <s v="下水内郡栄村"/>
    <x v="77"/>
    <x v="4"/>
    <n v="0"/>
    <n v="0"/>
    <n v="0"/>
    <n v="0"/>
    <n v="0"/>
    <n v="0"/>
    <x v="0"/>
  </r>
  <r>
    <x v="0"/>
    <s v="下水内郡栄村"/>
    <x v="77"/>
    <x v="5"/>
    <n v="1"/>
    <n v="1.67"/>
    <n v="0"/>
    <n v="0"/>
    <n v="1"/>
    <n v="3.85"/>
    <x v="0"/>
  </r>
  <r>
    <x v="0"/>
    <s v="下水内郡栄村"/>
    <x v="77"/>
    <x v="6"/>
    <n v="16"/>
    <n v="26.67"/>
    <n v="10"/>
    <n v="30.3"/>
    <n v="6"/>
    <n v="23.08"/>
    <x v="0"/>
  </r>
  <r>
    <x v="0"/>
    <s v="下水内郡栄村"/>
    <x v="77"/>
    <x v="7"/>
    <n v="0"/>
    <n v="0"/>
    <n v="0"/>
    <n v="0"/>
    <n v="0"/>
    <n v="0"/>
    <x v="0"/>
  </r>
  <r>
    <x v="0"/>
    <s v="下水内郡栄村"/>
    <x v="77"/>
    <x v="8"/>
    <n v="0"/>
    <n v="0"/>
    <n v="0"/>
    <n v="0"/>
    <n v="0"/>
    <n v="0"/>
    <x v="0"/>
  </r>
  <r>
    <x v="0"/>
    <s v="下水内郡栄村"/>
    <x v="77"/>
    <x v="9"/>
    <n v="0"/>
    <n v="0"/>
    <n v="0"/>
    <n v="0"/>
    <n v="0"/>
    <n v="0"/>
    <x v="0"/>
  </r>
  <r>
    <x v="0"/>
    <s v="下水内郡栄村"/>
    <x v="77"/>
    <x v="10"/>
    <n v="9"/>
    <n v="15"/>
    <n v="7"/>
    <n v="21.21"/>
    <n v="2"/>
    <n v="7.69"/>
    <x v="0"/>
  </r>
  <r>
    <x v="0"/>
    <s v="下水内郡栄村"/>
    <x v="77"/>
    <x v="11"/>
    <n v="7"/>
    <n v="11.67"/>
    <n v="4"/>
    <n v="12.12"/>
    <n v="3"/>
    <n v="11.54"/>
    <x v="0"/>
  </r>
  <r>
    <x v="0"/>
    <s v="下水内郡栄村"/>
    <x v="77"/>
    <x v="12"/>
    <n v="0"/>
    <n v="0"/>
    <n v="0"/>
    <n v="0"/>
    <n v="0"/>
    <n v="0"/>
    <x v="0"/>
  </r>
  <r>
    <x v="0"/>
    <s v="下水内郡栄村"/>
    <x v="77"/>
    <x v="13"/>
    <n v="2"/>
    <n v="3.33"/>
    <n v="1"/>
    <n v="3.03"/>
    <n v="0"/>
    <n v="0"/>
    <x v="0"/>
  </r>
  <r>
    <x v="0"/>
    <s v="下水内郡栄村"/>
    <x v="77"/>
    <x v="14"/>
    <n v="2"/>
    <n v="3.33"/>
    <n v="0"/>
    <n v="0"/>
    <n v="2"/>
    <n v="7.69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50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4"/>
  </r>
  <r>
    <x v="0"/>
    <x v="0"/>
    <x v="0"/>
    <x v="5"/>
    <x v="5"/>
    <x v="5"/>
    <x v="5"/>
    <x v="5"/>
    <x v="5"/>
    <x v="5"/>
    <x v="5"/>
    <x v="5"/>
    <x v="5"/>
    <x v="3"/>
  </r>
  <r>
    <x v="0"/>
    <x v="0"/>
    <x v="0"/>
    <x v="6"/>
    <x v="6"/>
    <x v="6"/>
    <x v="6"/>
    <x v="6"/>
    <x v="6"/>
    <x v="6"/>
    <x v="6"/>
    <x v="6"/>
    <x v="6"/>
    <x v="5"/>
  </r>
  <r>
    <x v="0"/>
    <x v="0"/>
    <x v="0"/>
    <x v="7"/>
    <x v="7"/>
    <x v="7"/>
    <x v="7"/>
    <x v="7"/>
    <x v="7"/>
    <x v="7"/>
    <x v="7"/>
    <x v="7"/>
    <x v="7"/>
    <x v="1"/>
  </r>
  <r>
    <x v="0"/>
    <x v="0"/>
    <x v="0"/>
    <x v="8"/>
    <x v="8"/>
    <x v="8"/>
    <x v="8"/>
    <x v="8"/>
    <x v="8"/>
    <x v="8"/>
    <x v="8"/>
    <x v="8"/>
    <x v="8"/>
    <x v="6"/>
  </r>
  <r>
    <x v="0"/>
    <x v="0"/>
    <x v="0"/>
    <x v="9"/>
    <x v="9"/>
    <x v="9"/>
    <x v="9"/>
    <x v="9"/>
    <x v="9"/>
    <x v="9"/>
    <x v="9"/>
    <x v="9"/>
    <x v="9"/>
    <x v="3"/>
  </r>
  <r>
    <x v="0"/>
    <x v="0"/>
    <x v="0"/>
    <x v="10"/>
    <x v="10"/>
    <x v="10"/>
    <x v="10"/>
    <x v="10"/>
    <x v="10"/>
    <x v="10"/>
    <x v="10"/>
    <x v="10"/>
    <x v="10"/>
    <x v="0"/>
  </r>
  <r>
    <x v="0"/>
    <x v="0"/>
    <x v="0"/>
    <x v="11"/>
    <x v="11"/>
    <x v="11"/>
    <x v="11"/>
    <x v="11"/>
    <x v="11"/>
    <x v="11"/>
    <x v="11"/>
    <x v="11"/>
    <x v="11"/>
    <x v="3"/>
  </r>
  <r>
    <x v="0"/>
    <x v="0"/>
    <x v="0"/>
    <x v="12"/>
    <x v="12"/>
    <x v="12"/>
    <x v="12"/>
    <x v="12"/>
    <x v="12"/>
    <x v="12"/>
    <x v="12"/>
    <x v="12"/>
    <x v="12"/>
    <x v="0"/>
  </r>
  <r>
    <x v="0"/>
    <x v="0"/>
    <x v="0"/>
    <x v="13"/>
    <x v="13"/>
    <x v="13"/>
    <x v="13"/>
    <x v="13"/>
    <x v="13"/>
    <x v="13"/>
    <x v="13"/>
    <x v="13"/>
    <x v="13"/>
    <x v="0"/>
  </r>
  <r>
    <x v="0"/>
    <x v="0"/>
    <x v="0"/>
    <x v="14"/>
    <x v="14"/>
    <x v="14"/>
    <x v="14"/>
    <x v="14"/>
    <x v="14"/>
    <x v="14"/>
    <x v="14"/>
    <x v="14"/>
    <x v="14"/>
    <x v="7"/>
  </r>
  <r>
    <x v="0"/>
    <x v="0"/>
    <x v="0"/>
    <x v="15"/>
    <x v="15"/>
    <x v="15"/>
    <x v="15"/>
    <x v="15"/>
    <x v="15"/>
    <x v="15"/>
    <x v="15"/>
    <x v="15"/>
    <x v="15"/>
    <x v="7"/>
  </r>
  <r>
    <x v="0"/>
    <x v="0"/>
    <x v="0"/>
    <x v="16"/>
    <x v="16"/>
    <x v="16"/>
    <x v="16"/>
    <x v="16"/>
    <x v="16"/>
    <x v="16"/>
    <x v="16"/>
    <x v="16"/>
    <x v="16"/>
    <x v="3"/>
  </r>
  <r>
    <x v="0"/>
    <x v="0"/>
    <x v="0"/>
    <x v="17"/>
    <x v="17"/>
    <x v="17"/>
    <x v="17"/>
    <x v="17"/>
    <x v="17"/>
    <x v="17"/>
    <x v="17"/>
    <x v="17"/>
    <x v="17"/>
    <x v="3"/>
  </r>
  <r>
    <x v="0"/>
    <x v="0"/>
    <x v="0"/>
    <x v="18"/>
    <x v="18"/>
    <x v="18"/>
    <x v="18"/>
    <x v="18"/>
    <x v="18"/>
    <x v="18"/>
    <x v="18"/>
    <x v="18"/>
    <x v="18"/>
    <x v="3"/>
  </r>
  <r>
    <x v="0"/>
    <x v="0"/>
    <x v="0"/>
    <x v="19"/>
    <x v="19"/>
    <x v="19"/>
    <x v="19"/>
    <x v="19"/>
    <x v="19"/>
    <x v="19"/>
    <x v="19"/>
    <x v="19"/>
    <x v="19"/>
    <x v="3"/>
  </r>
  <r>
    <x v="0"/>
    <x v="1"/>
    <x v="1"/>
    <x v="2"/>
    <x v="2"/>
    <x v="2"/>
    <x v="0"/>
    <x v="20"/>
    <x v="20"/>
    <x v="20"/>
    <x v="20"/>
    <x v="20"/>
    <x v="20"/>
    <x v="3"/>
  </r>
  <r>
    <x v="0"/>
    <x v="1"/>
    <x v="1"/>
    <x v="0"/>
    <x v="0"/>
    <x v="0"/>
    <x v="1"/>
    <x v="21"/>
    <x v="21"/>
    <x v="21"/>
    <x v="21"/>
    <x v="21"/>
    <x v="21"/>
    <x v="3"/>
  </r>
  <r>
    <x v="0"/>
    <x v="1"/>
    <x v="1"/>
    <x v="1"/>
    <x v="1"/>
    <x v="1"/>
    <x v="2"/>
    <x v="22"/>
    <x v="22"/>
    <x v="22"/>
    <x v="22"/>
    <x v="22"/>
    <x v="22"/>
    <x v="3"/>
  </r>
  <r>
    <x v="0"/>
    <x v="1"/>
    <x v="1"/>
    <x v="3"/>
    <x v="3"/>
    <x v="3"/>
    <x v="3"/>
    <x v="23"/>
    <x v="23"/>
    <x v="23"/>
    <x v="23"/>
    <x v="23"/>
    <x v="23"/>
    <x v="3"/>
  </r>
  <r>
    <x v="0"/>
    <x v="1"/>
    <x v="1"/>
    <x v="4"/>
    <x v="4"/>
    <x v="4"/>
    <x v="4"/>
    <x v="24"/>
    <x v="24"/>
    <x v="24"/>
    <x v="24"/>
    <x v="24"/>
    <x v="24"/>
    <x v="3"/>
  </r>
  <r>
    <x v="0"/>
    <x v="1"/>
    <x v="1"/>
    <x v="5"/>
    <x v="5"/>
    <x v="5"/>
    <x v="5"/>
    <x v="25"/>
    <x v="25"/>
    <x v="25"/>
    <x v="25"/>
    <x v="25"/>
    <x v="25"/>
    <x v="3"/>
  </r>
  <r>
    <x v="0"/>
    <x v="1"/>
    <x v="1"/>
    <x v="6"/>
    <x v="6"/>
    <x v="6"/>
    <x v="6"/>
    <x v="26"/>
    <x v="26"/>
    <x v="26"/>
    <x v="26"/>
    <x v="26"/>
    <x v="26"/>
    <x v="0"/>
  </r>
  <r>
    <x v="0"/>
    <x v="1"/>
    <x v="1"/>
    <x v="8"/>
    <x v="8"/>
    <x v="8"/>
    <x v="7"/>
    <x v="27"/>
    <x v="27"/>
    <x v="27"/>
    <x v="27"/>
    <x v="27"/>
    <x v="27"/>
    <x v="0"/>
  </r>
  <r>
    <x v="0"/>
    <x v="1"/>
    <x v="1"/>
    <x v="12"/>
    <x v="12"/>
    <x v="12"/>
    <x v="8"/>
    <x v="28"/>
    <x v="28"/>
    <x v="28"/>
    <x v="28"/>
    <x v="28"/>
    <x v="28"/>
    <x v="3"/>
  </r>
  <r>
    <x v="0"/>
    <x v="1"/>
    <x v="1"/>
    <x v="9"/>
    <x v="9"/>
    <x v="9"/>
    <x v="9"/>
    <x v="29"/>
    <x v="29"/>
    <x v="29"/>
    <x v="29"/>
    <x v="29"/>
    <x v="29"/>
    <x v="3"/>
  </r>
  <r>
    <x v="0"/>
    <x v="1"/>
    <x v="1"/>
    <x v="10"/>
    <x v="10"/>
    <x v="10"/>
    <x v="10"/>
    <x v="30"/>
    <x v="30"/>
    <x v="30"/>
    <x v="30"/>
    <x v="30"/>
    <x v="30"/>
    <x v="3"/>
  </r>
  <r>
    <x v="0"/>
    <x v="1"/>
    <x v="1"/>
    <x v="11"/>
    <x v="11"/>
    <x v="11"/>
    <x v="11"/>
    <x v="31"/>
    <x v="31"/>
    <x v="31"/>
    <x v="31"/>
    <x v="31"/>
    <x v="31"/>
    <x v="3"/>
  </r>
  <r>
    <x v="0"/>
    <x v="1"/>
    <x v="1"/>
    <x v="14"/>
    <x v="14"/>
    <x v="14"/>
    <x v="12"/>
    <x v="32"/>
    <x v="12"/>
    <x v="32"/>
    <x v="32"/>
    <x v="32"/>
    <x v="32"/>
    <x v="0"/>
  </r>
  <r>
    <x v="0"/>
    <x v="1"/>
    <x v="1"/>
    <x v="13"/>
    <x v="13"/>
    <x v="13"/>
    <x v="13"/>
    <x v="33"/>
    <x v="32"/>
    <x v="33"/>
    <x v="18"/>
    <x v="33"/>
    <x v="33"/>
    <x v="0"/>
  </r>
  <r>
    <x v="0"/>
    <x v="1"/>
    <x v="1"/>
    <x v="20"/>
    <x v="20"/>
    <x v="20"/>
    <x v="14"/>
    <x v="34"/>
    <x v="33"/>
    <x v="34"/>
    <x v="33"/>
    <x v="34"/>
    <x v="34"/>
    <x v="3"/>
  </r>
  <r>
    <x v="0"/>
    <x v="1"/>
    <x v="1"/>
    <x v="17"/>
    <x v="17"/>
    <x v="17"/>
    <x v="15"/>
    <x v="35"/>
    <x v="34"/>
    <x v="35"/>
    <x v="34"/>
    <x v="35"/>
    <x v="35"/>
    <x v="3"/>
  </r>
  <r>
    <x v="0"/>
    <x v="1"/>
    <x v="1"/>
    <x v="15"/>
    <x v="15"/>
    <x v="15"/>
    <x v="16"/>
    <x v="36"/>
    <x v="35"/>
    <x v="36"/>
    <x v="35"/>
    <x v="36"/>
    <x v="36"/>
    <x v="1"/>
  </r>
  <r>
    <x v="0"/>
    <x v="1"/>
    <x v="1"/>
    <x v="21"/>
    <x v="21"/>
    <x v="21"/>
    <x v="17"/>
    <x v="37"/>
    <x v="16"/>
    <x v="15"/>
    <x v="36"/>
    <x v="37"/>
    <x v="37"/>
    <x v="3"/>
  </r>
  <r>
    <x v="0"/>
    <x v="1"/>
    <x v="1"/>
    <x v="22"/>
    <x v="22"/>
    <x v="22"/>
    <x v="18"/>
    <x v="38"/>
    <x v="36"/>
    <x v="35"/>
    <x v="34"/>
    <x v="38"/>
    <x v="38"/>
    <x v="8"/>
  </r>
  <r>
    <x v="0"/>
    <x v="1"/>
    <x v="1"/>
    <x v="23"/>
    <x v="23"/>
    <x v="23"/>
    <x v="19"/>
    <x v="39"/>
    <x v="37"/>
    <x v="37"/>
    <x v="37"/>
    <x v="39"/>
    <x v="16"/>
    <x v="3"/>
  </r>
  <r>
    <x v="0"/>
    <x v="2"/>
    <x v="2"/>
    <x v="0"/>
    <x v="0"/>
    <x v="0"/>
    <x v="0"/>
    <x v="40"/>
    <x v="38"/>
    <x v="38"/>
    <x v="38"/>
    <x v="40"/>
    <x v="39"/>
    <x v="0"/>
  </r>
  <r>
    <x v="0"/>
    <x v="2"/>
    <x v="2"/>
    <x v="2"/>
    <x v="2"/>
    <x v="2"/>
    <x v="1"/>
    <x v="41"/>
    <x v="39"/>
    <x v="39"/>
    <x v="39"/>
    <x v="41"/>
    <x v="40"/>
    <x v="0"/>
  </r>
  <r>
    <x v="0"/>
    <x v="2"/>
    <x v="2"/>
    <x v="1"/>
    <x v="1"/>
    <x v="1"/>
    <x v="2"/>
    <x v="42"/>
    <x v="40"/>
    <x v="40"/>
    <x v="40"/>
    <x v="42"/>
    <x v="41"/>
    <x v="0"/>
  </r>
  <r>
    <x v="0"/>
    <x v="2"/>
    <x v="2"/>
    <x v="4"/>
    <x v="4"/>
    <x v="4"/>
    <x v="3"/>
    <x v="43"/>
    <x v="41"/>
    <x v="41"/>
    <x v="41"/>
    <x v="43"/>
    <x v="42"/>
    <x v="3"/>
  </r>
  <r>
    <x v="0"/>
    <x v="2"/>
    <x v="2"/>
    <x v="3"/>
    <x v="3"/>
    <x v="3"/>
    <x v="4"/>
    <x v="44"/>
    <x v="42"/>
    <x v="29"/>
    <x v="42"/>
    <x v="44"/>
    <x v="43"/>
    <x v="3"/>
  </r>
  <r>
    <x v="0"/>
    <x v="2"/>
    <x v="2"/>
    <x v="8"/>
    <x v="8"/>
    <x v="8"/>
    <x v="5"/>
    <x v="45"/>
    <x v="43"/>
    <x v="42"/>
    <x v="43"/>
    <x v="45"/>
    <x v="44"/>
    <x v="0"/>
  </r>
  <r>
    <x v="0"/>
    <x v="2"/>
    <x v="2"/>
    <x v="6"/>
    <x v="6"/>
    <x v="6"/>
    <x v="6"/>
    <x v="46"/>
    <x v="44"/>
    <x v="43"/>
    <x v="44"/>
    <x v="46"/>
    <x v="45"/>
    <x v="4"/>
  </r>
  <r>
    <x v="0"/>
    <x v="2"/>
    <x v="2"/>
    <x v="5"/>
    <x v="5"/>
    <x v="5"/>
    <x v="7"/>
    <x v="47"/>
    <x v="45"/>
    <x v="44"/>
    <x v="45"/>
    <x v="10"/>
    <x v="46"/>
    <x v="3"/>
  </r>
  <r>
    <x v="0"/>
    <x v="2"/>
    <x v="2"/>
    <x v="10"/>
    <x v="10"/>
    <x v="10"/>
    <x v="8"/>
    <x v="48"/>
    <x v="46"/>
    <x v="45"/>
    <x v="46"/>
    <x v="47"/>
    <x v="47"/>
    <x v="3"/>
  </r>
  <r>
    <x v="0"/>
    <x v="2"/>
    <x v="2"/>
    <x v="12"/>
    <x v="12"/>
    <x v="12"/>
    <x v="9"/>
    <x v="49"/>
    <x v="47"/>
    <x v="46"/>
    <x v="47"/>
    <x v="48"/>
    <x v="48"/>
    <x v="3"/>
  </r>
  <r>
    <x v="0"/>
    <x v="2"/>
    <x v="2"/>
    <x v="9"/>
    <x v="9"/>
    <x v="9"/>
    <x v="10"/>
    <x v="50"/>
    <x v="48"/>
    <x v="47"/>
    <x v="48"/>
    <x v="49"/>
    <x v="49"/>
    <x v="3"/>
  </r>
  <r>
    <x v="0"/>
    <x v="2"/>
    <x v="2"/>
    <x v="11"/>
    <x v="11"/>
    <x v="11"/>
    <x v="11"/>
    <x v="51"/>
    <x v="49"/>
    <x v="48"/>
    <x v="49"/>
    <x v="38"/>
    <x v="50"/>
    <x v="3"/>
  </r>
  <r>
    <x v="0"/>
    <x v="2"/>
    <x v="2"/>
    <x v="13"/>
    <x v="13"/>
    <x v="13"/>
    <x v="12"/>
    <x v="52"/>
    <x v="50"/>
    <x v="49"/>
    <x v="50"/>
    <x v="28"/>
    <x v="51"/>
    <x v="3"/>
  </r>
  <r>
    <x v="0"/>
    <x v="2"/>
    <x v="2"/>
    <x v="17"/>
    <x v="17"/>
    <x v="17"/>
    <x v="13"/>
    <x v="53"/>
    <x v="51"/>
    <x v="50"/>
    <x v="51"/>
    <x v="50"/>
    <x v="52"/>
    <x v="3"/>
  </r>
  <r>
    <x v="0"/>
    <x v="2"/>
    <x v="2"/>
    <x v="7"/>
    <x v="7"/>
    <x v="7"/>
    <x v="14"/>
    <x v="54"/>
    <x v="52"/>
    <x v="44"/>
    <x v="45"/>
    <x v="51"/>
    <x v="53"/>
    <x v="3"/>
  </r>
  <r>
    <x v="0"/>
    <x v="2"/>
    <x v="2"/>
    <x v="15"/>
    <x v="15"/>
    <x v="15"/>
    <x v="15"/>
    <x v="55"/>
    <x v="53"/>
    <x v="51"/>
    <x v="52"/>
    <x v="52"/>
    <x v="54"/>
    <x v="3"/>
  </r>
  <r>
    <x v="0"/>
    <x v="2"/>
    <x v="2"/>
    <x v="14"/>
    <x v="14"/>
    <x v="14"/>
    <x v="16"/>
    <x v="56"/>
    <x v="54"/>
    <x v="52"/>
    <x v="53"/>
    <x v="53"/>
    <x v="55"/>
    <x v="4"/>
  </r>
  <r>
    <x v="0"/>
    <x v="2"/>
    <x v="2"/>
    <x v="20"/>
    <x v="20"/>
    <x v="20"/>
    <x v="17"/>
    <x v="57"/>
    <x v="15"/>
    <x v="53"/>
    <x v="54"/>
    <x v="54"/>
    <x v="56"/>
    <x v="3"/>
  </r>
  <r>
    <x v="0"/>
    <x v="2"/>
    <x v="2"/>
    <x v="21"/>
    <x v="21"/>
    <x v="21"/>
    <x v="18"/>
    <x v="58"/>
    <x v="55"/>
    <x v="54"/>
    <x v="33"/>
    <x v="55"/>
    <x v="57"/>
    <x v="3"/>
  </r>
  <r>
    <x v="0"/>
    <x v="2"/>
    <x v="2"/>
    <x v="24"/>
    <x v="24"/>
    <x v="24"/>
    <x v="19"/>
    <x v="59"/>
    <x v="56"/>
    <x v="55"/>
    <x v="55"/>
    <x v="56"/>
    <x v="27"/>
    <x v="3"/>
  </r>
  <r>
    <x v="0"/>
    <x v="3"/>
    <x v="3"/>
    <x v="0"/>
    <x v="0"/>
    <x v="0"/>
    <x v="0"/>
    <x v="60"/>
    <x v="57"/>
    <x v="56"/>
    <x v="56"/>
    <x v="48"/>
    <x v="58"/>
    <x v="3"/>
  </r>
  <r>
    <x v="0"/>
    <x v="3"/>
    <x v="3"/>
    <x v="1"/>
    <x v="1"/>
    <x v="1"/>
    <x v="1"/>
    <x v="61"/>
    <x v="1"/>
    <x v="57"/>
    <x v="57"/>
    <x v="57"/>
    <x v="59"/>
    <x v="3"/>
  </r>
  <r>
    <x v="0"/>
    <x v="3"/>
    <x v="3"/>
    <x v="2"/>
    <x v="2"/>
    <x v="2"/>
    <x v="2"/>
    <x v="62"/>
    <x v="58"/>
    <x v="58"/>
    <x v="58"/>
    <x v="58"/>
    <x v="60"/>
    <x v="3"/>
  </r>
  <r>
    <x v="0"/>
    <x v="3"/>
    <x v="3"/>
    <x v="4"/>
    <x v="4"/>
    <x v="4"/>
    <x v="3"/>
    <x v="63"/>
    <x v="59"/>
    <x v="59"/>
    <x v="59"/>
    <x v="32"/>
    <x v="61"/>
    <x v="3"/>
  </r>
  <r>
    <x v="0"/>
    <x v="3"/>
    <x v="3"/>
    <x v="3"/>
    <x v="3"/>
    <x v="3"/>
    <x v="4"/>
    <x v="46"/>
    <x v="60"/>
    <x v="60"/>
    <x v="60"/>
    <x v="59"/>
    <x v="62"/>
    <x v="3"/>
  </r>
  <r>
    <x v="0"/>
    <x v="3"/>
    <x v="3"/>
    <x v="5"/>
    <x v="5"/>
    <x v="5"/>
    <x v="5"/>
    <x v="64"/>
    <x v="61"/>
    <x v="61"/>
    <x v="61"/>
    <x v="60"/>
    <x v="63"/>
    <x v="3"/>
  </r>
  <r>
    <x v="0"/>
    <x v="3"/>
    <x v="3"/>
    <x v="6"/>
    <x v="6"/>
    <x v="6"/>
    <x v="6"/>
    <x v="65"/>
    <x v="8"/>
    <x v="62"/>
    <x v="62"/>
    <x v="61"/>
    <x v="64"/>
    <x v="3"/>
  </r>
  <r>
    <x v="0"/>
    <x v="3"/>
    <x v="3"/>
    <x v="11"/>
    <x v="11"/>
    <x v="11"/>
    <x v="6"/>
    <x v="65"/>
    <x v="8"/>
    <x v="17"/>
    <x v="63"/>
    <x v="62"/>
    <x v="65"/>
    <x v="3"/>
  </r>
  <r>
    <x v="0"/>
    <x v="3"/>
    <x v="3"/>
    <x v="10"/>
    <x v="10"/>
    <x v="10"/>
    <x v="8"/>
    <x v="66"/>
    <x v="62"/>
    <x v="63"/>
    <x v="64"/>
    <x v="63"/>
    <x v="66"/>
    <x v="3"/>
  </r>
  <r>
    <x v="0"/>
    <x v="3"/>
    <x v="3"/>
    <x v="16"/>
    <x v="16"/>
    <x v="16"/>
    <x v="9"/>
    <x v="39"/>
    <x v="63"/>
    <x v="64"/>
    <x v="65"/>
    <x v="64"/>
    <x v="67"/>
    <x v="3"/>
  </r>
  <r>
    <x v="0"/>
    <x v="3"/>
    <x v="3"/>
    <x v="12"/>
    <x v="12"/>
    <x v="12"/>
    <x v="9"/>
    <x v="39"/>
    <x v="63"/>
    <x v="61"/>
    <x v="61"/>
    <x v="65"/>
    <x v="68"/>
    <x v="0"/>
  </r>
  <r>
    <x v="0"/>
    <x v="3"/>
    <x v="3"/>
    <x v="9"/>
    <x v="9"/>
    <x v="9"/>
    <x v="11"/>
    <x v="67"/>
    <x v="64"/>
    <x v="65"/>
    <x v="66"/>
    <x v="66"/>
    <x v="69"/>
    <x v="3"/>
  </r>
  <r>
    <x v="0"/>
    <x v="3"/>
    <x v="3"/>
    <x v="8"/>
    <x v="8"/>
    <x v="8"/>
    <x v="12"/>
    <x v="68"/>
    <x v="65"/>
    <x v="66"/>
    <x v="67"/>
    <x v="67"/>
    <x v="70"/>
    <x v="4"/>
  </r>
  <r>
    <x v="0"/>
    <x v="3"/>
    <x v="3"/>
    <x v="14"/>
    <x v="14"/>
    <x v="14"/>
    <x v="13"/>
    <x v="69"/>
    <x v="66"/>
    <x v="67"/>
    <x v="68"/>
    <x v="68"/>
    <x v="71"/>
    <x v="3"/>
  </r>
  <r>
    <x v="0"/>
    <x v="3"/>
    <x v="3"/>
    <x v="17"/>
    <x v="17"/>
    <x v="17"/>
    <x v="14"/>
    <x v="70"/>
    <x v="67"/>
    <x v="51"/>
    <x v="69"/>
    <x v="69"/>
    <x v="72"/>
    <x v="3"/>
  </r>
  <r>
    <x v="0"/>
    <x v="3"/>
    <x v="3"/>
    <x v="7"/>
    <x v="7"/>
    <x v="7"/>
    <x v="14"/>
    <x v="70"/>
    <x v="67"/>
    <x v="68"/>
    <x v="70"/>
    <x v="30"/>
    <x v="73"/>
    <x v="3"/>
  </r>
  <r>
    <x v="0"/>
    <x v="3"/>
    <x v="3"/>
    <x v="13"/>
    <x v="13"/>
    <x v="13"/>
    <x v="16"/>
    <x v="71"/>
    <x v="68"/>
    <x v="69"/>
    <x v="71"/>
    <x v="70"/>
    <x v="74"/>
    <x v="3"/>
  </r>
  <r>
    <x v="0"/>
    <x v="3"/>
    <x v="3"/>
    <x v="18"/>
    <x v="18"/>
    <x v="18"/>
    <x v="17"/>
    <x v="72"/>
    <x v="15"/>
    <x v="52"/>
    <x v="72"/>
    <x v="71"/>
    <x v="75"/>
    <x v="3"/>
  </r>
  <r>
    <x v="0"/>
    <x v="3"/>
    <x v="3"/>
    <x v="19"/>
    <x v="19"/>
    <x v="19"/>
    <x v="18"/>
    <x v="73"/>
    <x v="69"/>
    <x v="34"/>
    <x v="73"/>
    <x v="72"/>
    <x v="53"/>
    <x v="3"/>
  </r>
  <r>
    <x v="0"/>
    <x v="3"/>
    <x v="3"/>
    <x v="23"/>
    <x v="23"/>
    <x v="23"/>
    <x v="19"/>
    <x v="74"/>
    <x v="16"/>
    <x v="70"/>
    <x v="17"/>
    <x v="73"/>
    <x v="76"/>
    <x v="3"/>
  </r>
  <r>
    <x v="0"/>
    <x v="4"/>
    <x v="4"/>
    <x v="1"/>
    <x v="1"/>
    <x v="1"/>
    <x v="0"/>
    <x v="75"/>
    <x v="70"/>
    <x v="71"/>
    <x v="74"/>
    <x v="74"/>
    <x v="77"/>
    <x v="3"/>
  </r>
  <r>
    <x v="0"/>
    <x v="4"/>
    <x v="4"/>
    <x v="0"/>
    <x v="0"/>
    <x v="0"/>
    <x v="1"/>
    <x v="76"/>
    <x v="71"/>
    <x v="72"/>
    <x v="75"/>
    <x v="71"/>
    <x v="78"/>
    <x v="3"/>
  </r>
  <r>
    <x v="0"/>
    <x v="4"/>
    <x v="4"/>
    <x v="2"/>
    <x v="2"/>
    <x v="2"/>
    <x v="2"/>
    <x v="77"/>
    <x v="72"/>
    <x v="73"/>
    <x v="76"/>
    <x v="75"/>
    <x v="79"/>
    <x v="4"/>
  </r>
  <r>
    <x v="0"/>
    <x v="4"/>
    <x v="4"/>
    <x v="4"/>
    <x v="4"/>
    <x v="4"/>
    <x v="3"/>
    <x v="78"/>
    <x v="73"/>
    <x v="74"/>
    <x v="77"/>
    <x v="68"/>
    <x v="80"/>
    <x v="3"/>
  </r>
  <r>
    <x v="0"/>
    <x v="4"/>
    <x v="4"/>
    <x v="16"/>
    <x v="16"/>
    <x v="16"/>
    <x v="4"/>
    <x v="79"/>
    <x v="74"/>
    <x v="34"/>
    <x v="78"/>
    <x v="76"/>
    <x v="60"/>
    <x v="3"/>
  </r>
  <r>
    <x v="0"/>
    <x v="4"/>
    <x v="4"/>
    <x v="3"/>
    <x v="3"/>
    <x v="3"/>
    <x v="5"/>
    <x v="80"/>
    <x v="75"/>
    <x v="54"/>
    <x v="79"/>
    <x v="77"/>
    <x v="81"/>
    <x v="3"/>
  </r>
  <r>
    <x v="0"/>
    <x v="4"/>
    <x v="4"/>
    <x v="5"/>
    <x v="5"/>
    <x v="5"/>
    <x v="5"/>
    <x v="80"/>
    <x v="75"/>
    <x v="75"/>
    <x v="80"/>
    <x v="78"/>
    <x v="82"/>
    <x v="3"/>
  </r>
  <r>
    <x v="0"/>
    <x v="4"/>
    <x v="4"/>
    <x v="6"/>
    <x v="6"/>
    <x v="6"/>
    <x v="7"/>
    <x v="81"/>
    <x v="76"/>
    <x v="75"/>
    <x v="80"/>
    <x v="79"/>
    <x v="64"/>
    <x v="3"/>
  </r>
  <r>
    <x v="0"/>
    <x v="4"/>
    <x v="4"/>
    <x v="19"/>
    <x v="19"/>
    <x v="19"/>
    <x v="8"/>
    <x v="82"/>
    <x v="77"/>
    <x v="34"/>
    <x v="78"/>
    <x v="80"/>
    <x v="83"/>
    <x v="3"/>
  </r>
  <r>
    <x v="0"/>
    <x v="4"/>
    <x v="4"/>
    <x v="11"/>
    <x v="11"/>
    <x v="11"/>
    <x v="9"/>
    <x v="83"/>
    <x v="45"/>
    <x v="76"/>
    <x v="81"/>
    <x v="81"/>
    <x v="84"/>
    <x v="3"/>
  </r>
  <r>
    <x v="0"/>
    <x v="4"/>
    <x v="4"/>
    <x v="8"/>
    <x v="8"/>
    <x v="8"/>
    <x v="10"/>
    <x v="84"/>
    <x v="78"/>
    <x v="76"/>
    <x v="81"/>
    <x v="82"/>
    <x v="85"/>
    <x v="4"/>
  </r>
  <r>
    <x v="0"/>
    <x v="4"/>
    <x v="4"/>
    <x v="10"/>
    <x v="10"/>
    <x v="10"/>
    <x v="11"/>
    <x v="85"/>
    <x v="79"/>
    <x v="77"/>
    <x v="43"/>
    <x v="83"/>
    <x v="86"/>
    <x v="3"/>
  </r>
  <r>
    <x v="0"/>
    <x v="4"/>
    <x v="4"/>
    <x v="13"/>
    <x v="13"/>
    <x v="13"/>
    <x v="12"/>
    <x v="86"/>
    <x v="80"/>
    <x v="78"/>
    <x v="82"/>
    <x v="84"/>
    <x v="71"/>
    <x v="3"/>
  </r>
  <r>
    <x v="0"/>
    <x v="4"/>
    <x v="4"/>
    <x v="14"/>
    <x v="14"/>
    <x v="14"/>
    <x v="12"/>
    <x v="86"/>
    <x v="80"/>
    <x v="78"/>
    <x v="82"/>
    <x v="85"/>
    <x v="15"/>
    <x v="3"/>
  </r>
  <r>
    <x v="0"/>
    <x v="4"/>
    <x v="4"/>
    <x v="12"/>
    <x v="12"/>
    <x v="12"/>
    <x v="14"/>
    <x v="87"/>
    <x v="81"/>
    <x v="79"/>
    <x v="60"/>
    <x v="86"/>
    <x v="87"/>
    <x v="3"/>
  </r>
  <r>
    <x v="0"/>
    <x v="4"/>
    <x v="4"/>
    <x v="9"/>
    <x v="9"/>
    <x v="9"/>
    <x v="15"/>
    <x v="88"/>
    <x v="82"/>
    <x v="80"/>
    <x v="29"/>
    <x v="71"/>
    <x v="78"/>
    <x v="3"/>
  </r>
  <r>
    <x v="0"/>
    <x v="4"/>
    <x v="4"/>
    <x v="17"/>
    <x v="17"/>
    <x v="17"/>
    <x v="15"/>
    <x v="88"/>
    <x v="82"/>
    <x v="51"/>
    <x v="83"/>
    <x v="87"/>
    <x v="88"/>
    <x v="3"/>
  </r>
  <r>
    <x v="0"/>
    <x v="4"/>
    <x v="4"/>
    <x v="25"/>
    <x v="25"/>
    <x v="25"/>
    <x v="17"/>
    <x v="89"/>
    <x v="83"/>
    <x v="70"/>
    <x v="84"/>
    <x v="88"/>
    <x v="89"/>
    <x v="3"/>
  </r>
  <r>
    <x v="0"/>
    <x v="4"/>
    <x v="4"/>
    <x v="23"/>
    <x v="23"/>
    <x v="23"/>
    <x v="18"/>
    <x v="90"/>
    <x v="84"/>
    <x v="81"/>
    <x v="85"/>
    <x v="79"/>
    <x v="64"/>
    <x v="3"/>
  </r>
  <r>
    <x v="0"/>
    <x v="4"/>
    <x v="4"/>
    <x v="15"/>
    <x v="15"/>
    <x v="15"/>
    <x v="19"/>
    <x v="91"/>
    <x v="85"/>
    <x v="82"/>
    <x v="86"/>
    <x v="82"/>
    <x v="85"/>
    <x v="3"/>
  </r>
  <r>
    <x v="0"/>
    <x v="5"/>
    <x v="5"/>
    <x v="0"/>
    <x v="0"/>
    <x v="0"/>
    <x v="0"/>
    <x v="92"/>
    <x v="86"/>
    <x v="83"/>
    <x v="87"/>
    <x v="55"/>
    <x v="90"/>
    <x v="3"/>
  </r>
  <r>
    <x v="0"/>
    <x v="5"/>
    <x v="5"/>
    <x v="2"/>
    <x v="2"/>
    <x v="2"/>
    <x v="1"/>
    <x v="93"/>
    <x v="87"/>
    <x v="84"/>
    <x v="88"/>
    <x v="46"/>
    <x v="91"/>
    <x v="3"/>
  </r>
  <r>
    <x v="0"/>
    <x v="5"/>
    <x v="5"/>
    <x v="1"/>
    <x v="1"/>
    <x v="1"/>
    <x v="2"/>
    <x v="94"/>
    <x v="88"/>
    <x v="85"/>
    <x v="40"/>
    <x v="78"/>
    <x v="92"/>
    <x v="3"/>
  </r>
  <r>
    <x v="0"/>
    <x v="5"/>
    <x v="5"/>
    <x v="4"/>
    <x v="4"/>
    <x v="4"/>
    <x v="3"/>
    <x v="95"/>
    <x v="89"/>
    <x v="86"/>
    <x v="89"/>
    <x v="89"/>
    <x v="93"/>
    <x v="3"/>
  </r>
  <r>
    <x v="0"/>
    <x v="5"/>
    <x v="5"/>
    <x v="3"/>
    <x v="3"/>
    <x v="3"/>
    <x v="4"/>
    <x v="96"/>
    <x v="90"/>
    <x v="29"/>
    <x v="90"/>
    <x v="90"/>
    <x v="94"/>
    <x v="3"/>
  </r>
  <r>
    <x v="0"/>
    <x v="5"/>
    <x v="5"/>
    <x v="5"/>
    <x v="5"/>
    <x v="5"/>
    <x v="5"/>
    <x v="97"/>
    <x v="91"/>
    <x v="48"/>
    <x v="91"/>
    <x v="91"/>
    <x v="95"/>
    <x v="3"/>
  </r>
  <r>
    <x v="0"/>
    <x v="5"/>
    <x v="5"/>
    <x v="6"/>
    <x v="6"/>
    <x v="6"/>
    <x v="6"/>
    <x v="98"/>
    <x v="45"/>
    <x v="32"/>
    <x v="92"/>
    <x v="92"/>
    <x v="96"/>
    <x v="0"/>
  </r>
  <r>
    <x v="0"/>
    <x v="5"/>
    <x v="5"/>
    <x v="10"/>
    <x v="10"/>
    <x v="10"/>
    <x v="7"/>
    <x v="99"/>
    <x v="92"/>
    <x v="87"/>
    <x v="93"/>
    <x v="93"/>
    <x v="97"/>
    <x v="3"/>
  </r>
  <r>
    <x v="0"/>
    <x v="5"/>
    <x v="5"/>
    <x v="8"/>
    <x v="8"/>
    <x v="8"/>
    <x v="8"/>
    <x v="100"/>
    <x v="93"/>
    <x v="88"/>
    <x v="94"/>
    <x v="94"/>
    <x v="98"/>
    <x v="0"/>
  </r>
  <r>
    <x v="0"/>
    <x v="5"/>
    <x v="5"/>
    <x v="13"/>
    <x v="13"/>
    <x v="13"/>
    <x v="9"/>
    <x v="101"/>
    <x v="78"/>
    <x v="89"/>
    <x v="95"/>
    <x v="95"/>
    <x v="99"/>
    <x v="3"/>
  </r>
  <r>
    <x v="0"/>
    <x v="5"/>
    <x v="5"/>
    <x v="9"/>
    <x v="9"/>
    <x v="9"/>
    <x v="10"/>
    <x v="102"/>
    <x v="94"/>
    <x v="79"/>
    <x v="96"/>
    <x v="96"/>
    <x v="100"/>
    <x v="3"/>
  </r>
  <r>
    <x v="0"/>
    <x v="5"/>
    <x v="5"/>
    <x v="11"/>
    <x v="11"/>
    <x v="11"/>
    <x v="11"/>
    <x v="103"/>
    <x v="95"/>
    <x v="73"/>
    <x v="97"/>
    <x v="97"/>
    <x v="101"/>
    <x v="3"/>
  </r>
  <r>
    <x v="0"/>
    <x v="5"/>
    <x v="5"/>
    <x v="12"/>
    <x v="12"/>
    <x v="12"/>
    <x v="11"/>
    <x v="103"/>
    <x v="95"/>
    <x v="90"/>
    <x v="98"/>
    <x v="98"/>
    <x v="102"/>
    <x v="3"/>
  </r>
  <r>
    <x v="0"/>
    <x v="5"/>
    <x v="5"/>
    <x v="14"/>
    <x v="14"/>
    <x v="14"/>
    <x v="13"/>
    <x v="104"/>
    <x v="96"/>
    <x v="91"/>
    <x v="99"/>
    <x v="97"/>
    <x v="101"/>
    <x v="0"/>
  </r>
  <r>
    <x v="0"/>
    <x v="5"/>
    <x v="5"/>
    <x v="15"/>
    <x v="15"/>
    <x v="15"/>
    <x v="14"/>
    <x v="73"/>
    <x v="97"/>
    <x v="36"/>
    <x v="100"/>
    <x v="72"/>
    <x v="103"/>
    <x v="3"/>
  </r>
  <r>
    <x v="0"/>
    <x v="5"/>
    <x v="5"/>
    <x v="18"/>
    <x v="18"/>
    <x v="18"/>
    <x v="15"/>
    <x v="105"/>
    <x v="17"/>
    <x v="92"/>
    <x v="101"/>
    <x v="82"/>
    <x v="104"/>
    <x v="3"/>
  </r>
  <r>
    <x v="0"/>
    <x v="5"/>
    <x v="5"/>
    <x v="26"/>
    <x v="26"/>
    <x v="26"/>
    <x v="16"/>
    <x v="106"/>
    <x v="98"/>
    <x v="15"/>
    <x v="102"/>
    <x v="87"/>
    <x v="105"/>
    <x v="3"/>
  </r>
  <r>
    <x v="0"/>
    <x v="5"/>
    <x v="5"/>
    <x v="16"/>
    <x v="16"/>
    <x v="16"/>
    <x v="17"/>
    <x v="85"/>
    <x v="99"/>
    <x v="55"/>
    <x v="54"/>
    <x v="98"/>
    <x v="102"/>
    <x v="3"/>
  </r>
  <r>
    <x v="0"/>
    <x v="5"/>
    <x v="5"/>
    <x v="27"/>
    <x v="27"/>
    <x v="27"/>
    <x v="18"/>
    <x v="107"/>
    <x v="100"/>
    <x v="80"/>
    <x v="103"/>
    <x v="99"/>
    <x v="106"/>
    <x v="3"/>
  </r>
  <r>
    <x v="0"/>
    <x v="5"/>
    <x v="5"/>
    <x v="17"/>
    <x v="17"/>
    <x v="17"/>
    <x v="18"/>
    <x v="107"/>
    <x v="100"/>
    <x v="50"/>
    <x v="37"/>
    <x v="98"/>
    <x v="102"/>
    <x v="3"/>
  </r>
  <r>
    <x v="0"/>
    <x v="6"/>
    <x v="6"/>
    <x v="2"/>
    <x v="2"/>
    <x v="2"/>
    <x v="0"/>
    <x v="108"/>
    <x v="101"/>
    <x v="93"/>
    <x v="104"/>
    <x v="100"/>
    <x v="107"/>
    <x v="3"/>
  </r>
  <r>
    <x v="0"/>
    <x v="6"/>
    <x v="6"/>
    <x v="0"/>
    <x v="0"/>
    <x v="0"/>
    <x v="1"/>
    <x v="109"/>
    <x v="102"/>
    <x v="94"/>
    <x v="105"/>
    <x v="30"/>
    <x v="108"/>
    <x v="3"/>
  </r>
  <r>
    <x v="0"/>
    <x v="6"/>
    <x v="6"/>
    <x v="1"/>
    <x v="1"/>
    <x v="1"/>
    <x v="2"/>
    <x v="55"/>
    <x v="103"/>
    <x v="71"/>
    <x v="106"/>
    <x v="65"/>
    <x v="109"/>
    <x v="0"/>
  </r>
  <r>
    <x v="0"/>
    <x v="6"/>
    <x v="6"/>
    <x v="3"/>
    <x v="3"/>
    <x v="3"/>
    <x v="3"/>
    <x v="58"/>
    <x v="104"/>
    <x v="34"/>
    <x v="107"/>
    <x v="101"/>
    <x v="110"/>
    <x v="3"/>
  </r>
  <r>
    <x v="0"/>
    <x v="6"/>
    <x v="6"/>
    <x v="4"/>
    <x v="4"/>
    <x v="4"/>
    <x v="4"/>
    <x v="110"/>
    <x v="105"/>
    <x v="95"/>
    <x v="108"/>
    <x v="68"/>
    <x v="111"/>
    <x v="3"/>
  </r>
  <r>
    <x v="0"/>
    <x v="6"/>
    <x v="6"/>
    <x v="5"/>
    <x v="5"/>
    <x v="5"/>
    <x v="5"/>
    <x v="111"/>
    <x v="27"/>
    <x v="79"/>
    <x v="11"/>
    <x v="78"/>
    <x v="112"/>
    <x v="3"/>
  </r>
  <r>
    <x v="0"/>
    <x v="6"/>
    <x v="6"/>
    <x v="9"/>
    <x v="9"/>
    <x v="9"/>
    <x v="5"/>
    <x v="111"/>
    <x v="27"/>
    <x v="37"/>
    <x v="109"/>
    <x v="57"/>
    <x v="113"/>
    <x v="3"/>
  </r>
  <r>
    <x v="0"/>
    <x v="6"/>
    <x v="6"/>
    <x v="8"/>
    <x v="8"/>
    <x v="8"/>
    <x v="7"/>
    <x v="72"/>
    <x v="28"/>
    <x v="64"/>
    <x v="110"/>
    <x v="85"/>
    <x v="114"/>
    <x v="3"/>
  </r>
  <r>
    <x v="0"/>
    <x v="6"/>
    <x v="6"/>
    <x v="12"/>
    <x v="12"/>
    <x v="12"/>
    <x v="8"/>
    <x v="73"/>
    <x v="62"/>
    <x v="96"/>
    <x v="111"/>
    <x v="74"/>
    <x v="115"/>
    <x v="3"/>
  </r>
  <r>
    <x v="0"/>
    <x v="6"/>
    <x v="6"/>
    <x v="6"/>
    <x v="6"/>
    <x v="6"/>
    <x v="9"/>
    <x v="74"/>
    <x v="106"/>
    <x v="69"/>
    <x v="112"/>
    <x v="65"/>
    <x v="109"/>
    <x v="3"/>
  </r>
  <r>
    <x v="0"/>
    <x v="6"/>
    <x v="6"/>
    <x v="10"/>
    <x v="10"/>
    <x v="10"/>
    <x v="10"/>
    <x v="112"/>
    <x v="107"/>
    <x v="96"/>
    <x v="111"/>
    <x v="86"/>
    <x v="116"/>
    <x v="3"/>
  </r>
  <r>
    <x v="0"/>
    <x v="6"/>
    <x v="6"/>
    <x v="17"/>
    <x v="17"/>
    <x v="17"/>
    <x v="11"/>
    <x v="113"/>
    <x v="108"/>
    <x v="97"/>
    <x v="113"/>
    <x v="102"/>
    <x v="117"/>
    <x v="3"/>
  </r>
  <r>
    <x v="0"/>
    <x v="6"/>
    <x v="6"/>
    <x v="13"/>
    <x v="13"/>
    <x v="13"/>
    <x v="12"/>
    <x v="114"/>
    <x v="109"/>
    <x v="98"/>
    <x v="114"/>
    <x v="103"/>
    <x v="118"/>
    <x v="3"/>
  </r>
  <r>
    <x v="0"/>
    <x v="6"/>
    <x v="6"/>
    <x v="11"/>
    <x v="11"/>
    <x v="11"/>
    <x v="13"/>
    <x v="115"/>
    <x v="14"/>
    <x v="53"/>
    <x v="115"/>
    <x v="94"/>
    <x v="57"/>
    <x v="3"/>
  </r>
  <r>
    <x v="0"/>
    <x v="6"/>
    <x v="6"/>
    <x v="14"/>
    <x v="14"/>
    <x v="14"/>
    <x v="13"/>
    <x v="115"/>
    <x v="14"/>
    <x v="37"/>
    <x v="109"/>
    <x v="88"/>
    <x v="119"/>
    <x v="3"/>
  </r>
  <r>
    <x v="0"/>
    <x v="6"/>
    <x v="6"/>
    <x v="16"/>
    <x v="16"/>
    <x v="16"/>
    <x v="15"/>
    <x v="106"/>
    <x v="110"/>
    <x v="70"/>
    <x v="48"/>
    <x v="80"/>
    <x v="120"/>
    <x v="3"/>
  </r>
  <r>
    <x v="0"/>
    <x v="6"/>
    <x v="6"/>
    <x v="19"/>
    <x v="19"/>
    <x v="19"/>
    <x v="16"/>
    <x v="88"/>
    <x v="111"/>
    <x v="50"/>
    <x v="116"/>
    <x v="88"/>
    <x v="119"/>
    <x v="3"/>
  </r>
  <r>
    <x v="0"/>
    <x v="6"/>
    <x v="6"/>
    <x v="21"/>
    <x v="21"/>
    <x v="21"/>
    <x v="17"/>
    <x v="90"/>
    <x v="112"/>
    <x v="51"/>
    <x v="117"/>
    <x v="71"/>
    <x v="121"/>
    <x v="3"/>
  </r>
  <r>
    <x v="0"/>
    <x v="6"/>
    <x v="6"/>
    <x v="20"/>
    <x v="20"/>
    <x v="20"/>
    <x v="18"/>
    <x v="91"/>
    <x v="113"/>
    <x v="50"/>
    <x v="116"/>
    <x v="103"/>
    <x v="118"/>
    <x v="3"/>
  </r>
  <r>
    <x v="0"/>
    <x v="6"/>
    <x v="6"/>
    <x v="28"/>
    <x v="28"/>
    <x v="28"/>
    <x v="18"/>
    <x v="91"/>
    <x v="113"/>
    <x v="81"/>
    <x v="118"/>
    <x v="94"/>
    <x v="57"/>
    <x v="3"/>
  </r>
  <r>
    <x v="0"/>
    <x v="7"/>
    <x v="7"/>
    <x v="0"/>
    <x v="0"/>
    <x v="0"/>
    <x v="0"/>
    <x v="116"/>
    <x v="114"/>
    <x v="99"/>
    <x v="119"/>
    <x v="85"/>
    <x v="122"/>
    <x v="3"/>
  </r>
  <r>
    <x v="0"/>
    <x v="7"/>
    <x v="7"/>
    <x v="1"/>
    <x v="1"/>
    <x v="1"/>
    <x v="1"/>
    <x v="117"/>
    <x v="115"/>
    <x v="100"/>
    <x v="40"/>
    <x v="104"/>
    <x v="123"/>
    <x v="3"/>
  </r>
  <r>
    <x v="0"/>
    <x v="7"/>
    <x v="7"/>
    <x v="2"/>
    <x v="2"/>
    <x v="2"/>
    <x v="2"/>
    <x v="77"/>
    <x v="116"/>
    <x v="101"/>
    <x v="120"/>
    <x v="57"/>
    <x v="124"/>
    <x v="0"/>
  </r>
  <r>
    <x v="0"/>
    <x v="7"/>
    <x v="7"/>
    <x v="4"/>
    <x v="4"/>
    <x v="4"/>
    <x v="3"/>
    <x v="118"/>
    <x v="117"/>
    <x v="102"/>
    <x v="121"/>
    <x v="105"/>
    <x v="125"/>
    <x v="3"/>
  </r>
  <r>
    <x v="0"/>
    <x v="7"/>
    <x v="7"/>
    <x v="3"/>
    <x v="3"/>
    <x v="3"/>
    <x v="4"/>
    <x v="119"/>
    <x v="118"/>
    <x v="54"/>
    <x v="82"/>
    <x v="106"/>
    <x v="126"/>
    <x v="3"/>
  </r>
  <r>
    <x v="0"/>
    <x v="7"/>
    <x v="7"/>
    <x v="8"/>
    <x v="8"/>
    <x v="8"/>
    <x v="5"/>
    <x v="120"/>
    <x v="119"/>
    <x v="96"/>
    <x v="122"/>
    <x v="74"/>
    <x v="13"/>
    <x v="3"/>
  </r>
  <r>
    <x v="0"/>
    <x v="7"/>
    <x v="7"/>
    <x v="5"/>
    <x v="5"/>
    <x v="5"/>
    <x v="6"/>
    <x v="121"/>
    <x v="120"/>
    <x v="103"/>
    <x v="123"/>
    <x v="87"/>
    <x v="127"/>
    <x v="3"/>
  </r>
  <r>
    <x v="0"/>
    <x v="7"/>
    <x v="7"/>
    <x v="6"/>
    <x v="6"/>
    <x v="6"/>
    <x v="6"/>
    <x v="121"/>
    <x v="120"/>
    <x v="77"/>
    <x v="28"/>
    <x v="107"/>
    <x v="128"/>
    <x v="3"/>
  </r>
  <r>
    <x v="0"/>
    <x v="7"/>
    <x v="7"/>
    <x v="11"/>
    <x v="11"/>
    <x v="11"/>
    <x v="8"/>
    <x v="112"/>
    <x v="121"/>
    <x v="104"/>
    <x v="124"/>
    <x v="94"/>
    <x v="129"/>
    <x v="3"/>
  </r>
  <r>
    <x v="0"/>
    <x v="7"/>
    <x v="7"/>
    <x v="9"/>
    <x v="9"/>
    <x v="9"/>
    <x v="9"/>
    <x v="122"/>
    <x v="122"/>
    <x v="35"/>
    <x v="42"/>
    <x v="72"/>
    <x v="130"/>
    <x v="3"/>
  </r>
  <r>
    <x v="0"/>
    <x v="7"/>
    <x v="7"/>
    <x v="7"/>
    <x v="7"/>
    <x v="7"/>
    <x v="10"/>
    <x v="123"/>
    <x v="123"/>
    <x v="105"/>
    <x v="125"/>
    <x v="83"/>
    <x v="131"/>
    <x v="3"/>
  </r>
  <r>
    <x v="0"/>
    <x v="7"/>
    <x v="7"/>
    <x v="10"/>
    <x v="10"/>
    <x v="10"/>
    <x v="11"/>
    <x v="114"/>
    <x v="124"/>
    <x v="74"/>
    <x v="126"/>
    <x v="108"/>
    <x v="132"/>
    <x v="3"/>
  </r>
  <r>
    <x v="0"/>
    <x v="7"/>
    <x v="7"/>
    <x v="13"/>
    <x v="13"/>
    <x v="13"/>
    <x v="12"/>
    <x v="124"/>
    <x v="125"/>
    <x v="106"/>
    <x v="127"/>
    <x v="86"/>
    <x v="68"/>
    <x v="3"/>
  </r>
  <r>
    <x v="0"/>
    <x v="7"/>
    <x v="7"/>
    <x v="12"/>
    <x v="12"/>
    <x v="12"/>
    <x v="12"/>
    <x v="124"/>
    <x v="125"/>
    <x v="91"/>
    <x v="128"/>
    <x v="109"/>
    <x v="116"/>
    <x v="3"/>
  </r>
  <r>
    <x v="0"/>
    <x v="7"/>
    <x v="7"/>
    <x v="14"/>
    <x v="14"/>
    <x v="14"/>
    <x v="14"/>
    <x v="125"/>
    <x v="126"/>
    <x v="50"/>
    <x v="129"/>
    <x v="84"/>
    <x v="133"/>
    <x v="3"/>
  </r>
  <r>
    <x v="0"/>
    <x v="7"/>
    <x v="7"/>
    <x v="19"/>
    <x v="19"/>
    <x v="19"/>
    <x v="15"/>
    <x v="126"/>
    <x v="127"/>
    <x v="80"/>
    <x v="130"/>
    <x v="104"/>
    <x v="123"/>
    <x v="3"/>
  </r>
  <r>
    <x v="0"/>
    <x v="7"/>
    <x v="7"/>
    <x v="16"/>
    <x v="16"/>
    <x v="16"/>
    <x v="16"/>
    <x v="127"/>
    <x v="128"/>
    <x v="36"/>
    <x v="69"/>
    <x v="84"/>
    <x v="133"/>
    <x v="3"/>
  </r>
  <r>
    <x v="0"/>
    <x v="7"/>
    <x v="7"/>
    <x v="26"/>
    <x v="26"/>
    <x v="26"/>
    <x v="17"/>
    <x v="128"/>
    <x v="129"/>
    <x v="81"/>
    <x v="131"/>
    <x v="104"/>
    <x v="123"/>
    <x v="3"/>
  </r>
  <r>
    <x v="0"/>
    <x v="7"/>
    <x v="7"/>
    <x v="24"/>
    <x v="24"/>
    <x v="24"/>
    <x v="18"/>
    <x v="129"/>
    <x v="130"/>
    <x v="51"/>
    <x v="132"/>
    <x v="82"/>
    <x v="134"/>
    <x v="3"/>
  </r>
  <r>
    <x v="0"/>
    <x v="7"/>
    <x v="7"/>
    <x v="29"/>
    <x v="29"/>
    <x v="29"/>
    <x v="19"/>
    <x v="130"/>
    <x v="56"/>
    <x v="55"/>
    <x v="71"/>
    <x v="110"/>
    <x v="135"/>
    <x v="3"/>
  </r>
  <r>
    <x v="0"/>
    <x v="8"/>
    <x v="8"/>
    <x v="0"/>
    <x v="0"/>
    <x v="0"/>
    <x v="0"/>
    <x v="131"/>
    <x v="131"/>
    <x v="107"/>
    <x v="133"/>
    <x v="104"/>
    <x v="136"/>
    <x v="3"/>
  </r>
  <r>
    <x v="0"/>
    <x v="8"/>
    <x v="8"/>
    <x v="1"/>
    <x v="1"/>
    <x v="1"/>
    <x v="1"/>
    <x v="132"/>
    <x v="132"/>
    <x v="44"/>
    <x v="134"/>
    <x v="104"/>
    <x v="136"/>
    <x v="3"/>
  </r>
  <r>
    <x v="0"/>
    <x v="8"/>
    <x v="8"/>
    <x v="3"/>
    <x v="3"/>
    <x v="3"/>
    <x v="2"/>
    <x v="133"/>
    <x v="133"/>
    <x v="76"/>
    <x v="135"/>
    <x v="77"/>
    <x v="137"/>
    <x v="3"/>
  </r>
  <r>
    <x v="0"/>
    <x v="8"/>
    <x v="8"/>
    <x v="2"/>
    <x v="2"/>
    <x v="2"/>
    <x v="3"/>
    <x v="134"/>
    <x v="134"/>
    <x v="105"/>
    <x v="136"/>
    <x v="30"/>
    <x v="138"/>
    <x v="3"/>
  </r>
  <r>
    <x v="0"/>
    <x v="8"/>
    <x v="8"/>
    <x v="4"/>
    <x v="4"/>
    <x v="4"/>
    <x v="4"/>
    <x v="80"/>
    <x v="135"/>
    <x v="104"/>
    <x v="137"/>
    <x v="102"/>
    <x v="139"/>
    <x v="3"/>
  </r>
  <r>
    <x v="0"/>
    <x v="8"/>
    <x v="8"/>
    <x v="5"/>
    <x v="5"/>
    <x v="5"/>
    <x v="5"/>
    <x v="135"/>
    <x v="136"/>
    <x v="67"/>
    <x v="138"/>
    <x v="85"/>
    <x v="140"/>
    <x v="3"/>
  </r>
  <r>
    <x v="0"/>
    <x v="8"/>
    <x v="8"/>
    <x v="6"/>
    <x v="6"/>
    <x v="6"/>
    <x v="6"/>
    <x v="136"/>
    <x v="137"/>
    <x v="64"/>
    <x v="139"/>
    <x v="74"/>
    <x v="89"/>
    <x v="4"/>
  </r>
  <r>
    <x v="0"/>
    <x v="8"/>
    <x v="8"/>
    <x v="11"/>
    <x v="11"/>
    <x v="11"/>
    <x v="7"/>
    <x v="85"/>
    <x v="92"/>
    <x v="98"/>
    <x v="140"/>
    <x v="74"/>
    <x v="89"/>
    <x v="3"/>
  </r>
  <r>
    <x v="0"/>
    <x v="8"/>
    <x v="8"/>
    <x v="9"/>
    <x v="9"/>
    <x v="9"/>
    <x v="8"/>
    <x v="107"/>
    <x v="138"/>
    <x v="35"/>
    <x v="141"/>
    <x v="94"/>
    <x v="141"/>
    <x v="3"/>
  </r>
  <r>
    <x v="0"/>
    <x v="8"/>
    <x v="8"/>
    <x v="14"/>
    <x v="14"/>
    <x v="14"/>
    <x v="9"/>
    <x v="137"/>
    <x v="139"/>
    <x v="108"/>
    <x v="142"/>
    <x v="104"/>
    <x v="136"/>
    <x v="3"/>
  </r>
  <r>
    <x v="0"/>
    <x v="8"/>
    <x v="8"/>
    <x v="10"/>
    <x v="10"/>
    <x v="10"/>
    <x v="9"/>
    <x v="137"/>
    <x v="139"/>
    <x v="103"/>
    <x v="143"/>
    <x v="111"/>
    <x v="142"/>
    <x v="3"/>
  </r>
  <r>
    <x v="0"/>
    <x v="8"/>
    <x v="8"/>
    <x v="12"/>
    <x v="12"/>
    <x v="12"/>
    <x v="11"/>
    <x v="138"/>
    <x v="140"/>
    <x v="76"/>
    <x v="135"/>
    <x v="110"/>
    <x v="143"/>
    <x v="3"/>
  </r>
  <r>
    <x v="0"/>
    <x v="8"/>
    <x v="8"/>
    <x v="8"/>
    <x v="8"/>
    <x v="8"/>
    <x v="11"/>
    <x v="138"/>
    <x v="140"/>
    <x v="37"/>
    <x v="144"/>
    <x v="112"/>
    <x v="144"/>
    <x v="3"/>
  </r>
  <r>
    <x v="0"/>
    <x v="8"/>
    <x v="8"/>
    <x v="18"/>
    <x v="18"/>
    <x v="18"/>
    <x v="13"/>
    <x v="139"/>
    <x v="141"/>
    <x v="109"/>
    <x v="145"/>
    <x v="110"/>
    <x v="143"/>
    <x v="3"/>
  </r>
  <r>
    <x v="0"/>
    <x v="8"/>
    <x v="8"/>
    <x v="13"/>
    <x v="13"/>
    <x v="13"/>
    <x v="14"/>
    <x v="129"/>
    <x v="142"/>
    <x v="15"/>
    <x v="146"/>
    <x v="86"/>
    <x v="106"/>
    <x v="3"/>
  </r>
  <r>
    <x v="0"/>
    <x v="8"/>
    <x v="8"/>
    <x v="23"/>
    <x v="23"/>
    <x v="23"/>
    <x v="15"/>
    <x v="130"/>
    <x v="143"/>
    <x v="97"/>
    <x v="147"/>
    <x v="82"/>
    <x v="145"/>
    <x v="3"/>
  </r>
  <r>
    <x v="0"/>
    <x v="8"/>
    <x v="8"/>
    <x v="19"/>
    <x v="19"/>
    <x v="19"/>
    <x v="16"/>
    <x v="140"/>
    <x v="144"/>
    <x v="110"/>
    <x v="148"/>
    <x v="86"/>
    <x v="106"/>
    <x v="3"/>
  </r>
  <r>
    <x v="0"/>
    <x v="8"/>
    <x v="8"/>
    <x v="24"/>
    <x v="24"/>
    <x v="24"/>
    <x v="16"/>
    <x v="140"/>
    <x v="144"/>
    <x v="81"/>
    <x v="149"/>
    <x v="112"/>
    <x v="144"/>
    <x v="3"/>
  </r>
  <r>
    <x v="0"/>
    <x v="8"/>
    <x v="8"/>
    <x v="21"/>
    <x v="21"/>
    <x v="21"/>
    <x v="18"/>
    <x v="141"/>
    <x v="145"/>
    <x v="82"/>
    <x v="86"/>
    <x v="82"/>
    <x v="145"/>
    <x v="3"/>
  </r>
  <r>
    <x v="0"/>
    <x v="8"/>
    <x v="8"/>
    <x v="30"/>
    <x v="30"/>
    <x v="30"/>
    <x v="18"/>
    <x v="141"/>
    <x v="145"/>
    <x v="50"/>
    <x v="150"/>
    <x v="86"/>
    <x v="106"/>
    <x v="3"/>
  </r>
  <r>
    <x v="0"/>
    <x v="9"/>
    <x v="9"/>
    <x v="0"/>
    <x v="0"/>
    <x v="0"/>
    <x v="0"/>
    <x v="142"/>
    <x v="146"/>
    <x v="111"/>
    <x v="151"/>
    <x v="113"/>
    <x v="146"/>
    <x v="3"/>
  </r>
  <r>
    <x v="0"/>
    <x v="9"/>
    <x v="9"/>
    <x v="1"/>
    <x v="1"/>
    <x v="1"/>
    <x v="1"/>
    <x v="143"/>
    <x v="147"/>
    <x v="42"/>
    <x v="152"/>
    <x v="114"/>
    <x v="147"/>
    <x v="3"/>
  </r>
  <r>
    <x v="0"/>
    <x v="9"/>
    <x v="9"/>
    <x v="4"/>
    <x v="4"/>
    <x v="4"/>
    <x v="2"/>
    <x v="66"/>
    <x v="148"/>
    <x v="112"/>
    <x v="153"/>
    <x v="115"/>
    <x v="148"/>
    <x v="3"/>
  </r>
  <r>
    <x v="0"/>
    <x v="9"/>
    <x v="9"/>
    <x v="3"/>
    <x v="3"/>
    <x v="3"/>
    <x v="3"/>
    <x v="144"/>
    <x v="149"/>
    <x v="69"/>
    <x v="154"/>
    <x v="116"/>
    <x v="149"/>
    <x v="3"/>
  </r>
  <r>
    <x v="0"/>
    <x v="9"/>
    <x v="9"/>
    <x v="2"/>
    <x v="2"/>
    <x v="2"/>
    <x v="4"/>
    <x v="145"/>
    <x v="150"/>
    <x v="101"/>
    <x v="155"/>
    <x v="117"/>
    <x v="150"/>
    <x v="3"/>
  </r>
  <r>
    <x v="0"/>
    <x v="9"/>
    <x v="9"/>
    <x v="6"/>
    <x v="6"/>
    <x v="6"/>
    <x v="5"/>
    <x v="104"/>
    <x v="151"/>
    <x v="113"/>
    <x v="77"/>
    <x v="114"/>
    <x v="147"/>
    <x v="0"/>
  </r>
  <r>
    <x v="0"/>
    <x v="9"/>
    <x v="9"/>
    <x v="5"/>
    <x v="5"/>
    <x v="5"/>
    <x v="6"/>
    <x v="146"/>
    <x v="6"/>
    <x v="73"/>
    <x v="156"/>
    <x v="72"/>
    <x v="151"/>
    <x v="3"/>
  </r>
  <r>
    <x v="0"/>
    <x v="9"/>
    <x v="9"/>
    <x v="8"/>
    <x v="8"/>
    <x v="8"/>
    <x v="7"/>
    <x v="120"/>
    <x v="152"/>
    <x v="52"/>
    <x v="8"/>
    <x v="74"/>
    <x v="152"/>
    <x v="1"/>
  </r>
  <r>
    <x v="0"/>
    <x v="9"/>
    <x v="9"/>
    <x v="11"/>
    <x v="11"/>
    <x v="11"/>
    <x v="8"/>
    <x v="147"/>
    <x v="153"/>
    <x v="104"/>
    <x v="157"/>
    <x v="114"/>
    <x v="147"/>
    <x v="3"/>
  </r>
  <r>
    <x v="0"/>
    <x v="9"/>
    <x v="9"/>
    <x v="13"/>
    <x v="13"/>
    <x v="13"/>
    <x v="9"/>
    <x v="148"/>
    <x v="154"/>
    <x v="106"/>
    <x v="158"/>
    <x v="114"/>
    <x v="147"/>
    <x v="3"/>
  </r>
  <r>
    <x v="0"/>
    <x v="9"/>
    <x v="9"/>
    <x v="10"/>
    <x v="10"/>
    <x v="10"/>
    <x v="10"/>
    <x v="121"/>
    <x v="30"/>
    <x v="65"/>
    <x v="159"/>
    <x v="110"/>
    <x v="142"/>
    <x v="3"/>
  </r>
  <r>
    <x v="0"/>
    <x v="9"/>
    <x v="9"/>
    <x v="14"/>
    <x v="14"/>
    <x v="14"/>
    <x v="11"/>
    <x v="82"/>
    <x v="64"/>
    <x v="34"/>
    <x v="66"/>
    <x v="118"/>
    <x v="153"/>
    <x v="3"/>
  </r>
  <r>
    <x v="0"/>
    <x v="9"/>
    <x v="9"/>
    <x v="9"/>
    <x v="9"/>
    <x v="9"/>
    <x v="12"/>
    <x v="83"/>
    <x v="155"/>
    <x v="109"/>
    <x v="160"/>
    <x v="119"/>
    <x v="154"/>
    <x v="3"/>
  </r>
  <r>
    <x v="0"/>
    <x v="9"/>
    <x v="9"/>
    <x v="12"/>
    <x v="12"/>
    <x v="12"/>
    <x v="13"/>
    <x v="124"/>
    <x v="156"/>
    <x v="106"/>
    <x v="158"/>
    <x v="86"/>
    <x v="155"/>
    <x v="3"/>
  </r>
  <r>
    <x v="0"/>
    <x v="9"/>
    <x v="9"/>
    <x v="18"/>
    <x v="18"/>
    <x v="18"/>
    <x v="14"/>
    <x v="89"/>
    <x v="97"/>
    <x v="34"/>
    <x v="66"/>
    <x v="120"/>
    <x v="135"/>
    <x v="3"/>
  </r>
  <r>
    <x v="0"/>
    <x v="9"/>
    <x v="9"/>
    <x v="7"/>
    <x v="7"/>
    <x v="7"/>
    <x v="15"/>
    <x v="125"/>
    <x v="157"/>
    <x v="37"/>
    <x v="161"/>
    <x v="112"/>
    <x v="156"/>
    <x v="3"/>
  </r>
  <r>
    <x v="0"/>
    <x v="9"/>
    <x v="9"/>
    <x v="19"/>
    <x v="19"/>
    <x v="19"/>
    <x v="16"/>
    <x v="126"/>
    <x v="37"/>
    <x v="50"/>
    <x v="162"/>
    <x v="47"/>
    <x v="114"/>
    <x v="3"/>
  </r>
  <r>
    <x v="0"/>
    <x v="9"/>
    <x v="9"/>
    <x v="17"/>
    <x v="17"/>
    <x v="17"/>
    <x v="16"/>
    <x v="126"/>
    <x v="37"/>
    <x v="97"/>
    <x v="163"/>
    <x v="107"/>
    <x v="157"/>
    <x v="3"/>
  </r>
  <r>
    <x v="0"/>
    <x v="9"/>
    <x v="9"/>
    <x v="31"/>
    <x v="31"/>
    <x v="31"/>
    <x v="16"/>
    <x v="126"/>
    <x v="37"/>
    <x v="110"/>
    <x v="84"/>
    <x v="104"/>
    <x v="158"/>
    <x v="0"/>
  </r>
  <r>
    <x v="0"/>
    <x v="9"/>
    <x v="9"/>
    <x v="16"/>
    <x v="16"/>
    <x v="16"/>
    <x v="19"/>
    <x v="127"/>
    <x v="158"/>
    <x v="51"/>
    <x v="164"/>
    <x v="47"/>
    <x v="114"/>
    <x v="3"/>
  </r>
  <r>
    <x v="0"/>
    <x v="10"/>
    <x v="10"/>
    <x v="0"/>
    <x v="0"/>
    <x v="0"/>
    <x v="0"/>
    <x v="39"/>
    <x v="159"/>
    <x v="114"/>
    <x v="165"/>
    <x v="94"/>
    <x v="159"/>
    <x v="3"/>
  </r>
  <r>
    <x v="0"/>
    <x v="10"/>
    <x v="10"/>
    <x v="1"/>
    <x v="1"/>
    <x v="1"/>
    <x v="1"/>
    <x v="149"/>
    <x v="160"/>
    <x v="44"/>
    <x v="166"/>
    <x v="82"/>
    <x v="160"/>
    <x v="3"/>
  </r>
  <r>
    <x v="0"/>
    <x v="10"/>
    <x v="10"/>
    <x v="2"/>
    <x v="2"/>
    <x v="2"/>
    <x v="2"/>
    <x v="103"/>
    <x v="161"/>
    <x v="115"/>
    <x v="167"/>
    <x v="79"/>
    <x v="25"/>
    <x v="3"/>
  </r>
  <r>
    <x v="0"/>
    <x v="10"/>
    <x v="10"/>
    <x v="4"/>
    <x v="4"/>
    <x v="4"/>
    <x v="3"/>
    <x v="150"/>
    <x v="162"/>
    <x v="77"/>
    <x v="168"/>
    <x v="80"/>
    <x v="161"/>
    <x v="3"/>
  </r>
  <r>
    <x v="0"/>
    <x v="10"/>
    <x v="10"/>
    <x v="5"/>
    <x v="5"/>
    <x v="5"/>
    <x v="4"/>
    <x v="136"/>
    <x v="163"/>
    <x v="104"/>
    <x v="43"/>
    <x v="99"/>
    <x v="162"/>
    <x v="3"/>
  </r>
  <r>
    <x v="0"/>
    <x v="10"/>
    <x v="10"/>
    <x v="6"/>
    <x v="6"/>
    <x v="6"/>
    <x v="5"/>
    <x v="151"/>
    <x v="164"/>
    <x v="69"/>
    <x v="169"/>
    <x v="84"/>
    <x v="163"/>
    <x v="3"/>
  </r>
  <r>
    <x v="0"/>
    <x v="10"/>
    <x v="10"/>
    <x v="3"/>
    <x v="3"/>
    <x v="3"/>
    <x v="6"/>
    <x v="105"/>
    <x v="165"/>
    <x v="116"/>
    <x v="66"/>
    <x v="67"/>
    <x v="164"/>
    <x v="3"/>
  </r>
  <r>
    <x v="0"/>
    <x v="10"/>
    <x v="10"/>
    <x v="8"/>
    <x v="8"/>
    <x v="8"/>
    <x v="7"/>
    <x v="123"/>
    <x v="166"/>
    <x v="92"/>
    <x v="170"/>
    <x v="93"/>
    <x v="165"/>
    <x v="3"/>
  </r>
  <r>
    <x v="0"/>
    <x v="10"/>
    <x v="10"/>
    <x v="10"/>
    <x v="10"/>
    <x v="10"/>
    <x v="8"/>
    <x v="124"/>
    <x v="167"/>
    <x v="117"/>
    <x v="171"/>
    <x v="111"/>
    <x v="166"/>
    <x v="3"/>
  </r>
  <r>
    <x v="0"/>
    <x v="10"/>
    <x v="10"/>
    <x v="13"/>
    <x v="13"/>
    <x v="13"/>
    <x v="9"/>
    <x v="107"/>
    <x v="28"/>
    <x v="116"/>
    <x v="66"/>
    <x v="103"/>
    <x v="167"/>
    <x v="3"/>
  </r>
  <r>
    <x v="0"/>
    <x v="10"/>
    <x v="10"/>
    <x v="12"/>
    <x v="12"/>
    <x v="12"/>
    <x v="10"/>
    <x v="90"/>
    <x v="168"/>
    <x v="34"/>
    <x v="172"/>
    <x v="109"/>
    <x v="168"/>
    <x v="3"/>
  </r>
  <r>
    <x v="0"/>
    <x v="10"/>
    <x v="10"/>
    <x v="11"/>
    <x v="11"/>
    <x v="11"/>
    <x v="11"/>
    <x v="125"/>
    <x v="169"/>
    <x v="109"/>
    <x v="173"/>
    <x v="121"/>
    <x v="169"/>
    <x v="3"/>
  </r>
  <r>
    <x v="0"/>
    <x v="10"/>
    <x v="10"/>
    <x v="14"/>
    <x v="14"/>
    <x v="14"/>
    <x v="12"/>
    <x v="152"/>
    <x v="170"/>
    <x v="110"/>
    <x v="174"/>
    <x v="121"/>
    <x v="169"/>
    <x v="3"/>
  </r>
  <r>
    <x v="0"/>
    <x v="10"/>
    <x v="10"/>
    <x v="9"/>
    <x v="9"/>
    <x v="9"/>
    <x v="13"/>
    <x v="139"/>
    <x v="54"/>
    <x v="81"/>
    <x v="175"/>
    <x v="82"/>
    <x v="160"/>
    <x v="3"/>
  </r>
  <r>
    <x v="0"/>
    <x v="10"/>
    <x v="10"/>
    <x v="32"/>
    <x v="32"/>
    <x v="32"/>
    <x v="14"/>
    <x v="140"/>
    <x v="142"/>
    <x v="110"/>
    <x v="174"/>
    <x v="86"/>
    <x v="170"/>
    <x v="3"/>
  </r>
  <r>
    <x v="0"/>
    <x v="10"/>
    <x v="10"/>
    <x v="30"/>
    <x v="30"/>
    <x v="30"/>
    <x v="15"/>
    <x v="153"/>
    <x v="16"/>
    <x v="80"/>
    <x v="176"/>
    <x v="108"/>
    <x v="171"/>
    <x v="3"/>
  </r>
  <r>
    <x v="0"/>
    <x v="10"/>
    <x v="10"/>
    <x v="28"/>
    <x v="28"/>
    <x v="28"/>
    <x v="16"/>
    <x v="154"/>
    <x v="36"/>
    <x v="36"/>
    <x v="51"/>
    <x v="122"/>
    <x v="172"/>
    <x v="3"/>
  </r>
  <r>
    <x v="0"/>
    <x v="10"/>
    <x v="10"/>
    <x v="15"/>
    <x v="15"/>
    <x v="15"/>
    <x v="16"/>
    <x v="154"/>
    <x v="36"/>
    <x v="82"/>
    <x v="86"/>
    <x v="63"/>
    <x v="173"/>
    <x v="3"/>
  </r>
  <r>
    <x v="0"/>
    <x v="10"/>
    <x v="10"/>
    <x v="23"/>
    <x v="23"/>
    <x v="23"/>
    <x v="18"/>
    <x v="155"/>
    <x v="171"/>
    <x v="81"/>
    <x v="175"/>
    <x v="93"/>
    <x v="165"/>
    <x v="3"/>
  </r>
  <r>
    <x v="0"/>
    <x v="10"/>
    <x v="10"/>
    <x v="29"/>
    <x v="29"/>
    <x v="29"/>
    <x v="19"/>
    <x v="156"/>
    <x v="172"/>
    <x v="97"/>
    <x v="177"/>
    <x v="86"/>
    <x v="170"/>
    <x v="3"/>
  </r>
  <r>
    <x v="0"/>
    <x v="10"/>
    <x v="10"/>
    <x v="33"/>
    <x v="33"/>
    <x v="33"/>
    <x v="19"/>
    <x v="156"/>
    <x v="172"/>
    <x v="36"/>
    <x v="51"/>
    <x v="120"/>
    <x v="174"/>
    <x v="3"/>
  </r>
  <r>
    <x v="0"/>
    <x v="11"/>
    <x v="11"/>
    <x v="0"/>
    <x v="0"/>
    <x v="0"/>
    <x v="0"/>
    <x v="157"/>
    <x v="173"/>
    <x v="118"/>
    <x v="178"/>
    <x v="122"/>
    <x v="175"/>
    <x v="3"/>
  </r>
  <r>
    <x v="0"/>
    <x v="11"/>
    <x v="11"/>
    <x v="1"/>
    <x v="1"/>
    <x v="1"/>
    <x v="0"/>
    <x v="157"/>
    <x v="173"/>
    <x v="119"/>
    <x v="179"/>
    <x v="74"/>
    <x v="136"/>
    <x v="3"/>
  </r>
  <r>
    <x v="0"/>
    <x v="11"/>
    <x v="11"/>
    <x v="4"/>
    <x v="4"/>
    <x v="4"/>
    <x v="2"/>
    <x v="99"/>
    <x v="174"/>
    <x v="113"/>
    <x v="180"/>
    <x v="123"/>
    <x v="176"/>
    <x v="3"/>
  </r>
  <r>
    <x v="0"/>
    <x v="11"/>
    <x v="11"/>
    <x v="3"/>
    <x v="3"/>
    <x v="3"/>
    <x v="3"/>
    <x v="158"/>
    <x v="175"/>
    <x v="69"/>
    <x v="181"/>
    <x v="124"/>
    <x v="177"/>
    <x v="3"/>
  </r>
  <r>
    <x v="0"/>
    <x v="11"/>
    <x v="11"/>
    <x v="2"/>
    <x v="2"/>
    <x v="2"/>
    <x v="4"/>
    <x v="159"/>
    <x v="136"/>
    <x v="105"/>
    <x v="182"/>
    <x v="87"/>
    <x v="178"/>
    <x v="3"/>
  </r>
  <r>
    <x v="0"/>
    <x v="11"/>
    <x v="11"/>
    <x v="6"/>
    <x v="6"/>
    <x v="6"/>
    <x v="5"/>
    <x v="111"/>
    <x v="176"/>
    <x v="105"/>
    <x v="182"/>
    <x v="71"/>
    <x v="179"/>
    <x v="3"/>
  </r>
  <r>
    <x v="0"/>
    <x v="11"/>
    <x v="11"/>
    <x v="5"/>
    <x v="5"/>
    <x v="5"/>
    <x v="6"/>
    <x v="160"/>
    <x v="177"/>
    <x v="104"/>
    <x v="183"/>
    <x v="67"/>
    <x v="180"/>
    <x v="3"/>
  </r>
  <r>
    <x v="0"/>
    <x v="11"/>
    <x v="11"/>
    <x v="11"/>
    <x v="11"/>
    <x v="11"/>
    <x v="7"/>
    <x v="83"/>
    <x v="178"/>
    <x v="117"/>
    <x v="184"/>
    <x v="103"/>
    <x v="181"/>
    <x v="3"/>
  </r>
  <r>
    <x v="0"/>
    <x v="11"/>
    <x v="11"/>
    <x v="8"/>
    <x v="8"/>
    <x v="8"/>
    <x v="8"/>
    <x v="161"/>
    <x v="179"/>
    <x v="76"/>
    <x v="185"/>
    <x v="122"/>
    <x v="175"/>
    <x v="3"/>
  </r>
  <r>
    <x v="0"/>
    <x v="11"/>
    <x v="11"/>
    <x v="10"/>
    <x v="10"/>
    <x v="10"/>
    <x v="9"/>
    <x v="124"/>
    <x v="180"/>
    <x v="64"/>
    <x v="186"/>
    <x v="125"/>
    <x v="182"/>
    <x v="3"/>
  </r>
  <r>
    <x v="0"/>
    <x v="11"/>
    <x v="11"/>
    <x v="9"/>
    <x v="9"/>
    <x v="9"/>
    <x v="10"/>
    <x v="88"/>
    <x v="168"/>
    <x v="80"/>
    <x v="187"/>
    <x v="71"/>
    <x v="179"/>
    <x v="3"/>
  </r>
  <r>
    <x v="0"/>
    <x v="11"/>
    <x v="11"/>
    <x v="12"/>
    <x v="12"/>
    <x v="12"/>
    <x v="11"/>
    <x v="137"/>
    <x v="181"/>
    <x v="120"/>
    <x v="188"/>
    <x v="109"/>
    <x v="87"/>
    <x v="3"/>
  </r>
  <r>
    <x v="0"/>
    <x v="11"/>
    <x v="11"/>
    <x v="14"/>
    <x v="14"/>
    <x v="14"/>
    <x v="12"/>
    <x v="91"/>
    <x v="13"/>
    <x v="55"/>
    <x v="189"/>
    <x v="74"/>
    <x v="136"/>
    <x v="3"/>
  </r>
  <r>
    <x v="0"/>
    <x v="11"/>
    <x v="11"/>
    <x v="13"/>
    <x v="13"/>
    <x v="13"/>
    <x v="13"/>
    <x v="125"/>
    <x v="170"/>
    <x v="80"/>
    <x v="187"/>
    <x v="47"/>
    <x v="183"/>
    <x v="3"/>
  </r>
  <r>
    <x v="0"/>
    <x v="11"/>
    <x v="11"/>
    <x v="24"/>
    <x v="24"/>
    <x v="24"/>
    <x v="14"/>
    <x v="162"/>
    <x v="182"/>
    <x v="81"/>
    <x v="162"/>
    <x v="85"/>
    <x v="58"/>
    <x v="3"/>
  </r>
  <r>
    <x v="0"/>
    <x v="11"/>
    <x v="11"/>
    <x v="15"/>
    <x v="15"/>
    <x v="15"/>
    <x v="15"/>
    <x v="128"/>
    <x v="33"/>
    <x v="82"/>
    <x v="86"/>
    <x v="82"/>
    <x v="34"/>
    <x v="3"/>
  </r>
  <r>
    <x v="0"/>
    <x v="11"/>
    <x v="11"/>
    <x v="26"/>
    <x v="26"/>
    <x v="26"/>
    <x v="16"/>
    <x v="129"/>
    <x v="183"/>
    <x v="36"/>
    <x v="190"/>
    <x v="74"/>
    <x v="136"/>
    <x v="3"/>
  </r>
  <r>
    <x v="0"/>
    <x v="11"/>
    <x v="11"/>
    <x v="18"/>
    <x v="18"/>
    <x v="18"/>
    <x v="17"/>
    <x v="130"/>
    <x v="55"/>
    <x v="80"/>
    <x v="187"/>
    <x v="86"/>
    <x v="184"/>
    <x v="3"/>
  </r>
  <r>
    <x v="0"/>
    <x v="11"/>
    <x v="11"/>
    <x v="17"/>
    <x v="17"/>
    <x v="17"/>
    <x v="18"/>
    <x v="141"/>
    <x v="184"/>
    <x v="70"/>
    <x v="191"/>
    <x v="120"/>
    <x v="165"/>
    <x v="3"/>
  </r>
  <r>
    <x v="0"/>
    <x v="11"/>
    <x v="11"/>
    <x v="30"/>
    <x v="30"/>
    <x v="30"/>
    <x v="18"/>
    <x v="141"/>
    <x v="184"/>
    <x v="15"/>
    <x v="176"/>
    <x v="109"/>
    <x v="87"/>
    <x v="3"/>
  </r>
  <r>
    <x v="0"/>
    <x v="12"/>
    <x v="12"/>
    <x v="0"/>
    <x v="0"/>
    <x v="0"/>
    <x v="0"/>
    <x v="118"/>
    <x v="185"/>
    <x v="121"/>
    <x v="192"/>
    <x v="107"/>
    <x v="185"/>
    <x v="3"/>
  </r>
  <r>
    <x v="0"/>
    <x v="12"/>
    <x v="12"/>
    <x v="1"/>
    <x v="1"/>
    <x v="1"/>
    <x v="1"/>
    <x v="163"/>
    <x v="186"/>
    <x v="122"/>
    <x v="193"/>
    <x v="93"/>
    <x v="186"/>
    <x v="3"/>
  </r>
  <r>
    <x v="0"/>
    <x v="12"/>
    <x v="12"/>
    <x v="3"/>
    <x v="3"/>
    <x v="3"/>
    <x v="2"/>
    <x v="160"/>
    <x v="187"/>
    <x v="98"/>
    <x v="10"/>
    <x v="126"/>
    <x v="187"/>
    <x v="3"/>
  </r>
  <r>
    <x v="0"/>
    <x v="12"/>
    <x v="12"/>
    <x v="4"/>
    <x v="4"/>
    <x v="4"/>
    <x v="3"/>
    <x v="151"/>
    <x v="188"/>
    <x v="76"/>
    <x v="194"/>
    <x v="88"/>
    <x v="188"/>
    <x v="3"/>
  </r>
  <r>
    <x v="0"/>
    <x v="12"/>
    <x v="12"/>
    <x v="8"/>
    <x v="8"/>
    <x v="8"/>
    <x v="4"/>
    <x v="113"/>
    <x v="189"/>
    <x v="104"/>
    <x v="195"/>
    <x v="86"/>
    <x v="26"/>
    <x v="3"/>
  </r>
  <r>
    <x v="0"/>
    <x v="12"/>
    <x v="12"/>
    <x v="5"/>
    <x v="5"/>
    <x v="5"/>
    <x v="5"/>
    <x v="164"/>
    <x v="190"/>
    <x v="120"/>
    <x v="196"/>
    <x v="85"/>
    <x v="189"/>
    <x v="3"/>
  </r>
  <r>
    <x v="0"/>
    <x v="12"/>
    <x v="12"/>
    <x v="6"/>
    <x v="6"/>
    <x v="6"/>
    <x v="6"/>
    <x v="114"/>
    <x v="191"/>
    <x v="120"/>
    <x v="196"/>
    <x v="104"/>
    <x v="190"/>
    <x v="0"/>
  </r>
  <r>
    <x v="0"/>
    <x v="12"/>
    <x v="12"/>
    <x v="7"/>
    <x v="7"/>
    <x v="7"/>
    <x v="7"/>
    <x v="137"/>
    <x v="192"/>
    <x v="47"/>
    <x v="197"/>
    <x v="122"/>
    <x v="191"/>
    <x v="3"/>
  </r>
  <r>
    <x v="0"/>
    <x v="12"/>
    <x v="12"/>
    <x v="15"/>
    <x v="15"/>
    <x v="15"/>
    <x v="8"/>
    <x v="162"/>
    <x v="78"/>
    <x v="82"/>
    <x v="86"/>
    <x v="121"/>
    <x v="192"/>
    <x v="3"/>
  </r>
  <r>
    <x v="0"/>
    <x v="12"/>
    <x v="12"/>
    <x v="11"/>
    <x v="11"/>
    <x v="11"/>
    <x v="9"/>
    <x v="152"/>
    <x v="193"/>
    <x v="35"/>
    <x v="198"/>
    <x v="122"/>
    <x v="191"/>
    <x v="3"/>
  </r>
  <r>
    <x v="0"/>
    <x v="12"/>
    <x v="12"/>
    <x v="2"/>
    <x v="2"/>
    <x v="2"/>
    <x v="10"/>
    <x v="128"/>
    <x v="194"/>
    <x v="55"/>
    <x v="31"/>
    <x v="120"/>
    <x v="193"/>
    <x v="3"/>
  </r>
  <r>
    <x v="0"/>
    <x v="12"/>
    <x v="12"/>
    <x v="10"/>
    <x v="10"/>
    <x v="10"/>
    <x v="11"/>
    <x v="139"/>
    <x v="195"/>
    <x v="54"/>
    <x v="128"/>
    <x v="127"/>
    <x v="194"/>
    <x v="3"/>
  </r>
  <r>
    <x v="0"/>
    <x v="12"/>
    <x v="12"/>
    <x v="12"/>
    <x v="12"/>
    <x v="12"/>
    <x v="12"/>
    <x v="140"/>
    <x v="196"/>
    <x v="37"/>
    <x v="199"/>
    <x v="127"/>
    <x v="194"/>
    <x v="3"/>
  </r>
  <r>
    <x v="0"/>
    <x v="12"/>
    <x v="12"/>
    <x v="13"/>
    <x v="13"/>
    <x v="13"/>
    <x v="13"/>
    <x v="141"/>
    <x v="197"/>
    <x v="55"/>
    <x v="31"/>
    <x v="108"/>
    <x v="98"/>
    <x v="3"/>
  </r>
  <r>
    <x v="0"/>
    <x v="12"/>
    <x v="12"/>
    <x v="18"/>
    <x v="18"/>
    <x v="18"/>
    <x v="13"/>
    <x v="141"/>
    <x v="197"/>
    <x v="55"/>
    <x v="31"/>
    <x v="108"/>
    <x v="98"/>
    <x v="3"/>
  </r>
  <r>
    <x v="0"/>
    <x v="12"/>
    <x v="12"/>
    <x v="26"/>
    <x v="26"/>
    <x v="26"/>
    <x v="15"/>
    <x v="154"/>
    <x v="198"/>
    <x v="50"/>
    <x v="200"/>
    <x v="110"/>
    <x v="195"/>
    <x v="3"/>
  </r>
  <r>
    <x v="0"/>
    <x v="12"/>
    <x v="12"/>
    <x v="14"/>
    <x v="14"/>
    <x v="14"/>
    <x v="15"/>
    <x v="154"/>
    <x v="198"/>
    <x v="70"/>
    <x v="160"/>
    <x v="110"/>
    <x v="195"/>
    <x v="3"/>
  </r>
  <r>
    <x v="0"/>
    <x v="12"/>
    <x v="12"/>
    <x v="9"/>
    <x v="9"/>
    <x v="9"/>
    <x v="17"/>
    <x v="155"/>
    <x v="199"/>
    <x v="70"/>
    <x v="160"/>
    <x v="110"/>
    <x v="195"/>
    <x v="3"/>
  </r>
  <r>
    <x v="0"/>
    <x v="12"/>
    <x v="12"/>
    <x v="30"/>
    <x v="30"/>
    <x v="30"/>
    <x v="17"/>
    <x v="155"/>
    <x v="199"/>
    <x v="70"/>
    <x v="160"/>
    <x v="110"/>
    <x v="195"/>
    <x v="3"/>
  </r>
  <r>
    <x v="0"/>
    <x v="12"/>
    <x v="12"/>
    <x v="29"/>
    <x v="29"/>
    <x v="29"/>
    <x v="19"/>
    <x v="165"/>
    <x v="200"/>
    <x v="110"/>
    <x v="201"/>
    <x v="83"/>
    <x v="196"/>
    <x v="3"/>
  </r>
  <r>
    <x v="0"/>
    <x v="12"/>
    <x v="12"/>
    <x v="17"/>
    <x v="17"/>
    <x v="17"/>
    <x v="19"/>
    <x v="165"/>
    <x v="200"/>
    <x v="82"/>
    <x v="86"/>
    <x v="120"/>
    <x v="193"/>
    <x v="3"/>
  </r>
  <r>
    <x v="0"/>
    <x v="13"/>
    <x v="13"/>
    <x v="1"/>
    <x v="1"/>
    <x v="1"/>
    <x v="0"/>
    <x v="145"/>
    <x v="201"/>
    <x v="123"/>
    <x v="202"/>
    <x v="86"/>
    <x v="193"/>
    <x v="3"/>
  </r>
  <r>
    <x v="0"/>
    <x v="13"/>
    <x v="13"/>
    <x v="0"/>
    <x v="0"/>
    <x v="0"/>
    <x v="1"/>
    <x v="163"/>
    <x v="202"/>
    <x v="124"/>
    <x v="203"/>
    <x v="112"/>
    <x v="197"/>
    <x v="3"/>
  </r>
  <r>
    <x v="0"/>
    <x v="13"/>
    <x v="13"/>
    <x v="4"/>
    <x v="4"/>
    <x v="4"/>
    <x v="2"/>
    <x v="81"/>
    <x v="203"/>
    <x v="120"/>
    <x v="204"/>
    <x v="114"/>
    <x v="198"/>
    <x v="3"/>
  </r>
  <r>
    <x v="0"/>
    <x v="13"/>
    <x v="13"/>
    <x v="7"/>
    <x v="7"/>
    <x v="7"/>
    <x v="3"/>
    <x v="136"/>
    <x v="204"/>
    <x v="74"/>
    <x v="205"/>
    <x v="47"/>
    <x v="199"/>
    <x v="3"/>
  </r>
  <r>
    <x v="0"/>
    <x v="13"/>
    <x v="13"/>
    <x v="3"/>
    <x v="3"/>
    <x v="3"/>
    <x v="4"/>
    <x v="166"/>
    <x v="205"/>
    <x v="120"/>
    <x v="204"/>
    <x v="98"/>
    <x v="200"/>
    <x v="3"/>
  </r>
  <r>
    <x v="0"/>
    <x v="13"/>
    <x v="13"/>
    <x v="5"/>
    <x v="5"/>
    <x v="5"/>
    <x v="5"/>
    <x v="151"/>
    <x v="206"/>
    <x v="64"/>
    <x v="206"/>
    <x v="121"/>
    <x v="201"/>
    <x v="3"/>
  </r>
  <r>
    <x v="0"/>
    <x v="13"/>
    <x v="13"/>
    <x v="6"/>
    <x v="6"/>
    <x v="6"/>
    <x v="6"/>
    <x v="113"/>
    <x v="207"/>
    <x v="104"/>
    <x v="207"/>
    <x v="74"/>
    <x v="202"/>
    <x v="3"/>
  </r>
  <r>
    <x v="0"/>
    <x v="13"/>
    <x v="13"/>
    <x v="9"/>
    <x v="9"/>
    <x v="9"/>
    <x v="7"/>
    <x v="167"/>
    <x v="208"/>
    <x v="108"/>
    <x v="208"/>
    <x v="121"/>
    <x v="201"/>
    <x v="3"/>
  </r>
  <r>
    <x v="0"/>
    <x v="13"/>
    <x v="13"/>
    <x v="11"/>
    <x v="11"/>
    <x v="11"/>
    <x v="8"/>
    <x v="90"/>
    <x v="121"/>
    <x v="54"/>
    <x v="172"/>
    <x v="122"/>
    <x v="84"/>
    <x v="3"/>
  </r>
  <r>
    <x v="0"/>
    <x v="13"/>
    <x v="13"/>
    <x v="15"/>
    <x v="15"/>
    <x v="15"/>
    <x v="9"/>
    <x v="152"/>
    <x v="138"/>
    <x v="82"/>
    <x v="86"/>
    <x v="85"/>
    <x v="203"/>
    <x v="3"/>
  </r>
  <r>
    <x v="0"/>
    <x v="13"/>
    <x v="13"/>
    <x v="13"/>
    <x v="13"/>
    <x v="13"/>
    <x v="10"/>
    <x v="139"/>
    <x v="169"/>
    <x v="15"/>
    <x v="209"/>
    <x v="120"/>
    <x v="22"/>
    <x v="3"/>
  </r>
  <r>
    <x v="0"/>
    <x v="13"/>
    <x v="13"/>
    <x v="8"/>
    <x v="8"/>
    <x v="8"/>
    <x v="11"/>
    <x v="129"/>
    <x v="209"/>
    <x v="55"/>
    <x v="66"/>
    <x v="108"/>
    <x v="204"/>
    <x v="3"/>
  </r>
  <r>
    <x v="0"/>
    <x v="13"/>
    <x v="13"/>
    <x v="2"/>
    <x v="2"/>
    <x v="2"/>
    <x v="12"/>
    <x v="140"/>
    <x v="82"/>
    <x v="55"/>
    <x v="66"/>
    <x v="109"/>
    <x v="205"/>
    <x v="3"/>
  </r>
  <r>
    <x v="0"/>
    <x v="13"/>
    <x v="13"/>
    <x v="12"/>
    <x v="12"/>
    <x v="12"/>
    <x v="13"/>
    <x v="155"/>
    <x v="210"/>
    <x v="55"/>
    <x v="66"/>
    <x v="127"/>
    <x v="206"/>
    <x v="3"/>
  </r>
  <r>
    <x v="0"/>
    <x v="13"/>
    <x v="13"/>
    <x v="10"/>
    <x v="10"/>
    <x v="10"/>
    <x v="13"/>
    <x v="155"/>
    <x v="210"/>
    <x v="109"/>
    <x v="210"/>
    <x v="128"/>
    <x v="207"/>
    <x v="3"/>
  </r>
  <r>
    <x v="0"/>
    <x v="13"/>
    <x v="13"/>
    <x v="20"/>
    <x v="20"/>
    <x v="20"/>
    <x v="15"/>
    <x v="165"/>
    <x v="17"/>
    <x v="97"/>
    <x v="102"/>
    <x v="93"/>
    <x v="208"/>
    <x v="3"/>
  </r>
  <r>
    <x v="0"/>
    <x v="13"/>
    <x v="13"/>
    <x v="26"/>
    <x v="26"/>
    <x v="26"/>
    <x v="16"/>
    <x v="168"/>
    <x v="211"/>
    <x v="70"/>
    <x v="211"/>
    <x v="111"/>
    <x v="209"/>
    <x v="3"/>
  </r>
  <r>
    <x v="0"/>
    <x v="13"/>
    <x v="13"/>
    <x v="29"/>
    <x v="29"/>
    <x v="29"/>
    <x v="16"/>
    <x v="168"/>
    <x v="211"/>
    <x v="51"/>
    <x v="212"/>
    <x v="109"/>
    <x v="205"/>
    <x v="3"/>
  </r>
  <r>
    <x v="0"/>
    <x v="13"/>
    <x v="13"/>
    <x v="34"/>
    <x v="34"/>
    <x v="34"/>
    <x v="16"/>
    <x v="168"/>
    <x v="211"/>
    <x v="81"/>
    <x v="213"/>
    <x v="108"/>
    <x v="204"/>
    <x v="3"/>
  </r>
  <r>
    <x v="0"/>
    <x v="13"/>
    <x v="13"/>
    <x v="14"/>
    <x v="14"/>
    <x v="14"/>
    <x v="16"/>
    <x v="168"/>
    <x v="211"/>
    <x v="81"/>
    <x v="213"/>
    <x v="108"/>
    <x v="204"/>
    <x v="3"/>
  </r>
  <r>
    <x v="0"/>
    <x v="14"/>
    <x v="14"/>
    <x v="0"/>
    <x v="0"/>
    <x v="0"/>
    <x v="0"/>
    <x v="169"/>
    <x v="212"/>
    <x v="87"/>
    <x v="214"/>
    <x v="117"/>
    <x v="210"/>
    <x v="3"/>
  </r>
  <r>
    <x v="0"/>
    <x v="14"/>
    <x v="14"/>
    <x v="1"/>
    <x v="1"/>
    <x v="1"/>
    <x v="1"/>
    <x v="56"/>
    <x v="213"/>
    <x v="118"/>
    <x v="215"/>
    <x v="65"/>
    <x v="31"/>
    <x v="3"/>
  </r>
  <r>
    <x v="0"/>
    <x v="14"/>
    <x v="14"/>
    <x v="3"/>
    <x v="3"/>
    <x v="3"/>
    <x v="2"/>
    <x v="39"/>
    <x v="203"/>
    <x v="91"/>
    <x v="216"/>
    <x v="129"/>
    <x v="211"/>
    <x v="3"/>
  </r>
  <r>
    <x v="0"/>
    <x v="14"/>
    <x v="14"/>
    <x v="7"/>
    <x v="7"/>
    <x v="7"/>
    <x v="2"/>
    <x v="39"/>
    <x v="203"/>
    <x v="125"/>
    <x v="217"/>
    <x v="113"/>
    <x v="212"/>
    <x v="3"/>
  </r>
  <r>
    <x v="0"/>
    <x v="14"/>
    <x v="14"/>
    <x v="4"/>
    <x v="4"/>
    <x v="4"/>
    <x v="4"/>
    <x v="170"/>
    <x v="214"/>
    <x v="69"/>
    <x v="218"/>
    <x v="57"/>
    <x v="213"/>
    <x v="3"/>
  </r>
  <r>
    <x v="0"/>
    <x v="14"/>
    <x v="14"/>
    <x v="2"/>
    <x v="2"/>
    <x v="2"/>
    <x v="5"/>
    <x v="120"/>
    <x v="215"/>
    <x v="35"/>
    <x v="219"/>
    <x v="76"/>
    <x v="214"/>
    <x v="0"/>
  </r>
  <r>
    <x v="0"/>
    <x v="14"/>
    <x v="14"/>
    <x v="5"/>
    <x v="5"/>
    <x v="5"/>
    <x v="6"/>
    <x v="147"/>
    <x v="216"/>
    <x v="69"/>
    <x v="218"/>
    <x v="118"/>
    <x v="215"/>
    <x v="3"/>
  </r>
  <r>
    <x v="0"/>
    <x v="14"/>
    <x v="14"/>
    <x v="6"/>
    <x v="6"/>
    <x v="6"/>
    <x v="7"/>
    <x v="121"/>
    <x v="217"/>
    <x v="77"/>
    <x v="220"/>
    <x v="107"/>
    <x v="57"/>
    <x v="3"/>
  </r>
  <r>
    <x v="0"/>
    <x v="14"/>
    <x v="14"/>
    <x v="11"/>
    <x v="11"/>
    <x v="11"/>
    <x v="8"/>
    <x v="166"/>
    <x v="154"/>
    <x v="54"/>
    <x v="221"/>
    <x v="130"/>
    <x v="216"/>
    <x v="3"/>
  </r>
  <r>
    <x v="0"/>
    <x v="14"/>
    <x v="14"/>
    <x v="9"/>
    <x v="9"/>
    <x v="9"/>
    <x v="9"/>
    <x v="112"/>
    <x v="218"/>
    <x v="55"/>
    <x v="146"/>
    <x v="119"/>
    <x v="117"/>
    <x v="3"/>
  </r>
  <r>
    <x v="0"/>
    <x v="14"/>
    <x v="14"/>
    <x v="8"/>
    <x v="8"/>
    <x v="8"/>
    <x v="9"/>
    <x v="112"/>
    <x v="218"/>
    <x v="103"/>
    <x v="222"/>
    <x v="103"/>
    <x v="217"/>
    <x v="3"/>
  </r>
  <r>
    <x v="0"/>
    <x v="14"/>
    <x v="14"/>
    <x v="10"/>
    <x v="10"/>
    <x v="10"/>
    <x v="11"/>
    <x v="171"/>
    <x v="9"/>
    <x v="68"/>
    <x v="223"/>
    <x v="111"/>
    <x v="218"/>
    <x v="3"/>
  </r>
  <r>
    <x v="0"/>
    <x v="14"/>
    <x v="14"/>
    <x v="14"/>
    <x v="14"/>
    <x v="14"/>
    <x v="12"/>
    <x v="172"/>
    <x v="219"/>
    <x v="126"/>
    <x v="210"/>
    <x v="99"/>
    <x v="219"/>
    <x v="3"/>
  </r>
  <r>
    <x v="0"/>
    <x v="14"/>
    <x v="14"/>
    <x v="12"/>
    <x v="12"/>
    <x v="12"/>
    <x v="13"/>
    <x v="123"/>
    <x v="50"/>
    <x v="79"/>
    <x v="224"/>
    <x v="74"/>
    <x v="53"/>
    <x v="3"/>
  </r>
  <r>
    <x v="0"/>
    <x v="14"/>
    <x v="14"/>
    <x v="16"/>
    <x v="16"/>
    <x v="16"/>
    <x v="14"/>
    <x v="161"/>
    <x v="108"/>
    <x v="70"/>
    <x v="84"/>
    <x v="67"/>
    <x v="181"/>
    <x v="3"/>
  </r>
  <r>
    <x v="0"/>
    <x v="14"/>
    <x v="14"/>
    <x v="15"/>
    <x v="15"/>
    <x v="15"/>
    <x v="14"/>
    <x v="161"/>
    <x v="108"/>
    <x v="82"/>
    <x v="86"/>
    <x v="120"/>
    <x v="87"/>
    <x v="3"/>
  </r>
  <r>
    <x v="0"/>
    <x v="14"/>
    <x v="14"/>
    <x v="13"/>
    <x v="13"/>
    <x v="13"/>
    <x v="16"/>
    <x v="87"/>
    <x v="196"/>
    <x v="53"/>
    <x v="225"/>
    <x v="74"/>
    <x v="53"/>
    <x v="3"/>
  </r>
  <r>
    <x v="0"/>
    <x v="14"/>
    <x v="14"/>
    <x v="28"/>
    <x v="28"/>
    <x v="28"/>
    <x v="17"/>
    <x v="88"/>
    <x v="220"/>
    <x v="97"/>
    <x v="226"/>
    <x v="81"/>
    <x v="191"/>
    <x v="3"/>
  </r>
  <r>
    <x v="0"/>
    <x v="14"/>
    <x v="14"/>
    <x v="19"/>
    <x v="19"/>
    <x v="19"/>
    <x v="18"/>
    <x v="91"/>
    <x v="221"/>
    <x v="50"/>
    <x v="227"/>
    <x v="103"/>
    <x v="217"/>
    <x v="3"/>
  </r>
  <r>
    <x v="0"/>
    <x v="14"/>
    <x v="14"/>
    <x v="18"/>
    <x v="18"/>
    <x v="18"/>
    <x v="19"/>
    <x v="173"/>
    <x v="128"/>
    <x v="37"/>
    <x v="228"/>
    <x v="122"/>
    <x v="220"/>
    <x v="3"/>
  </r>
  <r>
    <x v="0"/>
    <x v="15"/>
    <x v="15"/>
    <x v="1"/>
    <x v="1"/>
    <x v="1"/>
    <x v="0"/>
    <x v="53"/>
    <x v="222"/>
    <x v="127"/>
    <x v="229"/>
    <x v="71"/>
    <x v="221"/>
    <x v="3"/>
  </r>
  <r>
    <x v="0"/>
    <x v="15"/>
    <x v="15"/>
    <x v="0"/>
    <x v="0"/>
    <x v="0"/>
    <x v="1"/>
    <x v="174"/>
    <x v="223"/>
    <x v="86"/>
    <x v="230"/>
    <x v="87"/>
    <x v="222"/>
    <x v="3"/>
  </r>
  <r>
    <x v="0"/>
    <x v="15"/>
    <x v="15"/>
    <x v="4"/>
    <x v="4"/>
    <x v="4"/>
    <x v="2"/>
    <x v="175"/>
    <x v="224"/>
    <x v="49"/>
    <x v="231"/>
    <x v="77"/>
    <x v="223"/>
    <x v="3"/>
  </r>
  <r>
    <x v="0"/>
    <x v="15"/>
    <x v="15"/>
    <x v="2"/>
    <x v="2"/>
    <x v="2"/>
    <x v="3"/>
    <x v="176"/>
    <x v="225"/>
    <x v="125"/>
    <x v="232"/>
    <x v="78"/>
    <x v="224"/>
    <x v="3"/>
  </r>
  <r>
    <x v="0"/>
    <x v="15"/>
    <x v="15"/>
    <x v="3"/>
    <x v="3"/>
    <x v="3"/>
    <x v="4"/>
    <x v="57"/>
    <x v="226"/>
    <x v="104"/>
    <x v="98"/>
    <x v="131"/>
    <x v="225"/>
    <x v="3"/>
  </r>
  <r>
    <x v="0"/>
    <x v="15"/>
    <x v="15"/>
    <x v="8"/>
    <x v="8"/>
    <x v="8"/>
    <x v="5"/>
    <x v="119"/>
    <x v="227"/>
    <x v="92"/>
    <x v="185"/>
    <x v="85"/>
    <x v="226"/>
    <x v="0"/>
  </r>
  <r>
    <x v="0"/>
    <x v="15"/>
    <x v="15"/>
    <x v="5"/>
    <x v="5"/>
    <x v="5"/>
    <x v="6"/>
    <x v="177"/>
    <x v="228"/>
    <x v="105"/>
    <x v="233"/>
    <x v="80"/>
    <x v="227"/>
    <x v="3"/>
  </r>
  <r>
    <x v="0"/>
    <x v="15"/>
    <x v="15"/>
    <x v="6"/>
    <x v="6"/>
    <x v="6"/>
    <x v="7"/>
    <x v="147"/>
    <x v="229"/>
    <x v="96"/>
    <x v="234"/>
    <x v="47"/>
    <x v="174"/>
    <x v="0"/>
  </r>
  <r>
    <x v="0"/>
    <x v="15"/>
    <x v="15"/>
    <x v="10"/>
    <x v="10"/>
    <x v="10"/>
    <x v="8"/>
    <x v="148"/>
    <x v="8"/>
    <x v="89"/>
    <x v="235"/>
    <x v="111"/>
    <x v="47"/>
    <x v="0"/>
  </r>
  <r>
    <x v="0"/>
    <x v="15"/>
    <x v="15"/>
    <x v="34"/>
    <x v="34"/>
    <x v="34"/>
    <x v="9"/>
    <x v="73"/>
    <x v="230"/>
    <x v="128"/>
    <x v="236"/>
    <x v="47"/>
    <x v="174"/>
    <x v="3"/>
  </r>
  <r>
    <x v="0"/>
    <x v="15"/>
    <x v="15"/>
    <x v="11"/>
    <x v="11"/>
    <x v="11"/>
    <x v="10"/>
    <x v="82"/>
    <x v="29"/>
    <x v="106"/>
    <x v="237"/>
    <x v="98"/>
    <x v="153"/>
    <x v="3"/>
  </r>
  <r>
    <x v="0"/>
    <x v="15"/>
    <x v="15"/>
    <x v="9"/>
    <x v="9"/>
    <x v="9"/>
    <x v="11"/>
    <x v="166"/>
    <x v="231"/>
    <x v="35"/>
    <x v="238"/>
    <x v="119"/>
    <x v="228"/>
    <x v="3"/>
  </r>
  <r>
    <x v="0"/>
    <x v="15"/>
    <x v="15"/>
    <x v="12"/>
    <x v="12"/>
    <x v="12"/>
    <x v="12"/>
    <x v="124"/>
    <x v="82"/>
    <x v="103"/>
    <x v="239"/>
    <x v="120"/>
    <x v="229"/>
    <x v="3"/>
  </r>
  <r>
    <x v="0"/>
    <x v="15"/>
    <x v="15"/>
    <x v="18"/>
    <x v="18"/>
    <x v="18"/>
    <x v="13"/>
    <x v="107"/>
    <x v="232"/>
    <x v="108"/>
    <x v="240"/>
    <x v="85"/>
    <x v="226"/>
    <x v="3"/>
  </r>
  <r>
    <x v="0"/>
    <x v="15"/>
    <x v="15"/>
    <x v="14"/>
    <x v="14"/>
    <x v="14"/>
    <x v="14"/>
    <x v="89"/>
    <x v="233"/>
    <x v="35"/>
    <x v="238"/>
    <x v="103"/>
    <x v="76"/>
    <x v="3"/>
  </r>
  <r>
    <x v="0"/>
    <x v="15"/>
    <x v="15"/>
    <x v="16"/>
    <x v="16"/>
    <x v="16"/>
    <x v="15"/>
    <x v="167"/>
    <x v="97"/>
    <x v="109"/>
    <x v="241"/>
    <x v="74"/>
    <x v="230"/>
    <x v="3"/>
  </r>
  <r>
    <x v="0"/>
    <x v="15"/>
    <x v="15"/>
    <x v="17"/>
    <x v="17"/>
    <x v="17"/>
    <x v="16"/>
    <x v="90"/>
    <x v="34"/>
    <x v="36"/>
    <x v="242"/>
    <x v="88"/>
    <x v="160"/>
    <x v="3"/>
  </r>
  <r>
    <x v="0"/>
    <x v="15"/>
    <x v="15"/>
    <x v="21"/>
    <x v="21"/>
    <x v="21"/>
    <x v="17"/>
    <x v="91"/>
    <x v="142"/>
    <x v="82"/>
    <x v="86"/>
    <x v="88"/>
    <x v="160"/>
    <x v="3"/>
  </r>
  <r>
    <x v="0"/>
    <x v="15"/>
    <x v="15"/>
    <x v="15"/>
    <x v="15"/>
    <x v="15"/>
    <x v="18"/>
    <x v="125"/>
    <x v="234"/>
    <x v="36"/>
    <x v="242"/>
    <x v="103"/>
    <x v="76"/>
    <x v="3"/>
  </r>
  <r>
    <x v="0"/>
    <x v="15"/>
    <x v="15"/>
    <x v="29"/>
    <x v="29"/>
    <x v="29"/>
    <x v="19"/>
    <x v="162"/>
    <x v="200"/>
    <x v="55"/>
    <x v="243"/>
    <x v="63"/>
    <x v="184"/>
    <x v="3"/>
  </r>
  <r>
    <x v="0"/>
    <x v="15"/>
    <x v="15"/>
    <x v="20"/>
    <x v="20"/>
    <x v="20"/>
    <x v="19"/>
    <x v="162"/>
    <x v="200"/>
    <x v="81"/>
    <x v="102"/>
    <x v="85"/>
    <x v="226"/>
    <x v="3"/>
  </r>
  <r>
    <x v="0"/>
    <x v="16"/>
    <x v="16"/>
    <x v="0"/>
    <x v="0"/>
    <x v="0"/>
    <x v="0"/>
    <x v="178"/>
    <x v="235"/>
    <x v="129"/>
    <x v="244"/>
    <x v="81"/>
    <x v="92"/>
    <x v="3"/>
  </r>
  <r>
    <x v="0"/>
    <x v="16"/>
    <x v="16"/>
    <x v="1"/>
    <x v="1"/>
    <x v="1"/>
    <x v="1"/>
    <x v="179"/>
    <x v="236"/>
    <x v="130"/>
    <x v="245"/>
    <x v="130"/>
    <x v="78"/>
    <x v="3"/>
  </r>
  <r>
    <x v="0"/>
    <x v="16"/>
    <x v="16"/>
    <x v="3"/>
    <x v="3"/>
    <x v="3"/>
    <x v="2"/>
    <x v="180"/>
    <x v="237"/>
    <x v="88"/>
    <x v="246"/>
    <x v="132"/>
    <x v="231"/>
    <x v="3"/>
  </r>
  <r>
    <x v="0"/>
    <x v="16"/>
    <x v="16"/>
    <x v="4"/>
    <x v="4"/>
    <x v="4"/>
    <x v="3"/>
    <x v="181"/>
    <x v="238"/>
    <x v="131"/>
    <x v="247"/>
    <x v="133"/>
    <x v="232"/>
    <x v="3"/>
  </r>
  <r>
    <x v="0"/>
    <x v="16"/>
    <x v="16"/>
    <x v="5"/>
    <x v="5"/>
    <x v="5"/>
    <x v="4"/>
    <x v="182"/>
    <x v="239"/>
    <x v="132"/>
    <x v="248"/>
    <x v="73"/>
    <x v="233"/>
    <x v="3"/>
  </r>
  <r>
    <x v="0"/>
    <x v="16"/>
    <x v="16"/>
    <x v="6"/>
    <x v="6"/>
    <x v="6"/>
    <x v="5"/>
    <x v="66"/>
    <x v="105"/>
    <x v="44"/>
    <x v="41"/>
    <x v="117"/>
    <x v="234"/>
    <x v="3"/>
  </r>
  <r>
    <x v="0"/>
    <x v="16"/>
    <x v="16"/>
    <x v="2"/>
    <x v="2"/>
    <x v="2"/>
    <x v="6"/>
    <x v="183"/>
    <x v="91"/>
    <x v="133"/>
    <x v="239"/>
    <x v="96"/>
    <x v="235"/>
    <x v="3"/>
  </r>
  <r>
    <x v="0"/>
    <x v="16"/>
    <x v="16"/>
    <x v="10"/>
    <x v="10"/>
    <x v="10"/>
    <x v="7"/>
    <x v="157"/>
    <x v="166"/>
    <x v="118"/>
    <x v="249"/>
    <x v="122"/>
    <x v="236"/>
    <x v="3"/>
  </r>
  <r>
    <x v="0"/>
    <x v="16"/>
    <x v="16"/>
    <x v="11"/>
    <x v="11"/>
    <x v="11"/>
    <x v="8"/>
    <x v="101"/>
    <x v="240"/>
    <x v="134"/>
    <x v="250"/>
    <x v="68"/>
    <x v="237"/>
    <x v="3"/>
  </r>
  <r>
    <x v="0"/>
    <x v="16"/>
    <x v="16"/>
    <x v="8"/>
    <x v="8"/>
    <x v="8"/>
    <x v="9"/>
    <x v="78"/>
    <x v="231"/>
    <x v="73"/>
    <x v="251"/>
    <x v="98"/>
    <x v="238"/>
    <x v="3"/>
  </r>
  <r>
    <x v="0"/>
    <x v="16"/>
    <x v="16"/>
    <x v="12"/>
    <x v="12"/>
    <x v="12"/>
    <x v="10"/>
    <x v="170"/>
    <x v="48"/>
    <x v="115"/>
    <x v="252"/>
    <x v="112"/>
    <x v="104"/>
    <x v="3"/>
  </r>
  <r>
    <x v="0"/>
    <x v="16"/>
    <x v="16"/>
    <x v="14"/>
    <x v="14"/>
    <x v="14"/>
    <x v="11"/>
    <x v="134"/>
    <x v="219"/>
    <x v="77"/>
    <x v="50"/>
    <x v="117"/>
    <x v="234"/>
    <x v="3"/>
  </r>
  <r>
    <x v="0"/>
    <x v="16"/>
    <x v="16"/>
    <x v="9"/>
    <x v="9"/>
    <x v="9"/>
    <x v="12"/>
    <x v="184"/>
    <x v="80"/>
    <x v="69"/>
    <x v="253"/>
    <x v="130"/>
    <x v="78"/>
    <x v="3"/>
  </r>
  <r>
    <x v="0"/>
    <x v="16"/>
    <x v="16"/>
    <x v="13"/>
    <x v="13"/>
    <x v="13"/>
    <x v="12"/>
    <x v="184"/>
    <x v="80"/>
    <x v="77"/>
    <x v="50"/>
    <x v="81"/>
    <x v="92"/>
    <x v="3"/>
  </r>
  <r>
    <x v="0"/>
    <x v="16"/>
    <x v="16"/>
    <x v="18"/>
    <x v="18"/>
    <x v="18"/>
    <x v="14"/>
    <x v="83"/>
    <x v="182"/>
    <x v="135"/>
    <x v="254"/>
    <x v="93"/>
    <x v="206"/>
    <x v="3"/>
  </r>
  <r>
    <x v="0"/>
    <x v="16"/>
    <x v="16"/>
    <x v="16"/>
    <x v="16"/>
    <x v="16"/>
    <x v="15"/>
    <x v="161"/>
    <x v="55"/>
    <x v="54"/>
    <x v="53"/>
    <x v="94"/>
    <x v="239"/>
    <x v="3"/>
  </r>
  <r>
    <x v="0"/>
    <x v="16"/>
    <x v="16"/>
    <x v="15"/>
    <x v="15"/>
    <x v="15"/>
    <x v="15"/>
    <x v="161"/>
    <x v="55"/>
    <x v="82"/>
    <x v="86"/>
    <x v="80"/>
    <x v="54"/>
    <x v="3"/>
  </r>
  <r>
    <x v="0"/>
    <x v="16"/>
    <x v="16"/>
    <x v="26"/>
    <x v="26"/>
    <x v="26"/>
    <x v="17"/>
    <x v="137"/>
    <x v="98"/>
    <x v="108"/>
    <x v="255"/>
    <x v="104"/>
    <x v="143"/>
    <x v="3"/>
  </r>
  <r>
    <x v="0"/>
    <x v="16"/>
    <x v="16"/>
    <x v="21"/>
    <x v="21"/>
    <x v="21"/>
    <x v="17"/>
    <x v="137"/>
    <x v="98"/>
    <x v="70"/>
    <x v="164"/>
    <x v="99"/>
    <x v="27"/>
    <x v="3"/>
  </r>
  <r>
    <x v="0"/>
    <x v="16"/>
    <x v="16"/>
    <x v="30"/>
    <x v="30"/>
    <x v="30"/>
    <x v="17"/>
    <x v="137"/>
    <x v="98"/>
    <x v="116"/>
    <x v="256"/>
    <x v="74"/>
    <x v="240"/>
    <x v="3"/>
  </r>
  <r>
    <x v="0"/>
    <x v="17"/>
    <x v="17"/>
    <x v="2"/>
    <x v="2"/>
    <x v="2"/>
    <x v="0"/>
    <x v="185"/>
    <x v="241"/>
    <x v="136"/>
    <x v="257"/>
    <x v="98"/>
    <x v="241"/>
    <x v="3"/>
  </r>
  <r>
    <x v="0"/>
    <x v="17"/>
    <x v="17"/>
    <x v="1"/>
    <x v="1"/>
    <x v="1"/>
    <x v="1"/>
    <x v="186"/>
    <x v="242"/>
    <x v="137"/>
    <x v="258"/>
    <x v="74"/>
    <x v="157"/>
    <x v="3"/>
  </r>
  <r>
    <x v="0"/>
    <x v="17"/>
    <x v="17"/>
    <x v="0"/>
    <x v="0"/>
    <x v="0"/>
    <x v="2"/>
    <x v="187"/>
    <x v="243"/>
    <x v="138"/>
    <x v="259"/>
    <x v="107"/>
    <x v="242"/>
    <x v="3"/>
  </r>
  <r>
    <x v="0"/>
    <x v="17"/>
    <x v="17"/>
    <x v="4"/>
    <x v="4"/>
    <x v="4"/>
    <x v="3"/>
    <x v="188"/>
    <x v="244"/>
    <x v="89"/>
    <x v="260"/>
    <x v="76"/>
    <x v="243"/>
    <x v="3"/>
  </r>
  <r>
    <x v="0"/>
    <x v="17"/>
    <x v="17"/>
    <x v="3"/>
    <x v="3"/>
    <x v="3"/>
    <x v="4"/>
    <x v="189"/>
    <x v="245"/>
    <x v="103"/>
    <x v="261"/>
    <x v="134"/>
    <x v="244"/>
    <x v="3"/>
  </r>
  <r>
    <x v="0"/>
    <x v="17"/>
    <x v="17"/>
    <x v="5"/>
    <x v="5"/>
    <x v="5"/>
    <x v="5"/>
    <x v="104"/>
    <x v="246"/>
    <x v="67"/>
    <x v="262"/>
    <x v="72"/>
    <x v="245"/>
    <x v="3"/>
  </r>
  <r>
    <x v="0"/>
    <x v="17"/>
    <x v="17"/>
    <x v="6"/>
    <x v="6"/>
    <x v="6"/>
    <x v="6"/>
    <x v="73"/>
    <x v="247"/>
    <x v="75"/>
    <x v="263"/>
    <x v="99"/>
    <x v="246"/>
    <x v="3"/>
  </r>
  <r>
    <x v="0"/>
    <x v="17"/>
    <x v="17"/>
    <x v="8"/>
    <x v="8"/>
    <x v="8"/>
    <x v="6"/>
    <x v="73"/>
    <x v="247"/>
    <x v="77"/>
    <x v="264"/>
    <x v="120"/>
    <x v="247"/>
    <x v="3"/>
  </r>
  <r>
    <x v="0"/>
    <x v="17"/>
    <x v="17"/>
    <x v="9"/>
    <x v="9"/>
    <x v="9"/>
    <x v="8"/>
    <x v="112"/>
    <x v="46"/>
    <x v="53"/>
    <x v="265"/>
    <x v="80"/>
    <x v="248"/>
    <x v="3"/>
  </r>
  <r>
    <x v="0"/>
    <x v="17"/>
    <x v="17"/>
    <x v="11"/>
    <x v="11"/>
    <x v="11"/>
    <x v="9"/>
    <x v="123"/>
    <x v="248"/>
    <x v="103"/>
    <x v="261"/>
    <x v="104"/>
    <x v="249"/>
    <x v="3"/>
  </r>
  <r>
    <x v="0"/>
    <x v="17"/>
    <x v="17"/>
    <x v="12"/>
    <x v="12"/>
    <x v="12"/>
    <x v="10"/>
    <x v="114"/>
    <x v="181"/>
    <x v="69"/>
    <x v="63"/>
    <x v="112"/>
    <x v="70"/>
    <x v="3"/>
  </r>
  <r>
    <x v="0"/>
    <x v="17"/>
    <x v="17"/>
    <x v="10"/>
    <x v="10"/>
    <x v="10"/>
    <x v="10"/>
    <x v="114"/>
    <x v="181"/>
    <x v="128"/>
    <x v="156"/>
    <x v="128"/>
    <x v="207"/>
    <x v="3"/>
  </r>
  <r>
    <x v="0"/>
    <x v="17"/>
    <x v="17"/>
    <x v="16"/>
    <x v="16"/>
    <x v="16"/>
    <x v="12"/>
    <x v="115"/>
    <x v="249"/>
    <x v="108"/>
    <x v="266"/>
    <x v="99"/>
    <x v="246"/>
    <x v="3"/>
  </r>
  <r>
    <x v="0"/>
    <x v="17"/>
    <x v="17"/>
    <x v="19"/>
    <x v="19"/>
    <x v="19"/>
    <x v="13"/>
    <x v="137"/>
    <x v="250"/>
    <x v="55"/>
    <x v="267"/>
    <x v="103"/>
    <x v="122"/>
    <x v="3"/>
  </r>
  <r>
    <x v="0"/>
    <x v="17"/>
    <x v="17"/>
    <x v="14"/>
    <x v="14"/>
    <x v="14"/>
    <x v="14"/>
    <x v="138"/>
    <x v="251"/>
    <x v="53"/>
    <x v="265"/>
    <x v="112"/>
    <x v="70"/>
    <x v="3"/>
  </r>
  <r>
    <x v="0"/>
    <x v="17"/>
    <x v="17"/>
    <x v="24"/>
    <x v="24"/>
    <x v="24"/>
    <x v="15"/>
    <x v="90"/>
    <x v="252"/>
    <x v="51"/>
    <x v="117"/>
    <x v="71"/>
    <x v="120"/>
    <x v="3"/>
  </r>
  <r>
    <x v="0"/>
    <x v="17"/>
    <x v="17"/>
    <x v="15"/>
    <x v="15"/>
    <x v="15"/>
    <x v="15"/>
    <x v="90"/>
    <x v="252"/>
    <x v="82"/>
    <x v="86"/>
    <x v="79"/>
    <x v="250"/>
    <x v="0"/>
  </r>
  <r>
    <x v="0"/>
    <x v="17"/>
    <x v="17"/>
    <x v="13"/>
    <x v="13"/>
    <x v="13"/>
    <x v="17"/>
    <x v="91"/>
    <x v="253"/>
    <x v="55"/>
    <x v="267"/>
    <x v="74"/>
    <x v="157"/>
    <x v="3"/>
  </r>
  <r>
    <x v="0"/>
    <x v="17"/>
    <x v="17"/>
    <x v="26"/>
    <x v="26"/>
    <x v="26"/>
    <x v="18"/>
    <x v="126"/>
    <x v="143"/>
    <x v="97"/>
    <x v="113"/>
    <x v="107"/>
    <x v="242"/>
    <x v="3"/>
  </r>
  <r>
    <x v="0"/>
    <x v="17"/>
    <x v="17"/>
    <x v="18"/>
    <x v="18"/>
    <x v="18"/>
    <x v="19"/>
    <x v="127"/>
    <x v="254"/>
    <x v="78"/>
    <x v="268"/>
    <x v="108"/>
    <x v="251"/>
    <x v="3"/>
  </r>
  <r>
    <x v="0"/>
    <x v="18"/>
    <x v="18"/>
    <x v="3"/>
    <x v="3"/>
    <x v="3"/>
    <x v="0"/>
    <x v="79"/>
    <x v="255"/>
    <x v="77"/>
    <x v="269"/>
    <x v="135"/>
    <x v="252"/>
    <x v="3"/>
  </r>
  <r>
    <x v="0"/>
    <x v="18"/>
    <x v="18"/>
    <x v="0"/>
    <x v="0"/>
    <x v="0"/>
    <x v="1"/>
    <x v="80"/>
    <x v="256"/>
    <x v="115"/>
    <x v="270"/>
    <x v="111"/>
    <x v="253"/>
    <x v="3"/>
  </r>
  <r>
    <x v="0"/>
    <x v="18"/>
    <x v="18"/>
    <x v="1"/>
    <x v="1"/>
    <x v="1"/>
    <x v="2"/>
    <x v="150"/>
    <x v="257"/>
    <x v="139"/>
    <x v="271"/>
    <x v="109"/>
    <x v="85"/>
    <x v="3"/>
  </r>
  <r>
    <x v="0"/>
    <x v="18"/>
    <x v="18"/>
    <x v="5"/>
    <x v="5"/>
    <x v="5"/>
    <x v="3"/>
    <x v="105"/>
    <x v="258"/>
    <x v="77"/>
    <x v="269"/>
    <x v="63"/>
    <x v="72"/>
    <x v="3"/>
  </r>
  <r>
    <x v="0"/>
    <x v="18"/>
    <x v="18"/>
    <x v="4"/>
    <x v="4"/>
    <x v="4"/>
    <x v="4"/>
    <x v="113"/>
    <x v="259"/>
    <x v="79"/>
    <x v="46"/>
    <x v="84"/>
    <x v="254"/>
    <x v="3"/>
  </r>
  <r>
    <x v="0"/>
    <x v="18"/>
    <x v="18"/>
    <x v="9"/>
    <x v="9"/>
    <x v="9"/>
    <x v="5"/>
    <x v="124"/>
    <x v="260"/>
    <x v="78"/>
    <x v="272"/>
    <x v="103"/>
    <x v="255"/>
    <x v="3"/>
  </r>
  <r>
    <x v="0"/>
    <x v="18"/>
    <x v="18"/>
    <x v="11"/>
    <x v="11"/>
    <x v="11"/>
    <x v="6"/>
    <x v="86"/>
    <x v="261"/>
    <x v="47"/>
    <x v="273"/>
    <x v="104"/>
    <x v="256"/>
    <x v="3"/>
  </r>
  <r>
    <x v="0"/>
    <x v="18"/>
    <x v="18"/>
    <x v="6"/>
    <x v="6"/>
    <x v="6"/>
    <x v="7"/>
    <x v="107"/>
    <x v="262"/>
    <x v="34"/>
    <x v="43"/>
    <x v="120"/>
    <x v="257"/>
    <x v="3"/>
  </r>
  <r>
    <x v="0"/>
    <x v="18"/>
    <x v="18"/>
    <x v="2"/>
    <x v="2"/>
    <x v="2"/>
    <x v="8"/>
    <x v="125"/>
    <x v="263"/>
    <x v="37"/>
    <x v="274"/>
    <x v="112"/>
    <x v="258"/>
    <x v="3"/>
  </r>
  <r>
    <x v="0"/>
    <x v="18"/>
    <x v="18"/>
    <x v="8"/>
    <x v="8"/>
    <x v="8"/>
    <x v="8"/>
    <x v="125"/>
    <x v="263"/>
    <x v="35"/>
    <x v="275"/>
    <x v="109"/>
    <x v="85"/>
    <x v="3"/>
  </r>
  <r>
    <x v="0"/>
    <x v="18"/>
    <x v="18"/>
    <x v="10"/>
    <x v="10"/>
    <x v="10"/>
    <x v="10"/>
    <x v="128"/>
    <x v="264"/>
    <x v="53"/>
    <x v="276"/>
    <x v="127"/>
    <x v="259"/>
    <x v="3"/>
  </r>
  <r>
    <x v="0"/>
    <x v="18"/>
    <x v="18"/>
    <x v="19"/>
    <x v="19"/>
    <x v="19"/>
    <x v="11"/>
    <x v="129"/>
    <x v="265"/>
    <x v="109"/>
    <x v="277"/>
    <x v="109"/>
    <x v="85"/>
    <x v="3"/>
  </r>
  <r>
    <x v="0"/>
    <x v="18"/>
    <x v="18"/>
    <x v="23"/>
    <x v="23"/>
    <x v="23"/>
    <x v="12"/>
    <x v="130"/>
    <x v="170"/>
    <x v="97"/>
    <x v="278"/>
    <x v="82"/>
    <x v="260"/>
    <x v="3"/>
  </r>
  <r>
    <x v="0"/>
    <x v="18"/>
    <x v="18"/>
    <x v="16"/>
    <x v="16"/>
    <x v="16"/>
    <x v="13"/>
    <x v="153"/>
    <x v="266"/>
    <x v="97"/>
    <x v="278"/>
    <x v="112"/>
    <x v="258"/>
    <x v="3"/>
  </r>
  <r>
    <x v="0"/>
    <x v="18"/>
    <x v="18"/>
    <x v="14"/>
    <x v="14"/>
    <x v="14"/>
    <x v="13"/>
    <x v="153"/>
    <x v="266"/>
    <x v="80"/>
    <x v="279"/>
    <x v="109"/>
    <x v="85"/>
    <x v="3"/>
  </r>
  <r>
    <x v="0"/>
    <x v="18"/>
    <x v="18"/>
    <x v="15"/>
    <x v="15"/>
    <x v="15"/>
    <x v="13"/>
    <x v="153"/>
    <x v="266"/>
    <x v="82"/>
    <x v="86"/>
    <x v="111"/>
    <x v="253"/>
    <x v="0"/>
  </r>
  <r>
    <x v="0"/>
    <x v="18"/>
    <x v="18"/>
    <x v="7"/>
    <x v="7"/>
    <x v="7"/>
    <x v="16"/>
    <x v="154"/>
    <x v="141"/>
    <x v="110"/>
    <x v="280"/>
    <x v="108"/>
    <x v="261"/>
    <x v="3"/>
  </r>
  <r>
    <x v="0"/>
    <x v="18"/>
    <x v="18"/>
    <x v="12"/>
    <x v="12"/>
    <x v="12"/>
    <x v="17"/>
    <x v="155"/>
    <x v="267"/>
    <x v="80"/>
    <x v="279"/>
    <x v="111"/>
    <x v="253"/>
    <x v="3"/>
  </r>
  <r>
    <x v="0"/>
    <x v="18"/>
    <x v="18"/>
    <x v="35"/>
    <x v="35"/>
    <x v="35"/>
    <x v="18"/>
    <x v="165"/>
    <x v="37"/>
    <x v="81"/>
    <x v="255"/>
    <x v="109"/>
    <x v="85"/>
    <x v="3"/>
  </r>
  <r>
    <x v="0"/>
    <x v="18"/>
    <x v="18"/>
    <x v="34"/>
    <x v="34"/>
    <x v="34"/>
    <x v="18"/>
    <x v="165"/>
    <x v="37"/>
    <x v="51"/>
    <x v="281"/>
    <x v="110"/>
    <x v="16"/>
    <x v="3"/>
  </r>
  <r>
    <x v="0"/>
    <x v="19"/>
    <x v="19"/>
    <x v="0"/>
    <x v="0"/>
    <x v="0"/>
    <x v="0"/>
    <x v="190"/>
    <x v="268"/>
    <x v="45"/>
    <x v="282"/>
    <x v="98"/>
    <x v="36"/>
    <x v="3"/>
  </r>
  <r>
    <x v="0"/>
    <x v="19"/>
    <x v="19"/>
    <x v="1"/>
    <x v="1"/>
    <x v="1"/>
    <x v="1"/>
    <x v="191"/>
    <x v="269"/>
    <x v="42"/>
    <x v="257"/>
    <x v="30"/>
    <x v="262"/>
    <x v="3"/>
  </r>
  <r>
    <x v="0"/>
    <x v="19"/>
    <x v="19"/>
    <x v="3"/>
    <x v="3"/>
    <x v="3"/>
    <x v="2"/>
    <x v="64"/>
    <x v="270"/>
    <x v="140"/>
    <x v="283"/>
    <x v="136"/>
    <x v="263"/>
    <x v="3"/>
  </r>
  <r>
    <x v="0"/>
    <x v="19"/>
    <x v="19"/>
    <x v="2"/>
    <x v="2"/>
    <x v="2"/>
    <x v="3"/>
    <x v="55"/>
    <x v="271"/>
    <x v="141"/>
    <x v="284"/>
    <x v="57"/>
    <x v="212"/>
    <x v="3"/>
  </r>
  <r>
    <x v="0"/>
    <x v="19"/>
    <x v="19"/>
    <x v="4"/>
    <x v="4"/>
    <x v="4"/>
    <x v="4"/>
    <x v="192"/>
    <x v="272"/>
    <x v="112"/>
    <x v="285"/>
    <x v="60"/>
    <x v="264"/>
    <x v="3"/>
  </r>
  <r>
    <x v="0"/>
    <x v="19"/>
    <x v="19"/>
    <x v="5"/>
    <x v="5"/>
    <x v="5"/>
    <x v="5"/>
    <x v="193"/>
    <x v="104"/>
    <x v="142"/>
    <x v="286"/>
    <x v="105"/>
    <x v="265"/>
    <x v="3"/>
  </r>
  <r>
    <x v="0"/>
    <x v="19"/>
    <x v="19"/>
    <x v="8"/>
    <x v="8"/>
    <x v="8"/>
    <x v="6"/>
    <x v="194"/>
    <x v="177"/>
    <x v="143"/>
    <x v="287"/>
    <x v="80"/>
    <x v="266"/>
    <x v="3"/>
  </r>
  <r>
    <x v="0"/>
    <x v="19"/>
    <x v="19"/>
    <x v="6"/>
    <x v="6"/>
    <x v="6"/>
    <x v="7"/>
    <x v="188"/>
    <x v="273"/>
    <x v="66"/>
    <x v="288"/>
    <x v="119"/>
    <x v="267"/>
    <x v="0"/>
  </r>
  <r>
    <x v="0"/>
    <x v="19"/>
    <x v="19"/>
    <x v="9"/>
    <x v="9"/>
    <x v="9"/>
    <x v="8"/>
    <x v="59"/>
    <x v="192"/>
    <x v="98"/>
    <x v="289"/>
    <x v="137"/>
    <x v="268"/>
    <x v="3"/>
  </r>
  <r>
    <x v="0"/>
    <x v="19"/>
    <x v="19"/>
    <x v="10"/>
    <x v="10"/>
    <x v="10"/>
    <x v="9"/>
    <x v="79"/>
    <x v="274"/>
    <x v="17"/>
    <x v="290"/>
    <x v="110"/>
    <x v="30"/>
    <x v="3"/>
  </r>
  <r>
    <x v="0"/>
    <x v="19"/>
    <x v="19"/>
    <x v="11"/>
    <x v="11"/>
    <x v="11"/>
    <x v="10"/>
    <x v="177"/>
    <x v="275"/>
    <x v="102"/>
    <x v="291"/>
    <x v="67"/>
    <x v="128"/>
    <x v="3"/>
  </r>
  <r>
    <x v="0"/>
    <x v="19"/>
    <x v="19"/>
    <x v="14"/>
    <x v="14"/>
    <x v="14"/>
    <x v="11"/>
    <x v="164"/>
    <x v="53"/>
    <x v="78"/>
    <x v="292"/>
    <x v="98"/>
    <x v="36"/>
    <x v="3"/>
  </r>
  <r>
    <x v="0"/>
    <x v="19"/>
    <x v="19"/>
    <x v="13"/>
    <x v="13"/>
    <x v="13"/>
    <x v="12"/>
    <x v="114"/>
    <x v="276"/>
    <x v="79"/>
    <x v="293"/>
    <x v="104"/>
    <x v="269"/>
    <x v="3"/>
  </r>
  <r>
    <x v="0"/>
    <x v="19"/>
    <x v="19"/>
    <x v="12"/>
    <x v="12"/>
    <x v="12"/>
    <x v="13"/>
    <x v="124"/>
    <x v="277"/>
    <x v="76"/>
    <x v="265"/>
    <x v="121"/>
    <x v="270"/>
    <x v="3"/>
  </r>
  <r>
    <x v="0"/>
    <x v="19"/>
    <x v="19"/>
    <x v="7"/>
    <x v="7"/>
    <x v="7"/>
    <x v="14"/>
    <x v="87"/>
    <x v="210"/>
    <x v="120"/>
    <x v="50"/>
    <x v="120"/>
    <x v="271"/>
    <x v="3"/>
  </r>
  <r>
    <x v="0"/>
    <x v="19"/>
    <x v="19"/>
    <x v="15"/>
    <x v="15"/>
    <x v="15"/>
    <x v="14"/>
    <x v="87"/>
    <x v="210"/>
    <x v="82"/>
    <x v="86"/>
    <x v="67"/>
    <x v="128"/>
    <x v="3"/>
  </r>
  <r>
    <x v="0"/>
    <x v="19"/>
    <x v="19"/>
    <x v="26"/>
    <x v="26"/>
    <x v="26"/>
    <x v="16"/>
    <x v="138"/>
    <x v="16"/>
    <x v="81"/>
    <x v="177"/>
    <x v="99"/>
    <x v="103"/>
    <x v="3"/>
  </r>
  <r>
    <x v="0"/>
    <x v="19"/>
    <x v="19"/>
    <x v="30"/>
    <x v="30"/>
    <x v="30"/>
    <x v="17"/>
    <x v="91"/>
    <x v="278"/>
    <x v="55"/>
    <x v="227"/>
    <x v="104"/>
    <x v="269"/>
    <x v="3"/>
  </r>
  <r>
    <x v="0"/>
    <x v="19"/>
    <x v="19"/>
    <x v="18"/>
    <x v="18"/>
    <x v="18"/>
    <x v="17"/>
    <x v="91"/>
    <x v="278"/>
    <x v="126"/>
    <x v="14"/>
    <x v="93"/>
    <x v="272"/>
    <x v="3"/>
  </r>
  <r>
    <x v="0"/>
    <x v="19"/>
    <x v="19"/>
    <x v="19"/>
    <x v="19"/>
    <x v="19"/>
    <x v="19"/>
    <x v="126"/>
    <x v="158"/>
    <x v="50"/>
    <x v="294"/>
    <x v="47"/>
    <x v="115"/>
    <x v="3"/>
  </r>
  <r>
    <x v="0"/>
    <x v="19"/>
    <x v="19"/>
    <x v="21"/>
    <x v="21"/>
    <x v="21"/>
    <x v="19"/>
    <x v="126"/>
    <x v="158"/>
    <x v="51"/>
    <x v="295"/>
    <x v="103"/>
    <x v="273"/>
    <x v="3"/>
  </r>
  <r>
    <x v="0"/>
    <x v="20"/>
    <x v="20"/>
    <x v="3"/>
    <x v="3"/>
    <x v="3"/>
    <x v="0"/>
    <x v="127"/>
    <x v="279"/>
    <x v="37"/>
    <x v="296"/>
    <x v="110"/>
    <x v="274"/>
    <x v="3"/>
  </r>
  <r>
    <x v="0"/>
    <x v="20"/>
    <x v="20"/>
    <x v="0"/>
    <x v="0"/>
    <x v="0"/>
    <x v="1"/>
    <x v="130"/>
    <x v="280"/>
    <x v="54"/>
    <x v="297"/>
    <x v="128"/>
    <x v="207"/>
    <x v="3"/>
  </r>
  <r>
    <x v="0"/>
    <x v="20"/>
    <x v="20"/>
    <x v="1"/>
    <x v="1"/>
    <x v="1"/>
    <x v="2"/>
    <x v="141"/>
    <x v="281"/>
    <x v="37"/>
    <x v="296"/>
    <x v="125"/>
    <x v="175"/>
    <x v="3"/>
  </r>
  <r>
    <x v="0"/>
    <x v="20"/>
    <x v="20"/>
    <x v="6"/>
    <x v="6"/>
    <x v="6"/>
    <x v="3"/>
    <x v="154"/>
    <x v="282"/>
    <x v="55"/>
    <x v="298"/>
    <x v="127"/>
    <x v="275"/>
    <x v="0"/>
  </r>
  <r>
    <x v="0"/>
    <x v="20"/>
    <x v="20"/>
    <x v="4"/>
    <x v="4"/>
    <x v="4"/>
    <x v="4"/>
    <x v="155"/>
    <x v="4"/>
    <x v="50"/>
    <x v="299"/>
    <x v="109"/>
    <x v="276"/>
    <x v="3"/>
  </r>
  <r>
    <x v="0"/>
    <x v="20"/>
    <x v="20"/>
    <x v="5"/>
    <x v="5"/>
    <x v="5"/>
    <x v="5"/>
    <x v="165"/>
    <x v="283"/>
    <x v="15"/>
    <x v="300"/>
    <x v="125"/>
    <x v="175"/>
    <x v="3"/>
  </r>
  <r>
    <x v="0"/>
    <x v="20"/>
    <x v="20"/>
    <x v="7"/>
    <x v="7"/>
    <x v="7"/>
    <x v="6"/>
    <x v="168"/>
    <x v="284"/>
    <x v="80"/>
    <x v="196"/>
    <x v="125"/>
    <x v="175"/>
    <x v="3"/>
  </r>
  <r>
    <x v="0"/>
    <x v="20"/>
    <x v="20"/>
    <x v="9"/>
    <x v="9"/>
    <x v="9"/>
    <x v="7"/>
    <x v="195"/>
    <x v="285"/>
    <x v="81"/>
    <x v="301"/>
    <x v="127"/>
    <x v="275"/>
    <x v="3"/>
  </r>
  <r>
    <x v="0"/>
    <x v="20"/>
    <x v="20"/>
    <x v="26"/>
    <x v="26"/>
    <x v="26"/>
    <x v="7"/>
    <x v="195"/>
    <x v="285"/>
    <x v="70"/>
    <x v="302"/>
    <x v="125"/>
    <x v="175"/>
    <x v="3"/>
  </r>
  <r>
    <x v="0"/>
    <x v="20"/>
    <x v="20"/>
    <x v="13"/>
    <x v="13"/>
    <x v="13"/>
    <x v="7"/>
    <x v="195"/>
    <x v="285"/>
    <x v="97"/>
    <x v="303"/>
    <x v="111"/>
    <x v="277"/>
    <x v="3"/>
  </r>
  <r>
    <x v="0"/>
    <x v="20"/>
    <x v="20"/>
    <x v="10"/>
    <x v="10"/>
    <x v="10"/>
    <x v="7"/>
    <x v="195"/>
    <x v="285"/>
    <x v="50"/>
    <x v="299"/>
    <x v="128"/>
    <x v="207"/>
    <x v="3"/>
  </r>
  <r>
    <x v="0"/>
    <x v="20"/>
    <x v="20"/>
    <x v="11"/>
    <x v="11"/>
    <x v="11"/>
    <x v="11"/>
    <x v="196"/>
    <x v="219"/>
    <x v="97"/>
    <x v="303"/>
    <x v="83"/>
    <x v="278"/>
    <x v="3"/>
  </r>
  <r>
    <x v="0"/>
    <x v="20"/>
    <x v="20"/>
    <x v="14"/>
    <x v="14"/>
    <x v="14"/>
    <x v="11"/>
    <x v="196"/>
    <x v="219"/>
    <x v="51"/>
    <x v="304"/>
    <x v="125"/>
    <x v="175"/>
    <x v="3"/>
  </r>
  <r>
    <x v="0"/>
    <x v="20"/>
    <x v="20"/>
    <x v="30"/>
    <x v="30"/>
    <x v="30"/>
    <x v="11"/>
    <x v="196"/>
    <x v="219"/>
    <x v="51"/>
    <x v="304"/>
    <x v="127"/>
    <x v="275"/>
    <x v="3"/>
  </r>
  <r>
    <x v="0"/>
    <x v="20"/>
    <x v="20"/>
    <x v="34"/>
    <x v="34"/>
    <x v="34"/>
    <x v="14"/>
    <x v="197"/>
    <x v="286"/>
    <x v="97"/>
    <x v="303"/>
    <x v="127"/>
    <x v="275"/>
    <x v="3"/>
  </r>
  <r>
    <x v="0"/>
    <x v="20"/>
    <x v="20"/>
    <x v="8"/>
    <x v="8"/>
    <x v="8"/>
    <x v="14"/>
    <x v="197"/>
    <x v="286"/>
    <x v="51"/>
    <x v="304"/>
    <x v="128"/>
    <x v="207"/>
    <x v="3"/>
  </r>
  <r>
    <x v="0"/>
    <x v="20"/>
    <x v="20"/>
    <x v="25"/>
    <x v="25"/>
    <x v="25"/>
    <x v="16"/>
    <x v="198"/>
    <x v="221"/>
    <x v="51"/>
    <x v="304"/>
    <x v="128"/>
    <x v="207"/>
    <x v="3"/>
  </r>
  <r>
    <x v="0"/>
    <x v="20"/>
    <x v="20"/>
    <x v="24"/>
    <x v="24"/>
    <x v="24"/>
    <x v="16"/>
    <x v="198"/>
    <x v="221"/>
    <x v="82"/>
    <x v="86"/>
    <x v="83"/>
    <x v="278"/>
    <x v="3"/>
  </r>
  <r>
    <x v="0"/>
    <x v="20"/>
    <x v="20"/>
    <x v="2"/>
    <x v="2"/>
    <x v="2"/>
    <x v="16"/>
    <x v="198"/>
    <x v="221"/>
    <x v="97"/>
    <x v="303"/>
    <x v="125"/>
    <x v="175"/>
    <x v="3"/>
  </r>
  <r>
    <x v="0"/>
    <x v="20"/>
    <x v="20"/>
    <x v="31"/>
    <x v="31"/>
    <x v="31"/>
    <x v="16"/>
    <x v="198"/>
    <x v="221"/>
    <x v="97"/>
    <x v="303"/>
    <x v="125"/>
    <x v="175"/>
    <x v="3"/>
  </r>
  <r>
    <x v="0"/>
    <x v="21"/>
    <x v="21"/>
    <x v="3"/>
    <x v="3"/>
    <x v="3"/>
    <x v="0"/>
    <x v="141"/>
    <x v="287"/>
    <x v="70"/>
    <x v="269"/>
    <x v="120"/>
    <x v="279"/>
    <x v="3"/>
  </r>
  <r>
    <x v="0"/>
    <x v="21"/>
    <x v="21"/>
    <x v="4"/>
    <x v="4"/>
    <x v="4"/>
    <x v="1"/>
    <x v="153"/>
    <x v="288"/>
    <x v="110"/>
    <x v="305"/>
    <x v="110"/>
    <x v="280"/>
    <x v="3"/>
  </r>
  <r>
    <x v="0"/>
    <x v="21"/>
    <x v="21"/>
    <x v="7"/>
    <x v="7"/>
    <x v="7"/>
    <x v="2"/>
    <x v="165"/>
    <x v="289"/>
    <x v="70"/>
    <x v="269"/>
    <x v="108"/>
    <x v="281"/>
    <x v="3"/>
  </r>
  <r>
    <x v="0"/>
    <x v="21"/>
    <x v="21"/>
    <x v="1"/>
    <x v="1"/>
    <x v="1"/>
    <x v="2"/>
    <x v="165"/>
    <x v="289"/>
    <x v="15"/>
    <x v="306"/>
    <x v="125"/>
    <x v="282"/>
    <x v="3"/>
  </r>
  <r>
    <x v="0"/>
    <x v="21"/>
    <x v="21"/>
    <x v="6"/>
    <x v="6"/>
    <x v="6"/>
    <x v="4"/>
    <x v="199"/>
    <x v="290"/>
    <x v="50"/>
    <x v="307"/>
    <x v="127"/>
    <x v="141"/>
    <x v="3"/>
  </r>
  <r>
    <x v="0"/>
    <x v="21"/>
    <x v="21"/>
    <x v="0"/>
    <x v="0"/>
    <x v="0"/>
    <x v="4"/>
    <x v="199"/>
    <x v="290"/>
    <x v="50"/>
    <x v="307"/>
    <x v="127"/>
    <x v="141"/>
    <x v="3"/>
  </r>
  <r>
    <x v="0"/>
    <x v="21"/>
    <x v="21"/>
    <x v="8"/>
    <x v="8"/>
    <x v="8"/>
    <x v="4"/>
    <x v="199"/>
    <x v="290"/>
    <x v="110"/>
    <x v="305"/>
    <x v="128"/>
    <x v="207"/>
    <x v="3"/>
  </r>
  <r>
    <x v="0"/>
    <x v="21"/>
    <x v="21"/>
    <x v="5"/>
    <x v="5"/>
    <x v="5"/>
    <x v="7"/>
    <x v="196"/>
    <x v="291"/>
    <x v="70"/>
    <x v="269"/>
    <x v="128"/>
    <x v="207"/>
    <x v="3"/>
  </r>
  <r>
    <x v="0"/>
    <x v="21"/>
    <x v="21"/>
    <x v="24"/>
    <x v="24"/>
    <x v="24"/>
    <x v="7"/>
    <x v="196"/>
    <x v="291"/>
    <x v="82"/>
    <x v="86"/>
    <x v="108"/>
    <x v="281"/>
    <x v="3"/>
  </r>
  <r>
    <x v="0"/>
    <x v="21"/>
    <x v="21"/>
    <x v="9"/>
    <x v="9"/>
    <x v="9"/>
    <x v="9"/>
    <x v="197"/>
    <x v="292"/>
    <x v="81"/>
    <x v="308"/>
    <x v="128"/>
    <x v="207"/>
    <x v="3"/>
  </r>
  <r>
    <x v="0"/>
    <x v="21"/>
    <x v="21"/>
    <x v="17"/>
    <x v="17"/>
    <x v="17"/>
    <x v="10"/>
    <x v="198"/>
    <x v="248"/>
    <x v="36"/>
    <x v="280"/>
    <x v="127"/>
    <x v="141"/>
    <x v="3"/>
  </r>
  <r>
    <x v="0"/>
    <x v="21"/>
    <x v="21"/>
    <x v="18"/>
    <x v="18"/>
    <x v="18"/>
    <x v="10"/>
    <x v="198"/>
    <x v="248"/>
    <x v="82"/>
    <x v="86"/>
    <x v="83"/>
    <x v="283"/>
    <x v="3"/>
  </r>
  <r>
    <x v="0"/>
    <x v="21"/>
    <x v="21"/>
    <x v="36"/>
    <x v="36"/>
    <x v="36"/>
    <x v="12"/>
    <x v="200"/>
    <x v="85"/>
    <x v="82"/>
    <x v="86"/>
    <x v="127"/>
    <x v="141"/>
    <x v="3"/>
  </r>
  <r>
    <x v="0"/>
    <x v="21"/>
    <x v="21"/>
    <x v="34"/>
    <x v="34"/>
    <x v="34"/>
    <x v="12"/>
    <x v="200"/>
    <x v="85"/>
    <x v="97"/>
    <x v="274"/>
    <x v="128"/>
    <x v="207"/>
    <x v="3"/>
  </r>
  <r>
    <x v="0"/>
    <x v="21"/>
    <x v="21"/>
    <x v="37"/>
    <x v="37"/>
    <x v="37"/>
    <x v="12"/>
    <x v="200"/>
    <x v="85"/>
    <x v="82"/>
    <x v="86"/>
    <x v="128"/>
    <x v="207"/>
    <x v="3"/>
  </r>
  <r>
    <x v="0"/>
    <x v="21"/>
    <x v="21"/>
    <x v="38"/>
    <x v="38"/>
    <x v="38"/>
    <x v="12"/>
    <x v="200"/>
    <x v="85"/>
    <x v="82"/>
    <x v="86"/>
    <x v="125"/>
    <x v="282"/>
    <x v="3"/>
  </r>
  <r>
    <x v="0"/>
    <x v="21"/>
    <x v="21"/>
    <x v="30"/>
    <x v="30"/>
    <x v="30"/>
    <x v="12"/>
    <x v="200"/>
    <x v="85"/>
    <x v="97"/>
    <x v="274"/>
    <x v="128"/>
    <x v="207"/>
    <x v="3"/>
  </r>
  <r>
    <x v="0"/>
    <x v="21"/>
    <x v="21"/>
    <x v="10"/>
    <x v="10"/>
    <x v="10"/>
    <x v="12"/>
    <x v="200"/>
    <x v="85"/>
    <x v="36"/>
    <x v="280"/>
    <x v="128"/>
    <x v="207"/>
    <x v="3"/>
  </r>
  <r>
    <x v="0"/>
    <x v="21"/>
    <x v="21"/>
    <x v="26"/>
    <x v="26"/>
    <x v="26"/>
    <x v="18"/>
    <x v="201"/>
    <x v="293"/>
    <x v="82"/>
    <x v="86"/>
    <x v="125"/>
    <x v="282"/>
    <x v="3"/>
  </r>
  <r>
    <x v="0"/>
    <x v="21"/>
    <x v="21"/>
    <x v="29"/>
    <x v="29"/>
    <x v="29"/>
    <x v="18"/>
    <x v="201"/>
    <x v="293"/>
    <x v="36"/>
    <x v="280"/>
    <x v="128"/>
    <x v="207"/>
    <x v="3"/>
  </r>
  <r>
    <x v="0"/>
    <x v="21"/>
    <x v="21"/>
    <x v="39"/>
    <x v="39"/>
    <x v="39"/>
    <x v="18"/>
    <x v="201"/>
    <x v="293"/>
    <x v="82"/>
    <x v="86"/>
    <x v="125"/>
    <x v="282"/>
    <x v="3"/>
  </r>
  <r>
    <x v="0"/>
    <x v="21"/>
    <x v="21"/>
    <x v="20"/>
    <x v="20"/>
    <x v="20"/>
    <x v="18"/>
    <x v="201"/>
    <x v="293"/>
    <x v="82"/>
    <x v="86"/>
    <x v="125"/>
    <x v="282"/>
    <x v="3"/>
  </r>
  <r>
    <x v="0"/>
    <x v="21"/>
    <x v="21"/>
    <x v="2"/>
    <x v="2"/>
    <x v="2"/>
    <x v="18"/>
    <x v="201"/>
    <x v="293"/>
    <x v="82"/>
    <x v="86"/>
    <x v="125"/>
    <x v="282"/>
    <x v="3"/>
  </r>
  <r>
    <x v="0"/>
    <x v="21"/>
    <x v="21"/>
    <x v="12"/>
    <x v="12"/>
    <x v="12"/>
    <x v="18"/>
    <x v="201"/>
    <x v="293"/>
    <x v="36"/>
    <x v="280"/>
    <x v="128"/>
    <x v="207"/>
    <x v="3"/>
  </r>
  <r>
    <x v="0"/>
    <x v="21"/>
    <x v="21"/>
    <x v="15"/>
    <x v="15"/>
    <x v="15"/>
    <x v="18"/>
    <x v="201"/>
    <x v="293"/>
    <x v="82"/>
    <x v="86"/>
    <x v="128"/>
    <x v="207"/>
    <x v="3"/>
  </r>
  <r>
    <x v="0"/>
    <x v="21"/>
    <x v="21"/>
    <x v="22"/>
    <x v="22"/>
    <x v="22"/>
    <x v="18"/>
    <x v="201"/>
    <x v="293"/>
    <x v="82"/>
    <x v="86"/>
    <x v="125"/>
    <x v="282"/>
    <x v="3"/>
  </r>
  <r>
    <x v="0"/>
    <x v="21"/>
    <x v="21"/>
    <x v="40"/>
    <x v="40"/>
    <x v="40"/>
    <x v="18"/>
    <x v="201"/>
    <x v="293"/>
    <x v="82"/>
    <x v="86"/>
    <x v="128"/>
    <x v="207"/>
    <x v="3"/>
  </r>
  <r>
    <x v="0"/>
    <x v="22"/>
    <x v="22"/>
    <x v="7"/>
    <x v="7"/>
    <x v="7"/>
    <x v="0"/>
    <x v="154"/>
    <x v="294"/>
    <x v="35"/>
    <x v="309"/>
    <x v="127"/>
    <x v="284"/>
    <x v="3"/>
  </r>
  <r>
    <x v="0"/>
    <x v="22"/>
    <x v="22"/>
    <x v="4"/>
    <x v="4"/>
    <x v="4"/>
    <x v="1"/>
    <x v="202"/>
    <x v="241"/>
    <x v="36"/>
    <x v="45"/>
    <x v="109"/>
    <x v="279"/>
    <x v="3"/>
  </r>
  <r>
    <x v="0"/>
    <x v="22"/>
    <x v="22"/>
    <x v="0"/>
    <x v="0"/>
    <x v="0"/>
    <x v="1"/>
    <x v="202"/>
    <x v="241"/>
    <x v="50"/>
    <x v="310"/>
    <x v="125"/>
    <x v="69"/>
    <x v="3"/>
  </r>
  <r>
    <x v="0"/>
    <x v="22"/>
    <x v="22"/>
    <x v="1"/>
    <x v="1"/>
    <x v="1"/>
    <x v="3"/>
    <x v="197"/>
    <x v="295"/>
    <x v="81"/>
    <x v="58"/>
    <x v="128"/>
    <x v="207"/>
    <x v="3"/>
  </r>
  <r>
    <x v="0"/>
    <x v="22"/>
    <x v="22"/>
    <x v="3"/>
    <x v="3"/>
    <x v="3"/>
    <x v="4"/>
    <x v="198"/>
    <x v="42"/>
    <x v="36"/>
    <x v="45"/>
    <x v="127"/>
    <x v="284"/>
    <x v="3"/>
  </r>
  <r>
    <x v="0"/>
    <x v="22"/>
    <x v="22"/>
    <x v="5"/>
    <x v="5"/>
    <x v="5"/>
    <x v="4"/>
    <x v="198"/>
    <x v="42"/>
    <x v="51"/>
    <x v="311"/>
    <x v="128"/>
    <x v="207"/>
    <x v="3"/>
  </r>
  <r>
    <x v="0"/>
    <x v="22"/>
    <x v="22"/>
    <x v="41"/>
    <x v="41"/>
    <x v="41"/>
    <x v="6"/>
    <x v="200"/>
    <x v="30"/>
    <x v="82"/>
    <x v="86"/>
    <x v="127"/>
    <x v="284"/>
    <x v="3"/>
  </r>
  <r>
    <x v="0"/>
    <x v="22"/>
    <x v="22"/>
    <x v="24"/>
    <x v="24"/>
    <x v="24"/>
    <x v="6"/>
    <x v="200"/>
    <x v="30"/>
    <x v="82"/>
    <x v="86"/>
    <x v="127"/>
    <x v="284"/>
    <x v="3"/>
  </r>
  <r>
    <x v="0"/>
    <x v="22"/>
    <x v="22"/>
    <x v="6"/>
    <x v="6"/>
    <x v="6"/>
    <x v="6"/>
    <x v="200"/>
    <x v="30"/>
    <x v="97"/>
    <x v="312"/>
    <x v="128"/>
    <x v="207"/>
    <x v="3"/>
  </r>
  <r>
    <x v="0"/>
    <x v="22"/>
    <x v="22"/>
    <x v="33"/>
    <x v="33"/>
    <x v="33"/>
    <x v="6"/>
    <x v="200"/>
    <x v="30"/>
    <x v="97"/>
    <x v="312"/>
    <x v="128"/>
    <x v="207"/>
    <x v="3"/>
  </r>
  <r>
    <x v="0"/>
    <x v="22"/>
    <x v="22"/>
    <x v="2"/>
    <x v="2"/>
    <x v="2"/>
    <x v="6"/>
    <x v="200"/>
    <x v="30"/>
    <x v="82"/>
    <x v="86"/>
    <x v="127"/>
    <x v="284"/>
    <x v="3"/>
  </r>
  <r>
    <x v="0"/>
    <x v="22"/>
    <x v="22"/>
    <x v="8"/>
    <x v="8"/>
    <x v="8"/>
    <x v="6"/>
    <x v="200"/>
    <x v="30"/>
    <x v="36"/>
    <x v="45"/>
    <x v="128"/>
    <x v="207"/>
    <x v="3"/>
  </r>
  <r>
    <x v="0"/>
    <x v="22"/>
    <x v="22"/>
    <x v="18"/>
    <x v="18"/>
    <x v="18"/>
    <x v="6"/>
    <x v="200"/>
    <x v="30"/>
    <x v="36"/>
    <x v="45"/>
    <x v="125"/>
    <x v="69"/>
    <x v="3"/>
  </r>
  <r>
    <x v="0"/>
    <x v="22"/>
    <x v="22"/>
    <x v="9"/>
    <x v="9"/>
    <x v="9"/>
    <x v="13"/>
    <x v="201"/>
    <x v="183"/>
    <x v="82"/>
    <x v="86"/>
    <x v="125"/>
    <x v="69"/>
    <x v="3"/>
  </r>
  <r>
    <x v="0"/>
    <x v="22"/>
    <x v="22"/>
    <x v="42"/>
    <x v="42"/>
    <x v="42"/>
    <x v="13"/>
    <x v="201"/>
    <x v="183"/>
    <x v="82"/>
    <x v="86"/>
    <x v="125"/>
    <x v="69"/>
    <x v="3"/>
  </r>
  <r>
    <x v="0"/>
    <x v="22"/>
    <x v="22"/>
    <x v="29"/>
    <x v="29"/>
    <x v="29"/>
    <x v="13"/>
    <x v="201"/>
    <x v="183"/>
    <x v="36"/>
    <x v="45"/>
    <x v="128"/>
    <x v="207"/>
    <x v="3"/>
  </r>
  <r>
    <x v="0"/>
    <x v="22"/>
    <x v="22"/>
    <x v="43"/>
    <x v="43"/>
    <x v="43"/>
    <x v="13"/>
    <x v="201"/>
    <x v="183"/>
    <x v="82"/>
    <x v="86"/>
    <x v="125"/>
    <x v="69"/>
    <x v="3"/>
  </r>
  <r>
    <x v="0"/>
    <x v="22"/>
    <x v="22"/>
    <x v="44"/>
    <x v="44"/>
    <x v="44"/>
    <x v="13"/>
    <x v="201"/>
    <x v="183"/>
    <x v="82"/>
    <x v="86"/>
    <x v="125"/>
    <x v="69"/>
    <x v="3"/>
  </r>
  <r>
    <x v="0"/>
    <x v="22"/>
    <x v="22"/>
    <x v="37"/>
    <x v="37"/>
    <x v="37"/>
    <x v="13"/>
    <x v="201"/>
    <x v="183"/>
    <x v="82"/>
    <x v="86"/>
    <x v="128"/>
    <x v="207"/>
    <x v="3"/>
  </r>
  <r>
    <x v="0"/>
    <x v="22"/>
    <x v="22"/>
    <x v="45"/>
    <x v="45"/>
    <x v="45"/>
    <x v="13"/>
    <x v="201"/>
    <x v="183"/>
    <x v="82"/>
    <x v="86"/>
    <x v="125"/>
    <x v="69"/>
    <x v="3"/>
  </r>
  <r>
    <x v="0"/>
    <x v="22"/>
    <x v="22"/>
    <x v="17"/>
    <x v="17"/>
    <x v="17"/>
    <x v="13"/>
    <x v="201"/>
    <x v="183"/>
    <x v="82"/>
    <x v="86"/>
    <x v="125"/>
    <x v="69"/>
    <x v="3"/>
  </r>
  <r>
    <x v="0"/>
    <x v="22"/>
    <x v="22"/>
    <x v="11"/>
    <x v="11"/>
    <x v="11"/>
    <x v="13"/>
    <x v="201"/>
    <x v="183"/>
    <x v="36"/>
    <x v="45"/>
    <x v="128"/>
    <x v="207"/>
    <x v="3"/>
  </r>
  <r>
    <x v="0"/>
    <x v="22"/>
    <x v="22"/>
    <x v="12"/>
    <x v="12"/>
    <x v="12"/>
    <x v="13"/>
    <x v="201"/>
    <x v="183"/>
    <x v="36"/>
    <x v="45"/>
    <x v="128"/>
    <x v="207"/>
    <x v="3"/>
  </r>
  <r>
    <x v="0"/>
    <x v="22"/>
    <x v="22"/>
    <x v="14"/>
    <x v="14"/>
    <x v="14"/>
    <x v="13"/>
    <x v="201"/>
    <x v="183"/>
    <x v="82"/>
    <x v="86"/>
    <x v="125"/>
    <x v="69"/>
    <x v="3"/>
  </r>
  <r>
    <x v="0"/>
    <x v="22"/>
    <x v="22"/>
    <x v="28"/>
    <x v="28"/>
    <x v="28"/>
    <x v="13"/>
    <x v="201"/>
    <x v="183"/>
    <x v="36"/>
    <x v="45"/>
    <x v="128"/>
    <x v="207"/>
    <x v="3"/>
  </r>
  <r>
    <x v="0"/>
    <x v="22"/>
    <x v="22"/>
    <x v="31"/>
    <x v="31"/>
    <x v="31"/>
    <x v="13"/>
    <x v="201"/>
    <x v="183"/>
    <x v="36"/>
    <x v="45"/>
    <x v="128"/>
    <x v="207"/>
    <x v="3"/>
  </r>
  <r>
    <x v="0"/>
    <x v="22"/>
    <x v="22"/>
    <x v="10"/>
    <x v="10"/>
    <x v="10"/>
    <x v="13"/>
    <x v="201"/>
    <x v="183"/>
    <x v="36"/>
    <x v="45"/>
    <x v="128"/>
    <x v="207"/>
    <x v="3"/>
  </r>
  <r>
    <x v="0"/>
    <x v="22"/>
    <x v="22"/>
    <x v="46"/>
    <x v="46"/>
    <x v="46"/>
    <x v="13"/>
    <x v="201"/>
    <x v="183"/>
    <x v="82"/>
    <x v="86"/>
    <x v="125"/>
    <x v="69"/>
    <x v="3"/>
  </r>
  <r>
    <x v="0"/>
    <x v="22"/>
    <x v="22"/>
    <x v="47"/>
    <x v="47"/>
    <x v="47"/>
    <x v="13"/>
    <x v="201"/>
    <x v="183"/>
    <x v="82"/>
    <x v="86"/>
    <x v="125"/>
    <x v="69"/>
    <x v="3"/>
  </r>
  <r>
    <x v="0"/>
    <x v="23"/>
    <x v="23"/>
    <x v="3"/>
    <x v="3"/>
    <x v="3"/>
    <x v="0"/>
    <x v="202"/>
    <x v="296"/>
    <x v="81"/>
    <x v="313"/>
    <x v="83"/>
    <x v="285"/>
    <x v="3"/>
  </r>
  <r>
    <x v="0"/>
    <x v="23"/>
    <x v="23"/>
    <x v="7"/>
    <x v="7"/>
    <x v="7"/>
    <x v="1"/>
    <x v="196"/>
    <x v="297"/>
    <x v="97"/>
    <x v="314"/>
    <x v="83"/>
    <x v="285"/>
    <x v="3"/>
  </r>
  <r>
    <x v="0"/>
    <x v="23"/>
    <x v="23"/>
    <x v="5"/>
    <x v="5"/>
    <x v="5"/>
    <x v="2"/>
    <x v="197"/>
    <x v="298"/>
    <x v="51"/>
    <x v="315"/>
    <x v="125"/>
    <x v="138"/>
    <x v="3"/>
  </r>
  <r>
    <x v="0"/>
    <x v="23"/>
    <x v="23"/>
    <x v="4"/>
    <x v="4"/>
    <x v="4"/>
    <x v="2"/>
    <x v="197"/>
    <x v="298"/>
    <x v="97"/>
    <x v="314"/>
    <x v="127"/>
    <x v="286"/>
    <x v="3"/>
  </r>
  <r>
    <x v="0"/>
    <x v="23"/>
    <x v="23"/>
    <x v="1"/>
    <x v="1"/>
    <x v="1"/>
    <x v="2"/>
    <x v="197"/>
    <x v="298"/>
    <x v="51"/>
    <x v="315"/>
    <x v="128"/>
    <x v="207"/>
    <x v="3"/>
  </r>
  <r>
    <x v="0"/>
    <x v="23"/>
    <x v="23"/>
    <x v="6"/>
    <x v="6"/>
    <x v="6"/>
    <x v="5"/>
    <x v="198"/>
    <x v="299"/>
    <x v="51"/>
    <x v="315"/>
    <x v="128"/>
    <x v="207"/>
    <x v="3"/>
  </r>
  <r>
    <x v="0"/>
    <x v="23"/>
    <x v="23"/>
    <x v="9"/>
    <x v="9"/>
    <x v="9"/>
    <x v="6"/>
    <x v="200"/>
    <x v="300"/>
    <x v="97"/>
    <x v="314"/>
    <x v="128"/>
    <x v="207"/>
    <x v="3"/>
  </r>
  <r>
    <x v="0"/>
    <x v="23"/>
    <x v="23"/>
    <x v="8"/>
    <x v="8"/>
    <x v="8"/>
    <x v="6"/>
    <x v="200"/>
    <x v="300"/>
    <x v="82"/>
    <x v="86"/>
    <x v="128"/>
    <x v="207"/>
    <x v="3"/>
  </r>
  <r>
    <x v="0"/>
    <x v="23"/>
    <x v="23"/>
    <x v="48"/>
    <x v="48"/>
    <x v="48"/>
    <x v="8"/>
    <x v="201"/>
    <x v="80"/>
    <x v="36"/>
    <x v="316"/>
    <x v="128"/>
    <x v="207"/>
    <x v="3"/>
  </r>
  <r>
    <x v="0"/>
    <x v="23"/>
    <x v="23"/>
    <x v="36"/>
    <x v="36"/>
    <x v="36"/>
    <x v="8"/>
    <x v="201"/>
    <x v="80"/>
    <x v="36"/>
    <x v="316"/>
    <x v="128"/>
    <x v="207"/>
    <x v="3"/>
  </r>
  <r>
    <x v="0"/>
    <x v="23"/>
    <x v="23"/>
    <x v="34"/>
    <x v="34"/>
    <x v="34"/>
    <x v="8"/>
    <x v="201"/>
    <x v="80"/>
    <x v="36"/>
    <x v="316"/>
    <x v="128"/>
    <x v="207"/>
    <x v="3"/>
  </r>
  <r>
    <x v="0"/>
    <x v="23"/>
    <x v="23"/>
    <x v="37"/>
    <x v="37"/>
    <x v="37"/>
    <x v="8"/>
    <x v="201"/>
    <x v="80"/>
    <x v="82"/>
    <x v="86"/>
    <x v="128"/>
    <x v="207"/>
    <x v="3"/>
  </r>
  <r>
    <x v="0"/>
    <x v="23"/>
    <x v="23"/>
    <x v="49"/>
    <x v="49"/>
    <x v="49"/>
    <x v="8"/>
    <x v="201"/>
    <x v="80"/>
    <x v="82"/>
    <x v="86"/>
    <x v="128"/>
    <x v="207"/>
    <x v="3"/>
  </r>
  <r>
    <x v="0"/>
    <x v="23"/>
    <x v="23"/>
    <x v="45"/>
    <x v="45"/>
    <x v="45"/>
    <x v="8"/>
    <x v="201"/>
    <x v="80"/>
    <x v="82"/>
    <x v="86"/>
    <x v="125"/>
    <x v="138"/>
    <x v="3"/>
  </r>
  <r>
    <x v="0"/>
    <x v="23"/>
    <x v="23"/>
    <x v="24"/>
    <x v="24"/>
    <x v="24"/>
    <x v="8"/>
    <x v="201"/>
    <x v="80"/>
    <x v="82"/>
    <x v="86"/>
    <x v="125"/>
    <x v="138"/>
    <x v="3"/>
  </r>
  <r>
    <x v="0"/>
    <x v="23"/>
    <x v="23"/>
    <x v="21"/>
    <x v="21"/>
    <x v="21"/>
    <x v="8"/>
    <x v="201"/>
    <x v="80"/>
    <x v="82"/>
    <x v="86"/>
    <x v="125"/>
    <x v="138"/>
    <x v="3"/>
  </r>
  <r>
    <x v="0"/>
    <x v="23"/>
    <x v="23"/>
    <x v="14"/>
    <x v="14"/>
    <x v="14"/>
    <x v="8"/>
    <x v="201"/>
    <x v="80"/>
    <x v="82"/>
    <x v="86"/>
    <x v="125"/>
    <x v="138"/>
    <x v="3"/>
  </r>
  <r>
    <x v="0"/>
    <x v="23"/>
    <x v="23"/>
    <x v="0"/>
    <x v="0"/>
    <x v="0"/>
    <x v="8"/>
    <x v="201"/>
    <x v="80"/>
    <x v="36"/>
    <x v="316"/>
    <x v="128"/>
    <x v="207"/>
    <x v="3"/>
  </r>
  <r>
    <x v="0"/>
    <x v="23"/>
    <x v="23"/>
    <x v="31"/>
    <x v="31"/>
    <x v="31"/>
    <x v="8"/>
    <x v="201"/>
    <x v="80"/>
    <x v="36"/>
    <x v="316"/>
    <x v="128"/>
    <x v="207"/>
    <x v="3"/>
  </r>
  <r>
    <x v="0"/>
    <x v="23"/>
    <x v="23"/>
    <x v="22"/>
    <x v="22"/>
    <x v="22"/>
    <x v="8"/>
    <x v="201"/>
    <x v="80"/>
    <x v="82"/>
    <x v="86"/>
    <x v="125"/>
    <x v="138"/>
    <x v="3"/>
  </r>
  <r>
    <x v="0"/>
    <x v="24"/>
    <x v="24"/>
    <x v="3"/>
    <x v="3"/>
    <x v="3"/>
    <x v="0"/>
    <x v="195"/>
    <x v="301"/>
    <x v="97"/>
    <x v="317"/>
    <x v="111"/>
    <x v="287"/>
    <x v="3"/>
  </r>
  <r>
    <x v="0"/>
    <x v="24"/>
    <x v="24"/>
    <x v="5"/>
    <x v="5"/>
    <x v="5"/>
    <x v="0"/>
    <x v="195"/>
    <x v="301"/>
    <x v="50"/>
    <x v="318"/>
    <x v="128"/>
    <x v="207"/>
    <x v="3"/>
  </r>
  <r>
    <x v="0"/>
    <x v="24"/>
    <x v="24"/>
    <x v="29"/>
    <x v="29"/>
    <x v="29"/>
    <x v="2"/>
    <x v="200"/>
    <x v="302"/>
    <x v="97"/>
    <x v="317"/>
    <x v="128"/>
    <x v="207"/>
    <x v="3"/>
  </r>
  <r>
    <x v="0"/>
    <x v="24"/>
    <x v="24"/>
    <x v="6"/>
    <x v="6"/>
    <x v="6"/>
    <x v="2"/>
    <x v="200"/>
    <x v="302"/>
    <x v="97"/>
    <x v="317"/>
    <x v="128"/>
    <x v="207"/>
    <x v="3"/>
  </r>
  <r>
    <x v="0"/>
    <x v="24"/>
    <x v="24"/>
    <x v="4"/>
    <x v="4"/>
    <x v="4"/>
    <x v="2"/>
    <x v="200"/>
    <x v="302"/>
    <x v="97"/>
    <x v="317"/>
    <x v="128"/>
    <x v="207"/>
    <x v="3"/>
  </r>
  <r>
    <x v="0"/>
    <x v="24"/>
    <x v="24"/>
    <x v="8"/>
    <x v="8"/>
    <x v="8"/>
    <x v="2"/>
    <x v="200"/>
    <x v="302"/>
    <x v="82"/>
    <x v="86"/>
    <x v="128"/>
    <x v="207"/>
    <x v="3"/>
  </r>
  <r>
    <x v="0"/>
    <x v="24"/>
    <x v="24"/>
    <x v="9"/>
    <x v="9"/>
    <x v="9"/>
    <x v="6"/>
    <x v="201"/>
    <x v="303"/>
    <x v="36"/>
    <x v="319"/>
    <x v="128"/>
    <x v="207"/>
    <x v="3"/>
  </r>
  <r>
    <x v="0"/>
    <x v="24"/>
    <x v="24"/>
    <x v="26"/>
    <x v="26"/>
    <x v="26"/>
    <x v="6"/>
    <x v="201"/>
    <x v="303"/>
    <x v="82"/>
    <x v="86"/>
    <x v="125"/>
    <x v="288"/>
    <x v="3"/>
  </r>
  <r>
    <x v="0"/>
    <x v="24"/>
    <x v="24"/>
    <x v="50"/>
    <x v="50"/>
    <x v="50"/>
    <x v="6"/>
    <x v="201"/>
    <x v="303"/>
    <x v="36"/>
    <x v="319"/>
    <x v="128"/>
    <x v="207"/>
    <x v="3"/>
  </r>
  <r>
    <x v="0"/>
    <x v="24"/>
    <x v="24"/>
    <x v="11"/>
    <x v="11"/>
    <x v="11"/>
    <x v="6"/>
    <x v="201"/>
    <x v="303"/>
    <x v="36"/>
    <x v="319"/>
    <x v="128"/>
    <x v="207"/>
    <x v="3"/>
  </r>
  <r>
    <x v="0"/>
    <x v="24"/>
    <x v="24"/>
    <x v="33"/>
    <x v="33"/>
    <x v="33"/>
    <x v="6"/>
    <x v="201"/>
    <x v="303"/>
    <x v="36"/>
    <x v="319"/>
    <x v="128"/>
    <x v="207"/>
    <x v="3"/>
  </r>
  <r>
    <x v="0"/>
    <x v="24"/>
    <x v="24"/>
    <x v="7"/>
    <x v="7"/>
    <x v="7"/>
    <x v="6"/>
    <x v="201"/>
    <x v="303"/>
    <x v="36"/>
    <x v="319"/>
    <x v="128"/>
    <x v="207"/>
    <x v="3"/>
  </r>
  <r>
    <x v="0"/>
    <x v="24"/>
    <x v="24"/>
    <x v="1"/>
    <x v="1"/>
    <x v="1"/>
    <x v="6"/>
    <x v="201"/>
    <x v="303"/>
    <x v="36"/>
    <x v="319"/>
    <x v="128"/>
    <x v="207"/>
    <x v="3"/>
  </r>
  <r>
    <x v="0"/>
    <x v="24"/>
    <x v="24"/>
    <x v="31"/>
    <x v="31"/>
    <x v="31"/>
    <x v="6"/>
    <x v="201"/>
    <x v="303"/>
    <x v="82"/>
    <x v="86"/>
    <x v="128"/>
    <x v="207"/>
    <x v="3"/>
  </r>
  <r>
    <x v="0"/>
    <x v="24"/>
    <x v="24"/>
    <x v="10"/>
    <x v="10"/>
    <x v="10"/>
    <x v="6"/>
    <x v="201"/>
    <x v="303"/>
    <x v="36"/>
    <x v="319"/>
    <x v="128"/>
    <x v="207"/>
    <x v="3"/>
  </r>
  <r>
    <x v="0"/>
    <x v="24"/>
    <x v="24"/>
    <x v="15"/>
    <x v="15"/>
    <x v="15"/>
    <x v="6"/>
    <x v="201"/>
    <x v="303"/>
    <x v="82"/>
    <x v="86"/>
    <x v="128"/>
    <x v="207"/>
    <x v="3"/>
  </r>
  <r>
    <x v="0"/>
    <x v="25"/>
    <x v="25"/>
    <x v="3"/>
    <x v="3"/>
    <x v="3"/>
    <x v="0"/>
    <x v="114"/>
    <x v="304"/>
    <x v="98"/>
    <x v="320"/>
    <x v="103"/>
    <x v="289"/>
    <x v="3"/>
  </r>
  <r>
    <x v="0"/>
    <x v="25"/>
    <x v="25"/>
    <x v="1"/>
    <x v="1"/>
    <x v="1"/>
    <x v="1"/>
    <x v="137"/>
    <x v="305"/>
    <x v="104"/>
    <x v="321"/>
    <x v="127"/>
    <x v="290"/>
    <x v="3"/>
  </r>
  <r>
    <x v="0"/>
    <x v="25"/>
    <x v="25"/>
    <x v="5"/>
    <x v="5"/>
    <x v="5"/>
    <x v="2"/>
    <x v="126"/>
    <x v="306"/>
    <x v="47"/>
    <x v="322"/>
    <x v="111"/>
    <x v="6"/>
    <x v="3"/>
  </r>
  <r>
    <x v="0"/>
    <x v="25"/>
    <x v="25"/>
    <x v="4"/>
    <x v="4"/>
    <x v="4"/>
    <x v="3"/>
    <x v="127"/>
    <x v="307"/>
    <x v="54"/>
    <x v="323"/>
    <x v="111"/>
    <x v="6"/>
    <x v="3"/>
  </r>
  <r>
    <x v="0"/>
    <x v="25"/>
    <x v="25"/>
    <x v="0"/>
    <x v="0"/>
    <x v="0"/>
    <x v="4"/>
    <x v="128"/>
    <x v="308"/>
    <x v="53"/>
    <x v="324"/>
    <x v="127"/>
    <x v="290"/>
    <x v="3"/>
  </r>
  <r>
    <x v="0"/>
    <x v="25"/>
    <x v="25"/>
    <x v="9"/>
    <x v="9"/>
    <x v="9"/>
    <x v="5"/>
    <x v="153"/>
    <x v="151"/>
    <x v="110"/>
    <x v="325"/>
    <x v="110"/>
    <x v="235"/>
    <x v="3"/>
  </r>
  <r>
    <x v="0"/>
    <x v="25"/>
    <x v="25"/>
    <x v="6"/>
    <x v="6"/>
    <x v="6"/>
    <x v="6"/>
    <x v="155"/>
    <x v="309"/>
    <x v="35"/>
    <x v="186"/>
    <x v="125"/>
    <x v="291"/>
    <x v="3"/>
  </r>
  <r>
    <x v="0"/>
    <x v="25"/>
    <x v="25"/>
    <x v="7"/>
    <x v="7"/>
    <x v="7"/>
    <x v="7"/>
    <x v="156"/>
    <x v="310"/>
    <x v="80"/>
    <x v="326"/>
    <x v="83"/>
    <x v="292"/>
    <x v="3"/>
  </r>
  <r>
    <x v="0"/>
    <x v="25"/>
    <x v="25"/>
    <x v="11"/>
    <x v="11"/>
    <x v="11"/>
    <x v="8"/>
    <x v="165"/>
    <x v="93"/>
    <x v="50"/>
    <x v="327"/>
    <x v="111"/>
    <x v="6"/>
    <x v="3"/>
  </r>
  <r>
    <x v="0"/>
    <x v="25"/>
    <x v="25"/>
    <x v="18"/>
    <x v="18"/>
    <x v="18"/>
    <x v="8"/>
    <x v="165"/>
    <x v="93"/>
    <x v="80"/>
    <x v="326"/>
    <x v="127"/>
    <x v="290"/>
    <x v="3"/>
  </r>
  <r>
    <x v="0"/>
    <x v="25"/>
    <x v="25"/>
    <x v="10"/>
    <x v="10"/>
    <x v="10"/>
    <x v="10"/>
    <x v="168"/>
    <x v="311"/>
    <x v="15"/>
    <x v="328"/>
    <x v="128"/>
    <x v="207"/>
    <x v="3"/>
  </r>
  <r>
    <x v="0"/>
    <x v="25"/>
    <x v="25"/>
    <x v="26"/>
    <x v="26"/>
    <x v="26"/>
    <x v="11"/>
    <x v="195"/>
    <x v="312"/>
    <x v="97"/>
    <x v="329"/>
    <x v="111"/>
    <x v="6"/>
    <x v="3"/>
  </r>
  <r>
    <x v="0"/>
    <x v="25"/>
    <x v="25"/>
    <x v="16"/>
    <x v="16"/>
    <x v="16"/>
    <x v="11"/>
    <x v="195"/>
    <x v="312"/>
    <x v="97"/>
    <x v="329"/>
    <x v="111"/>
    <x v="6"/>
    <x v="3"/>
  </r>
  <r>
    <x v="0"/>
    <x v="25"/>
    <x v="25"/>
    <x v="2"/>
    <x v="2"/>
    <x v="2"/>
    <x v="11"/>
    <x v="195"/>
    <x v="312"/>
    <x v="36"/>
    <x v="330"/>
    <x v="111"/>
    <x v="6"/>
    <x v="3"/>
  </r>
  <r>
    <x v="0"/>
    <x v="25"/>
    <x v="25"/>
    <x v="14"/>
    <x v="14"/>
    <x v="14"/>
    <x v="11"/>
    <x v="195"/>
    <x v="312"/>
    <x v="51"/>
    <x v="109"/>
    <x v="83"/>
    <x v="292"/>
    <x v="3"/>
  </r>
  <r>
    <x v="0"/>
    <x v="25"/>
    <x v="25"/>
    <x v="51"/>
    <x v="51"/>
    <x v="51"/>
    <x v="15"/>
    <x v="196"/>
    <x v="313"/>
    <x v="51"/>
    <x v="109"/>
    <x v="127"/>
    <x v="290"/>
    <x v="3"/>
  </r>
  <r>
    <x v="0"/>
    <x v="25"/>
    <x v="25"/>
    <x v="23"/>
    <x v="23"/>
    <x v="23"/>
    <x v="15"/>
    <x v="196"/>
    <x v="313"/>
    <x v="82"/>
    <x v="86"/>
    <x v="108"/>
    <x v="46"/>
    <x v="3"/>
  </r>
  <r>
    <x v="0"/>
    <x v="25"/>
    <x v="25"/>
    <x v="13"/>
    <x v="13"/>
    <x v="13"/>
    <x v="15"/>
    <x v="196"/>
    <x v="313"/>
    <x v="97"/>
    <x v="329"/>
    <x v="83"/>
    <x v="292"/>
    <x v="3"/>
  </r>
  <r>
    <x v="0"/>
    <x v="25"/>
    <x v="25"/>
    <x v="12"/>
    <x v="12"/>
    <x v="12"/>
    <x v="15"/>
    <x v="196"/>
    <x v="313"/>
    <x v="81"/>
    <x v="209"/>
    <x v="125"/>
    <x v="291"/>
    <x v="3"/>
  </r>
  <r>
    <x v="0"/>
    <x v="25"/>
    <x v="25"/>
    <x v="36"/>
    <x v="36"/>
    <x v="36"/>
    <x v="19"/>
    <x v="197"/>
    <x v="130"/>
    <x v="36"/>
    <x v="330"/>
    <x v="83"/>
    <x v="292"/>
    <x v="3"/>
  </r>
  <r>
    <x v="0"/>
    <x v="25"/>
    <x v="25"/>
    <x v="30"/>
    <x v="30"/>
    <x v="30"/>
    <x v="19"/>
    <x v="197"/>
    <x v="130"/>
    <x v="81"/>
    <x v="209"/>
    <x v="128"/>
    <x v="207"/>
    <x v="3"/>
  </r>
  <r>
    <x v="0"/>
    <x v="26"/>
    <x v="26"/>
    <x v="0"/>
    <x v="0"/>
    <x v="0"/>
    <x v="0"/>
    <x v="203"/>
    <x v="314"/>
    <x v="23"/>
    <x v="331"/>
    <x v="119"/>
    <x v="293"/>
    <x v="3"/>
  </r>
  <r>
    <x v="0"/>
    <x v="26"/>
    <x v="26"/>
    <x v="7"/>
    <x v="7"/>
    <x v="7"/>
    <x v="1"/>
    <x v="76"/>
    <x v="315"/>
    <x v="144"/>
    <x v="332"/>
    <x v="77"/>
    <x v="294"/>
    <x v="3"/>
  </r>
  <r>
    <x v="0"/>
    <x v="26"/>
    <x v="26"/>
    <x v="4"/>
    <x v="4"/>
    <x v="4"/>
    <x v="2"/>
    <x v="158"/>
    <x v="316"/>
    <x v="75"/>
    <x v="333"/>
    <x v="76"/>
    <x v="295"/>
    <x v="3"/>
  </r>
  <r>
    <x v="0"/>
    <x v="26"/>
    <x v="26"/>
    <x v="6"/>
    <x v="6"/>
    <x v="6"/>
    <x v="3"/>
    <x v="110"/>
    <x v="317"/>
    <x v="91"/>
    <x v="138"/>
    <x v="105"/>
    <x v="296"/>
    <x v="0"/>
  </r>
  <r>
    <x v="0"/>
    <x v="26"/>
    <x v="26"/>
    <x v="3"/>
    <x v="3"/>
    <x v="3"/>
    <x v="4"/>
    <x v="79"/>
    <x v="318"/>
    <x v="116"/>
    <x v="334"/>
    <x v="51"/>
    <x v="297"/>
    <x v="3"/>
  </r>
  <r>
    <x v="0"/>
    <x v="26"/>
    <x v="26"/>
    <x v="13"/>
    <x v="13"/>
    <x v="13"/>
    <x v="5"/>
    <x v="133"/>
    <x v="319"/>
    <x v="47"/>
    <x v="80"/>
    <x v="105"/>
    <x v="296"/>
    <x v="3"/>
  </r>
  <r>
    <x v="0"/>
    <x v="26"/>
    <x v="26"/>
    <x v="2"/>
    <x v="2"/>
    <x v="2"/>
    <x v="6"/>
    <x v="160"/>
    <x v="24"/>
    <x v="50"/>
    <x v="335"/>
    <x v="75"/>
    <x v="298"/>
    <x v="3"/>
  </r>
  <r>
    <x v="0"/>
    <x v="26"/>
    <x v="26"/>
    <x v="21"/>
    <x v="21"/>
    <x v="21"/>
    <x v="7"/>
    <x v="171"/>
    <x v="320"/>
    <x v="97"/>
    <x v="336"/>
    <x v="138"/>
    <x v="4"/>
    <x v="3"/>
  </r>
  <r>
    <x v="0"/>
    <x v="26"/>
    <x v="26"/>
    <x v="1"/>
    <x v="1"/>
    <x v="1"/>
    <x v="8"/>
    <x v="164"/>
    <x v="192"/>
    <x v="75"/>
    <x v="333"/>
    <x v="120"/>
    <x v="299"/>
    <x v="3"/>
  </r>
  <r>
    <x v="0"/>
    <x v="26"/>
    <x v="26"/>
    <x v="12"/>
    <x v="12"/>
    <x v="12"/>
    <x v="9"/>
    <x v="137"/>
    <x v="311"/>
    <x v="109"/>
    <x v="337"/>
    <x v="85"/>
    <x v="300"/>
    <x v="3"/>
  </r>
  <r>
    <x v="0"/>
    <x v="26"/>
    <x v="26"/>
    <x v="8"/>
    <x v="8"/>
    <x v="8"/>
    <x v="10"/>
    <x v="91"/>
    <x v="195"/>
    <x v="35"/>
    <x v="338"/>
    <x v="120"/>
    <x v="299"/>
    <x v="4"/>
  </r>
  <r>
    <x v="0"/>
    <x v="26"/>
    <x v="26"/>
    <x v="9"/>
    <x v="9"/>
    <x v="9"/>
    <x v="11"/>
    <x v="152"/>
    <x v="321"/>
    <x v="50"/>
    <x v="335"/>
    <x v="104"/>
    <x v="56"/>
    <x v="3"/>
  </r>
  <r>
    <x v="0"/>
    <x v="26"/>
    <x v="26"/>
    <x v="52"/>
    <x v="52"/>
    <x v="52"/>
    <x v="12"/>
    <x v="128"/>
    <x v="126"/>
    <x v="70"/>
    <x v="238"/>
    <x v="82"/>
    <x v="301"/>
    <x v="3"/>
  </r>
  <r>
    <x v="0"/>
    <x v="26"/>
    <x v="26"/>
    <x v="10"/>
    <x v="10"/>
    <x v="10"/>
    <x v="12"/>
    <x v="128"/>
    <x v="126"/>
    <x v="54"/>
    <x v="339"/>
    <x v="83"/>
    <x v="302"/>
    <x v="3"/>
  </r>
  <r>
    <x v="0"/>
    <x v="26"/>
    <x v="26"/>
    <x v="31"/>
    <x v="31"/>
    <x v="31"/>
    <x v="14"/>
    <x v="140"/>
    <x v="183"/>
    <x v="50"/>
    <x v="335"/>
    <x v="120"/>
    <x v="299"/>
    <x v="3"/>
  </r>
  <r>
    <x v="0"/>
    <x v="26"/>
    <x v="26"/>
    <x v="5"/>
    <x v="5"/>
    <x v="5"/>
    <x v="15"/>
    <x v="141"/>
    <x v="322"/>
    <x v="110"/>
    <x v="72"/>
    <x v="93"/>
    <x v="303"/>
    <x v="3"/>
  </r>
  <r>
    <x v="0"/>
    <x v="26"/>
    <x v="26"/>
    <x v="11"/>
    <x v="11"/>
    <x v="11"/>
    <x v="16"/>
    <x v="154"/>
    <x v="18"/>
    <x v="81"/>
    <x v="340"/>
    <x v="86"/>
    <x v="270"/>
    <x v="3"/>
  </r>
  <r>
    <x v="0"/>
    <x v="26"/>
    <x v="26"/>
    <x v="22"/>
    <x v="22"/>
    <x v="22"/>
    <x v="17"/>
    <x v="155"/>
    <x v="323"/>
    <x v="82"/>
    <x v="86"/>
    <x v="112"/>
    <x v="304"/>
    <x v="3"/>
  </r>
  <r>
    <x v="0"/>
    <x v="26"/>
    <x v="26"/>
    <x v="30"/>
    <x v="30"/>
    <x v="30"/>
    <x v="18"/>
    <x v="156"/>
    <x v="324"/>
    <x v="51"/>
    <x v="341"/>
    <x v="93"/>
    <x v="303"/>
    <x v="3"/>
  </r>
  <r>
    <x v="0"/>
    <x v="26"/>
    <x v="26"/>
    <x v="14"/>
    <x v="14"/>
    <x v="14"/>
    <x v="19"/>
    <x v="168"/>
    <x v="325"/>
    <x v="51"/>
    <x v="341"/>
    <x v="109"/>
    <x v="196"/>
    <x v="3"/>
  </r>
  <r>
    <x v="0"/>
    <x v="27"/>
    <x v="27"/>
    <x v="0"/>
    <x v="0"/>
    <x v="0"/>
    <x v="0"/>
    <x v="151"/>
    <x v="326"/>
    <x v="140"/>
    <x v="342"/>
    <x v="109"/>
    <x v="305"/>
    <x v="3"/>
  </r>
  <r>
    <x v="0"/>
    <x v="27"/>
    <x v="27"/>
    <x v="3"/>
    <x v="3"/>
    <x v="3"/>
    <x v="1"/>
    <x v="88"/>
    <x v="88"/>
    <x v="55"/>
    <x v="30"/>
    <x v="94"/>
    <x v="306"/>
    <x v="3"/>
  </r>
  <r>
    <x v="0"/>
    <x v="27"/>
    <x v="27"/>
    <x v="1"/>
    <x v="1"/>
    <x v="1"/>
    <x v="2"/>
    <x v="167"/>
    <x v="327"/>
    <x v="120"/>
    <x v="343"/>
    <x v="111"/>
    <x v="34"/>
    <x v="3"/>
  </r>
  <r>
    <x v="0"/>
    <x v="27"/>
    <x v="27"/>
    <x v="4"/>
    <x v="4"/>
    <x v="4"/>
    <x v="3"/>
    <x v="152"/>
    <x v="328"/>
    <x v="110"/>
    <x v="124"/>
    <x v="82"/>
    <x v="307"/>
    <x v="3"/>
  </r>
  <r>
    <x v="0"/>
    <x v="27"/>
    <x v="27"/>
    <x v="6"/>
    <x v="6"/>
    <x v="6"/>
    <x v="4"/>
    <x v="129"/>
    <x v="329"/>
    <x v="116"/>
    <x v="344"/>
    <x v="108"/>
    <x v="250"/>
    <x v="3"/>
  </r>
  <r>
    <x v="0"/>
    <x v="27"/>
    <x v="27"/>
    <x v="10"/>
    <x v="10"/>
    <x v="10"/>
    <x v="5"/>
    <x v="153"/>
    <x v="330"/>
    <x v="35"/>
    <x v="345"/>
    <x v="83"/>
    <x v="170"/>
    <x v="3"/>
  </r>
  <r>
    <x v="0"/>
    <x v="27"/>
    <x v="27"/>
    <x v="5"/>
    <x v="5"/>
    <x v="5"/>
    <x v="6"/>
    <x v="154"/>
    <x v="331"/>
    <x v="15"/>
    <x v="346"/>
    <x v="111"/>
    <x v="34"/>
    <x v="3"/>
  </r>
  <r>
    <x v="0"/>
    <x v="27"/>
    <x v="27"/>
    <x v="2"/>
    <x v="2"/>
    <x v="2"/>
    <x v="7"/>
    <x v="155"/>
    <x v="274"/>
    <x v="81"/>
    <x v="347"/>
    <x v="93"/>
    <x v="178"/>
    <x v="3"/>
  </r>
  <r>
    <x v="0"/>
    <x v="27"/>
    <x v="27"/>
    <x v="7"/>
    <x v="7"/>
    <x v="7"/>
    <x v="7"/>
    <x v="155"/>
    <x v="274"/>
    <x v="70"/>
    <x v="348"/>
    <x v="110"/>
    <x v="308"/>
    <x v="3"/>
  </r>
  <r>
    <x v="0"/>
    <x v="27"/>
    <x v="27"/>
    <x v="9"/>
    <x v="9"/>
    <x v="9"/>
    <x v="9"/>
    <x v="168"/>
    <x v="107"/>
    <x v="70"/>
    <x v="348"/>
    <x v="111"/>
    <x v="34"/>
    <x v="3"/>
  </r>
  <r>
    <x v="0"/>
    <x v="27"/>
    <x v="27"/>
    <x v="8"/>
    <x v="8"/>
    <x v="8"/>
    <x v="9"/>
    <x v="168"/>
    <x v="107"/>
    <x v="110"/>
    <x v="124"/>
    <x v="125"/>
    <x v="206"/>
    <x v="0"/>
  </r>
  <r>
    <x v="0"/>
    <x v="27"/>
    <x v="27"/>
    <x v="11"/>
    <x v="11"/>
    <x v="11"/>
    <x v="11"/>
    <x v="199"/>
    <x v="51"/>
    <x v="70"/>
    <x v="348"/>
    <x v="83"/>
    <x v="170"/>
    <x v="3"/>
  </r>
  <r>
    <x v="0"/>
    <x v="27"/>
    <x v="27"/>
    <x v="14"/>
    <x v="14"/>
    <x v="14"/>
    <x v="11"/>
    <x v="199"/>
    <x v="51"/>
    <x v="51"/>
    <x v="349"/>
    <x v="111"/>
    <x v="34"/>
    <x v="3"/>
  </r>
  <r>
    <x v="0"/>
    <x v="27"/>
    <x v="27"/>
    <x v="17"/>
    <x v="17"/>
    <x v="17"/>
    <x v="13"/>
    <x v="202"/>
    <x v="332"/>
    <x v="82"/>
    <x v="86"/>
    <x v="110"/>
    <x v="308"/>
    <x v="3"/>
  </r>
  <r>
    <x v="0"/>
    <x v="27"/>
    <x v="27"/>
    <x v="12"/>
    <x v="12"/>
    <x v="12"/>
    <x v="13"/>
    <x v="202"/>
    <x v="332"/>
    <x v="51"/>
    <x v="349"/>
    <x v="111"/>
    <x v="34"/>
    <x v="3"/>
  </r>
  <r>
    <x v="0"/>
    <x v="27"/>
    <x v="27"/>
    <x v="31"/>
    <x v="31"/>
    <x v="31"/>
    <x v="15"/>
    <x v="195"/>
    <x v="251"/>
    <x v="82"/>
    <x v="86"/>
    <x v="111"/>
    <x v="34"/>
    <x v="3"/>
  </r>
  <r>
    <x v="0"/>
    <x v="27"/>
    <x v="27"/>
    <x v="51"/>
    <x v="51"/>
    <x v="51"/>
    <x v="16"/>
    <x v="196"/>
    <x v="267"/>
    <x v="51"/>
    <x v="349"/>
    <x v="127"/>
    <x v="168"/>
    <x v="3"/>
  </r>
  <r>
    <x v="0"/>
    <x v="27"/>
    <x v="27"/>
    <x v="30"/>
    <x v="30"/>
    <x v="30"/>
    <x v="16"/>
    <x v="196"/>
    <x v="267"/>
    <x v="81"/>
    <x v="347"/>
    <x v="125"/>
    <x v="206"/>
    <x v="3"/>
  </r>
  <r>
    <x v="0"/>
    <x v="27"/>
    <x v="27"/>
    <x v="53"/>
    <x v="53"/>
    <x v="53"/>
    <x v="18"/>
    <x v="197"/>
    <x v="56"/>
    <x v="36"/>
    <x v="350"/>
    <x v="83"/>
    <x v="170"/>
    <x v="3"/>
  </r>
  <r>
    <x v="0"/>
    <x v="27"/>
    <x v="27"/>
    <x v="24"/>
    <x v="24"/>
    <x v="24"/>
    <x v="18"/>
    <x v="197"/>
    <x v="56"/>
    <x v="82"/>
    <x v="86"/>
    <x v="111"/>
    <x v="34"/>
    <x v="3"/>
  </r>
  <r>
    <x v="0"/>
    <x v="27"/>
    <x v="27"/>
    <x v="21"/>
    <x v="21"/>
    <x v="21"/>
    <x v="18"/>
    <x v="197"/>
    <x v="56"/>
    <x v="82"/>
    <x v="86"/>
    <x v="111"/>
    <x v="34"/>
    <x v="3"/>
  </r>
  <r>
    <x v="0"/>
    <x v="27"/>
    <x v="27"/>
    <x v="18"/>
    <x v="18"/>
    <x v="18"/>
    <x v="18"/>
    <x v="197"/>
    <x v="56"/>
    <x v="97"/>
    <x v="211"/>
    <x v="127"/>
    <x v="168"/>
    <x v="3"/>
  </r>
  <r>
    <x v="0"/>
    <x v="28"/>
    <x v="28"/>
    <x v="7"/>
    <x v="7"/>
    <x v="7"/>
    <x v="0"/>
    <x v="85"/>
    <x v="333"/>
    <x v="103"/>
    <x v="351"/>
    <x v="122"/>
    <x v="309"/>
    <x v="3"/>
  </r>
  <r>
    <x v="0"/>
    <x v="28"/>
    <x v="28"/>
    <x v="0"/>
    <x v="0"/>
    <x v="0"/>
    <x v="1"/>
    <x v="127"/>
    <x v="334"/>
    <x v="54"/>
    <x v="352"/>
    <x v="111"/>
    <x v="310"/>
    <x v="3"/>
  </r>
  <r>
    <x v="0"/>
    <x v="28"/>
    <x v="28"/>
    <x v="1"/>
    <x v="1"/>
    <x v="1"/>
    <x v="2"/>
    <x v="141"/>
    <x v="335"/>
    <x v="109"/>
    <x v="353"/>
    <x v="83"/>
    <x v="215"/>
    <x v="3"/>
  </r>
  <r>
    <x v="0"/>
    <x v="28"/>
    <x v="28"/>
    <x v="4"/>
    <x v="4"/>
    <x v="4"/>
    <x v="3"/>
    <x v="153"/>
    <x v="336"/>
    <x v="50"/>
    <x v="137"/>
    <x v="93"/>
    <x v="311"/>
    <x v="3"/>
  </r>
  <r>
    <x v="0"/>
    <x v="28"/>
    <x v="28"/>
    <x v="3"/>
    <x v="3"/>
    <x v="3"/>
    <x v="4"/>
    <x v="154"/>
    <x v="337"/>
    <x v="50"/>
    <x v="137"/>
    <x v="110"/>
    <x v="312"/>
    <x v="3"/>
  </r>
  <r>
    <x v="0"/>
    <x v="28"/>
    <x v="28"/>
    <x v="6"/>
    <x v="6"/>
    <x v="6"/>
    <x v="5"/>
    <x v="165"/>
    <x v="338"/>
    <x v="80"/>
    <x v="354"/>
    <x v="127"/>
    <x v="313"/>
    <x v="3"/>
  </r>
  <r>
    <x v="0"/>
    <x v="28"/>
    <x v="28"/>
    <x v="9"/>
    <x v="9"/>
    <x v="9"/>
    <x v="6"/>
    <x v="168"/>
    <x v="339"/>
    <x v="50"/>
    <x v="137"/>
    <x v="83"/>
    <x v="215"/>
    <x v="3"/>
  </r>
  <r>
    <x v="0"/>
    <x v="28"/>
    <x v="28"/>
    <x v="8"/>
    <x v="8"/>
    <x v="8"/>
    <x v="6"/>
    <x v="168"/>
    <x v="339"/>
    <x v="70"/>
    <x v="172"/>
    <x v="83"/>
    <x v="215"/>
    <x v="0"/>
  </r>
  <r>
    <x v="0"/>
    <x v="28"/>
    <x v="28"/>
    <x v="5"/>
    <x v="5"/>
    <x v="5"/>
    <x v="8"/>
    <x v="199"/>
    <x v="247"/>
    <x v="70"/>
    <x v="172"/>
    <x v="83"/>
    <x v="215"/>
    <x v="3"/>
  </r>
  <r>
    <x v="0"/>
    <x v="28"/>
    <x v="28"/>
    <x v="11"/>
    <x v="11"/>
    <x v="11"/>
    <x v="9"/>
    <x v="195"/>
    <x v="340"/>
    <x v="50"/>
    <x v="137"/>
    <x v="128"/>
    <x v="207"/>
    <x v="3"/>
  </r>
  <r>
    <x v="0"/>
    <x v="28"/>
    <x v="28"/>
    <x v="12"/>
    <x v="12"/>
    <x v="12"/>
    <x v="9"/>
    <x v="195"/>
    <x v="340"/>
    <x v="50"/>
    <x v="137"/>
    <x v="128"/>
    <x v="207"/>
    <x v="3"/>
  </r>
  <r>
    <x v="0"/>
    <x v="28"/>
    <x v="28"/>
    <x v="14"/>
    <x v="14"/>
    <x v="14"/>
    <x v="9"/>
    <x v="195"/>
    <x v="340"/>
    <x v="51"/>
    <x v="355"/>
    <x v="83"/>
    <x v="215"/>
    <x v="3"/>
  </r>
  <r>
    <x v="0"/>
    <x v="28"/>
    <x v="28"/>
    <x v="10"/>
    <x v="10"/>
    <x v="10"/>
    <x v="12"/>
    <x v="196"/>
    <x v="341"/>
    <x v="81"/>
    <x v="356"/>
    <x v="125"/>
    <x v="314"/>
    <x v="3"/>
  </r>
  <r>
    <x v="0"/>
    <x v="28"/>
    <x v="28"/>
    <x v="16"/>
    <x v="16"/>
    <x v="16"/>
    <x v="13"/>
    <x v="197"/>
    <x v="251"/>
    <x v="82"/>
    <x v="86"/>
    <x v="111"/>
    <x v="310"/>
    <x v="3"/>
  </r>
  <r>
    <x v="0"/>
    <x v="28"/>
    <x v="28"/>
    <x v="13"/>
    <x v="13"/>
    <x v="13"/>
    <x v="13"/>
    <x v="197"/>
    <x v="251"/>
    <x v="36"/>
    <x v="357"/>
    <x v="83"/>
    <x v="215"/>
    <x v="3"/>
  </r>
  <r>
    <x v="0"/>
    <x v="28"/>
    <x v="28"/>
    <x v="18"/>
    <x v="18"/>
    <x v="18"/>
    <x v="13"/>
    <x v="197"/>
    <x v="251"/>
    <x v="81"/>
    <x v="356"/>
    <x v="128"/>
    <x v="207"/>
    <x v="3"/>
  </r>
  <r>
    <x v="0"/>
    <x v="28"/>
    <x v="28"/>
    <x v="33"/>
    <x v="33"/>
    <x v="33"/>
    <x v="16"/>
    <x v="198"/>
    <x v="144"/>
    <x v="82"/>
    <x v="86"/>
    <x v="83"/>
    <x v="215"/>
    <x v="3"/>
  </r>
  <r>
    <x v="0"/>
    <x v="28"/>
    <x v="28"/>
    <x v="26"/>
    <x v="26"/>
    <x v="26"/>
    <x v="17"/>
    <x v="200"/>
    <x v="342"/>
    <x v="36"/>
    <x v="357"/>
    <x v="125"/>
    <x v="314"/>
    <x v="3"/>
  </r>
  <r>
    <x v="0"/>
    <x v="28"/>
    <x v="28"/>
    <x v="54"/>
    <x v="54"/>
    <x v="54"/>
    <x v="17"/>
    <x v="200"/>
    <x v="342"/>
    <x v="36"/>
    <x v="357"/>
    <x v="125"/>
    <x v="314"/>
    <x v="3"/>
  </r>
  <r>
    <x v="0"/>
    <x v="28"/>
    <x v="28"/>
    <x v="53"/>
    <x v="53"/>
    <x v="53"/>
    <x v="17"/>
    <x v="200"/>
    <x v="342"/>
    <x v="97"/>
    <x v="99"/>
    <x v="128"/>
    <x v="207"/>
    <x v="3"/>
  </r>
  <r>
    <x v="0"/>
    <x v="28"/>
    <x v="28"/>
    <x v="38"/>
    <x v="38"/>
    <x v="38"/>
    <x v="17"/>
    <x v="200"/>
    <x v="342"/>
    <x v="36"/>
    <x v="357"/>
    <x v="125"/>
    <x v="314"/>
    <x v="3"/>
  </r>
  <r>
    <x v="0"/>
    <x v="28"/>
    <x v="28"/>
    <x v="32"/>
    <x v="32"/>
    <x v="32"/>
    <x v="17"/>
    <x v="200"/>
    <x v="342"/>
    <x v="36"/>
    <x v="357"/>
    <x v="125"/>
    <x v="314"/>
    <x v="3"/>
  </r>
  <r>
    <x v="0"/>
    <x v="28"/>
    <x v="28"/>
    <x v="2"/>
    <x v="2"/>
    <x v="2"/>
    <x v="17"/>
    <x v="200"/>
    <x v="342"/>
    <x v="82"/>
    <x v="86"/>
    <x v="127"/>
    <x v="313"/>
    <x v="3"/>
  </r>
  <r>
    <x v="0"/>
    <x v="28"/>
    <x v="28"/>
    <x v="52"/>
    <x v="52"/>
    <x v="52"/>
    <x v="17"/>
    <x v="200"/>
    <x v="342"/>
    <x v="82"/>
    <x v="86"/>
    <x v="127"/>
    <x v="313"/>
    <x v="3"/>
  </r>
  <r>
    <x v="0"/>
    <x v="28"/>
    <x v="28"/>
    <x v="30"/>
    <x v="30"/>
    <x v="30"/>
    <x v="17"/>
    <x v="200"/>
    <x v="342"/>
    <x v="82"/>
    <x v="86"/>
    <x v="127"/>
    <x v="313"/>
    <x v="3"/>
  </r>
  <r>
    <x v="0"/>
    <x v="28"/>
    <x v="28"/>
    <x v="31"/>
    <x v="31"/>
    <x v="31"/>
    <x v="17"/>
    <x v="200"/>
    <x v="342"/>
    <x v="36"/>
    <x v="357"/>
    <x v="125"/>
    <x v="314"/>
    <x v="3"/>
  </r>
  <r>
    <x v="0"/>
    <x v="28"/>
    <x v="28"/>
    <x v="46"/>
    <x v="46"/>
    <x v="46"/>
    <x v="17"/>
    <x v="200"/>
    <x v="342"/>
    <x v="97"/>
    <x v="99"/>
    <x v="128"/>
    <x v="207"/>
    <x v="3"/>
  </r>
  <r>
    <x v="0"/>
    <x v="28"/>
    <x v="28"/>
    <x v="22"/>
    <x v="22"/>
    <x v="22"/>
    <x v="17"/>
    <x v="200"/>
    <x v="342"/>
    <x v="82"/>
    <x v="86"/>
    <x v="127"/>
    <x v="313"/>
    <x v="3"/>
  </r>
  <r>
    <x v="0"/>
    <x v="29"/>
    <x v="29"/>
    <x v="3"/>
    <x v="3"/>
    <x v="3"/>
    <x v="0"/>
    <x v="155"/>
    <x v="343"/>
    <x v="80"/>
    <x v="358"/>
    <x v="111"/>
    <x v="315"/>
    <x v="3"/>
  </r>
  <r>
    <x v="0"/>
    <x v="29"/>
    <x v="29"/>
    <x v="1"/>
    <x v="1"/>
    <x v="1"/>
    <x v="0"/>
    <x v="155"/>
    <x v="343"/>
    <x v="55"/>
    <x v="359"/>
    <x v="128"/>
    <x v="207"/>
    <x v="0"/>
  </r>
  <r>
    <x v="0"/>
    <x v="29"/>
    <x v="29"/>
    <x v="0"/>
    <x v="0"/>
    <x v="0"/>
    <x v="2"/>
    <x v="156"/>
    <x v="344"/>
    <x v="35"/>
    <x v="315"/>
    <x v="128"/>
    <x v="207"/>
    <x v="3"/>
  </r>
  <r>
    <x v="0"/>
    <x v="29"/>
    <x v="29"/>
    <x v="5"/>
    <x v="5"/>
    <x v="5"/>
    <x v="3"/>
    <x v="168"/>
    <x v="345"/>
    <x v="80"/>
    <x v="358"/>
    <x v="125"/>
    <x v="316"/>
    <x v="3"/>
  </r>
  <r>
    <x v="0"/>
    <x v="29"/>
    <x v="29"/>
    <x v="6"/>
    <x v="6"/>
    <x v="6"/>
    <x v="4"/>
    <x v="199"/>
    <x v="346"/>
    <x v="50"/>
    <x v="360"/>
    <x v="127"/>
    <x v="317"/>
    <x v="3"/>
  </r>
  <r>
    <x v="0"/>
    <x v="29"/>
    <x v="29"/>
    <x v="4"/>
    <x v="4"/>
    <x v="4"/>
    <x v="5"/>
    <x v="202"/>
    <x v="347"/>
    <x v="50"/>
    <x v="360"/>
    <x v="125"/>
    <x v="316"/>
    <x v="3"/>
  </r>
  <r>
    <x v="0"/>
    <x v="29"/>
    <x v="29"/>
    <x v="8"/>
    <x v="8"/>
    <x v="8"/>
    <x v="5"/>
    <x v="202"/>
    <x v="347"/>
    <x v="81"/>
    <x v="361"/>
    <x v="128"/>
    <x v="207"/>
    <x v="3"/>
  </r>
  <r>
    <x v="0"/>
    <x v="29"/>
    <x v="29"/>
    <x v="9"/>
    <x v="9"/>
    <x v="9"/>
    <x v="7"/>
    <x v="195"/>
    <x v="348"/>
    <x v="81"/>
    <x v="361"/>
    <x v="127"/>
    <x v="317"/>
    <x v="3"/>
  </r>
  <r>
    <x v="0"/>
    <x v="29"/>
    <x v="29"/>
    <x v="10"/>
    <x v="10"/>
    <x v="10"/>
    <x v="7"/>
    <x v="195"/>
    <x v="348"/>
    <x v="50"/>
    <x v="360"/>
    <x v="128"/>
    <x v="207"/>
    <x v="3"/>
  </r>
  <r>
    <x v="0"/>
    <x v="29"/>
    <x v="29"/>
    <x v="15"/>
    <x v="15"/>
    <x v="15"/>
    <x v="7"/>
    <x v="195"/>
    <x v="348"/>
    <x v="82"/>
    <x v="86"/>
    <x v="127"/>
    <x v="317"/>
    <x v="3"/>
  </r>
  <r>
    <x v="0"/>
    <x v="29"/>
    <x v="29"/>
    <x v="7"/>
    <x v="7"/>
    <x v="7"/>
    <x v="10"/>
    <x v="196"/>
    <x v="349"/>
    <x v="51"/>
    <x v="362"/>
    <x v="127"/>
    <x v="317"/>
    <x v="3"/>
  </r>
  <r>
    <x v="0"/>
    <x v="29"/>
    <x v="29"/>
    <x v="16"/>
    <x v="16"/>
    <x v="16"/>
    <x v="11"/>
    <x v="197"/>
    <x v="78"/>
    <x v="51"/>
    <x v="362"/>
    <x v="125"/>
    <x v="316"/>
    <x v="3"/>
  </r>
  <r>
    <x v="0"/>
    <x v="29"/>
    <x v="29"/>
    <x v="55"/>
    <x v="55"/>
    <x v="55"/>
    <x v="12"/>
    <x v="198"/>
    <x v="341"/>
    <x v="51"/>
    <x v="362"/>
    <x v="128"/>
    <x v="207"/>
    <x v="3"/>
  </r>
  <r>
    <x v="0"/>
    <x v="29"/>
    <x v="29"/>
    <x v="25"/>
    <x v="25"/>
    <x v="25"/>
    <x v="12"/>
    <x v="198"/>
    <x v="341"/>
    <x v="97"/>
    <x v="66"/>
    <x v="125"/>
    <x v="316"/>
    <x v="3"/>
  </r>
  <r>
    <x v="0"/>
    <x v="29"/>
    <x v="29"/>
    <x v="14"/>
    <x v="14"/>
    <x v="14"/>
    <x v="12"/>
    <x v="198"/>
    <x v="341"/>
    <x v="36"/>
    <x v="363"/>
    <x v="127"/>
    <x v="317"/>
    <x v="3"/>
  </r>
  <r>
    <x v="0"/>
    <x v="29"/>
    <x v="29"/>
    <x v="22"/>
    <x v="22"/>
    <x v="22"/>
    <x v="12"/>
    <x v="198"/>
    <x v="341"/>
    <x v="82"/>
    <x v="86"/>
    <x v="83"/>
    <x v="318"/>
    <x v="3"/>
  </r>
  <r>
    <x v="0"/>
    <x v="29"/>
    <x v="29"/>
    <x v="19"/>
    <x v="19"/>
    <x v="19"/>
    <x v="16"/>
    <x v="200"/>
    <x v="350"/>
    <x v="36"/>
    <x v="363"/>
    <x v="125"/>
    <x v="316"/>
    <x v="3"/>
  </r>
  <r>
    <x v="0"/>
    <x v="29"/>
    <x v="29"/>
    <x v="35"/>
    <x v="35"/>
    <x v="35"/>
    <x v="16"/>
    <x v="200"/>
    <x v="350"/>
    <x v="97"/>
    <x v="66"/>
    <x v="128"/>
    <x v="207"/>
    <x v="3"/>
  </r>
  <r>
    <x v="0"/>
    <x v="29"/>
    <x v="29"/>
    <x v="34"/>
    <x v="34"/>
    <x v="34"/>
    <x v="16"/>
    <x v="200"/>
    <x v="350"/>
    <x v="36"/>
    <x v="363"/>
    <x v="125"/>
    <x v="316"/>
    <x v="3"/>
  </r>
  <r>
    <x v="0"/>
    <x v="29"/>
    <x v="29"/>
    <x v="11"/>
    <x v="11"/>
    <x v="11"/>
    <x v="16"/>
    <x v="200"/>
    <x v="350"/>
    <x v="82"/>
    <x v="86"/>
    <x v="127"/>
    <x v="317"/>
    <x v="3"/>
  </r>
  <r>
    <x v="0"/>
    <x v="29"/>
    <x v="29"/>
    <x v="2"/>
    <x v="2"/>
    <x v="2"/>
    <x v="16"/>
    <x v="200"/>
    <x v="350"/>
    <x v="82"/>
    <x v="86"/>
    <x v="125"/>
    <x v="316"/>
    <x v="3"/>
  </r>
  <r>
    <x v="0"/>
    <x v="29"/>
    <x v="29"/>
    <x v="18"/>
    <x v="18"/>
    <x v="18"/>
    <x v="16"/>
    <x v="200"/>
    <x v="350"/>
    <x v="97"/>
    <x v="66"/>
    <x v="128"/>
    <x v="207"/>
    <x v="3"/>
  </r>
  <r>
    <x v="0"/>
    <x v="30"/>
    <x v="30"/>
    <x v="7"/>
    <x v="7"/>
    <x v="7"/>
    <x v="0"/>
    <x v="164"/>
    <x v="351"/>
    <x v="105"/>
    <x v="364"/>
    <x v="111"/>
    <x v="319"/>
    <x v="3"/>
  </r>
  <r>
    <x v="0"/>
    <x v="30"/>
    <x v="30"/>
    <x v="3"/>
    <x v="3"/>
    <x v="3"/>
    <x v="1"/>
    <x v="125"/>
    <x v="352"/>
    <x v="108"/>
    <x v="307"/>
    <x v="122"/>
    <x v="320"/>
    <x v="3"/>
  </r>
  <r>
    <x v="0"/>
    <x v="30"/>
    <x v="30"/>
    <x v="0"/>
    <x v="0"/>
    <x v="0"/>
    <x v="2"/>
    <x v="173"/>
    <x v="39"/>
    <x v="145"/>
    <x v="365"/>
    <x v="125"/>
    <x v="321"/>
    <x v="3"/>
  </r>
  <r>
    <x v="0"/>
    <x v="30"/>
    <x v="30"/>
    <x v="5"/>
    <x v="5"/>
    <x v="5"/>
    <x v="3"/>
    <x v="141"/>
    <x v="353"/>
    <x v="109"/>
    <x v="366"/>
    <x v="83"/>
    <x v="95"/>
    <x v="3"/>
  </r>
  <r>
    <x v="0"/>
    <x v="30"/>
    <x v="30"/>
    <x v="6"/>
    <x v="6"/>
    <x v="6"/>
    <x v="4"/>
    <x v="154"/>
    <x v="354"/>
    <x v="50"/>
    <x v="264"/>
    <x v="110"/>
    <x v="322"/>
    <x v="3"/>
  </r>
  <r>
    <x v="0"/>
    <x v="30"/>
    <x v="30"/>
    <x v="4"/>
    <x v="4"/>
    <x v="4"/>
    <x v="5"/>
    <x v="155"/>
    <x v="355"/>
    <x v="110"/>
    <x v="183"/>
    <x v="108"/>
    <x v="138"/>
    <x v="3"/>
  </r>
  <r>
    <x v="0"/>
    <x v="30"/>
    <x v="30"/>
    <x v="1"/>
    <x v="1"/>
    <x v="1"/>
    <x v="5"/>
    <x v="155"/>
    <x v="355"/>
    <x v="55"/>
    <x v="308"/>
    <x v="127"/>
    <x v="323"/>
    <x v="3"/>
  </r>
  <r>
    <x v="0"/>
    <x v="30"/>
    <x v="30"/>
    <x v="11"/>
    <x v="11"/>
    <x v="11"/>
    <x v="7"/>
    <x v="199"/>
    <x v="27"/>
    <x v="110"/>
    <x v="183"/>
    <x v="125"/>
    <x v="321"/>
    <x v="3"/>
  </r>
  <r>
    <x v="0"/>
    <x v="30"/>
    <x v="30"/>
    <x v="16"/>
    <x v="16"/>
    <x v="16"/>
    <x v="8"/>
    <x v="202"/>
    <x v="10"/>
    <x v="97"/>
    <x v="96"/>
    <x v="108"/>
    <x v="138"/>
    <x v="3"/>
  </r>
  <r>
    <x v="0"/>
    <x v="30"/>
    <x v="30"/>
    <x v="8"/>
    <x v="8"/>
    <x v="8"/>
    <x v="9"/>
    <x v="196"/>
    <x v="170"/>
    <x v="51"/>
    <x v="367"/>
    <x v="128"/>
    <x v="207"/>
    <x v="3"/>
  </r>
  <r>
    <x v="0"/>
    <x v="30"/>
    <x v="30"/>
    <x v="9"/>
    <x v="9"/>
    <x v="9"/>
    <x v="10"/>
    <x v="197"/>
    <x v="198"/>
    <x v="51"/>
    <x v="367"/>
    <x v="125"/>
    <x v="321"/>
    <x v="3"/>
  </r>
  <r>
    <x v="0"/>
    <x v="30"/>
    <x v="30"/>
    <x v="26"/>
    <x v="26"/>
    <x v="26"/>
    <x v="10"/>
    <x v="197"/>
    <x v="198"/>
    <x v="97"/>
    <x v="96"/>
    <x v="127"/>
    <x v="323"/>
    <x v="3"/>
  </r>
  <r>
    <x v="0"/>
    <x v="30"/>
    <x v="30"/>
    <x v="43"/>
    <x v="43"/>
    <x v="43"/>
    <x v="10"/>
    <x v="197"/>
    <x v="198"/>
    <x v="97"/>
    <x v="96"/>
    <x v="127"/>
    <x v="323"/>
    <x v="3"/>
  </r>
  <r>
    <x v="0"/>
    <x v="30"/>
    <x v="30"/>
    <x v="12"/>
    <x v="12"/>
    <x v="12"/>
    <x v="10"/>
    <x v="197"/>
    <x v="198"/>
    <x v="51"/>
    <x v="367"/>
    <x v="125"/>
    <x v="321"/>
    <x v="3"/>
  </r>
  <r>
    <x v="0"/>
    <x v="30"/>
    <x v="30"/>
    <x v="15"/>
    <x v="15"/>
    <x v="15"/>
    <x v="10"/>
    <x v="197"/>
    <x v="198"/>
    <x v="82"/>
    <x v="86"/>
    <x v="125"/>
    <x v="321"/>
    <x v="3"/>
  </r>
  <r>
    <x v="0"/>
    <x v="30"/>
    <x v="30"/>
    <x v="13"/>
    <x v="13"/>
    <x v="13"/>
    <x v="15"/>
    <x v="198"/>
    <x v="130"/>
    <x v="51"/>
    <x v="367"/>
    <x v="128"/>
    <x v="207"/>
    <x v="3"/>
  </r>
  <r>
    <x v="0"/>
    <x v="30"/>
    <x v="30"/>
    <x v="14"/>
    <x v="14"/>
    <x v="14"/>
    <x v="15"/>
    <x v="198"/>
    <x v="130"/>
    <x v="36"/>
    <x v="368"/>
    <x v="127"/>
    <x v="323"/>
    <x v="3"/>
  </r>
  <r>
    <x v="0"/>
    <x v="30"/>
    <x v="30"/>
    <x v="28"/>
    <x v="28"/>
    <x v="28"/>
    <x v="15"/>
    <x v="198"/>
    <x v="130"/>
    <x v="82"/>
    <x v="86"/>
    <x v="83"/>
    <x v="95"/>
    <x v="3"/>
  </r>
  <r>
    <x v="0"/>
    <x v="30"/>
    <x v="30"/>
    <x v="10"/>
    <x v="10"/>
    <x v="10"/>
    <x v="15"/>
    <x v="198"/>
    <x v="130"/>
    <x v="36"/>
    <x v="368"/>
    <x v="125"/>
    <x v="321"/>
    <x v="3"/>
  </r>
  <r>
    <x v="0"/>
    <x v="30"/>
    <x v="30"/>
    <x v="56"/>
    <x v="56"/>
    <x v="56"/>
    <x v="19"/>
    <x v="200"/>
    <x v="356"/>
    <x v="82"/>
    <x v="86"/>
    <x v="127"/>
    <x v="323"/>
    <x v="3"/>
  </r>
  <r>
    <x v="0"/>
    <x v="30"/>
    <x v="30"/>
    <x v="36"/>
    <x v="36"/>
    <x v="36"/>
    <x v="19"/>
    <x v="200"/>
    <x v="356"/>
    <x v="82"/>
    <x v="86"/>
    <x v="127"/>
    <x v="323"/>
    <x v="3"/>
  </r>
  <r>
    <x v="0"/>
    <x v="30"/>
    <x v="30"/>
    <x v="29"/>
    <x v="29"/>
    <x v="29"/>
    <x v="19"/>
    <x v="200"/>
    <x v="356"/>
    <x v="97"/>
    <x v="96"/>
    <x v="128"/>
    <x v="207"/>
    <x v="3"/>
  </r>
  <r>
    <x v="0"/>
    <x v="30"/>
    <x v="30"/>
    <x v="19"/>
    <x v="19"/>
    <x v="19"/>
    <x v="19"/>
    <x v="200"/>
    <x v="356"/>
    <x v="97"/>
    <x v="96"/>
    <x v="128"/>
    <x v="207"/>
    <x v="3"/>
  </r>
  <r>
    <x v="0"/>
    <x v="30"/>
    <x v="30"/>
    <x v="45"/>
    <x v="45"/>
    <x v="45"/>
    <x v="19"/>
    <x v="200"/>
    <x v="356"/>
    <x v="36"/>
    <x v="368"/>
    <x v="125"/>
    <x v="321"/>
    <x v="3"/>
  </r>
  <r>
    <x v="0"/>
    <x v="30"/>
    <x v="30"/>
    <x v="23"/>
    <x v="23"/>
    <x v="23"/>
    <x v="19"/>
    <x v="200"/>
    <x v="356"/>
    <x v="36"/>
    <x v="368"/>
    <x v="125"/>
    <x v="321"/>
    <x v="3"/>
  </r>
  <r>
    <x v="0"/>
    <x v="30"/>
    <x v="30"/>
    <x v="18"/>
    <x v="18"/>
    <x v="18"/>
    <x v="19"/>
    <x v="200"/>
    <x v="356"/>
    <x v="36"/>
    <x v="368"/>
    <x v="125"/>
    <x v="321"/>
    <x v="3"/>
  </r>
  <r>
    <x v="0"/>
    <x v="31"/>
    <x v="31"/>
    <x v="0"/>
    <x v="0"/>
    <x v="0"/>
    <x v="0"/>
    <x v="204"/>
    <x v="357"/>
    <x v="90"/>
    <x v="369"/>
    <x v="120"/>
    <x v="324"/>
    <x v="3"/>
  </r>
  <r>
    <x v="0"/>
    <x v="31"/>
    <x v="31"/>
    <x v="1"/>
    <x v="1"/>
    <x v="1"/>
    <x v="1"/>
    <x v="120"/>
    <x v="358"/>
    <x v="144"/>
    <x v="370"/>
    <x v="120"/>
    <x v="324"/>
    <x v="3"/>
  </r>
  <r>
    <x v="0"/>
    <x v="31"/>
    <x v="31"/>
    <x v="3"/>
    <x v="3"/>
    <x v="3"/>
    <x v="2"/>
    <x v="85"/>
    <x v="189"/>
    <x v="35"/>
    <x v="371"/>
    <x v="88"/>
    <x v="325"/>
    <x v="3"/>
  </r>
  <r>
    <x v="0"/>
    <x v="31"/>
    <x v="31"/>
    <x v="6"/>
    <x v="6"/>
    <x v="6"/>
    <x v="3"/>
    <x v="86"/>
    <x v="359"/>
    <x v="79"/>
    <x v="372"/>
    <x v="120"/>
    <x v="324"/>
    <x v="3"/>
  </r>
  <r>
    <x v="0"/>
    <x v="31"/>
    <x v="31"/>
    <x v="2"/>
    <x v="2"/>
    <x v="2"/>
    <x v="3"/>
    <x v="86"/>
    <x v="359"/>
    <x v="108"/>
    <x v="373"/>
    <x v="103"/>
    <x v="326"/>
    <x v="3"/>
  </r>
  <r>
    <x v="0"/>
    <x v="31"/>
    <x v="31"/>
    <x v="4"/>
    <x v="4"/>
    <x v="4"/>
    <x v="5"/>
    <x v="137"/>
    <x v="150"/>
    <x v="76"/>
    <x v="374"/>
    <x v="93"/>
    <x v="327"/>
    <x v="3"/>
  </r>
  <r>
    <x v="0"/>
    <x v="31"/>
    <x v="31"/>
    <x v="19"/>
    <x v="19"/>
    <x v="19"/>
    <x v="6"/>
    <x v="162"/>
    <x v="360"/>
    <x v="15"/>
    <x v="375"/>
    <x v="121"/>
    <x v="328"/>
    <x v="3"/>
  </r>
  <r>
    <x v="0"/>
    <x v="31"/>
    <x v="31"/>
    <x v="5"/>
    <x v="5"/>
    <x v="5"/>
    <x v="7"/>
    <x v="127"/>
    <x v="361"/>
    <x v="35"/>
    <x v="371"/>
    <x v="120"/>
    <x v="324"/>
    <x v="3"/>
  </r>
  <r>
    <x v="0"/>
    <x v="31"/>
    <x v="31"/>
    <x v="8"/>
    <x v="8"/>
    <x v="8"/>
    <x v="7"/>
    <x v="127"/>
    <x v="361"/>
    <x v="35"/>
    <x v="371"/>
    <x v="110"/>
    <x v="329"/>
    <x v="3"/>
  </r>
  <r>
    <x v="0"/>
    <x v="31"/>
    <x v="31"/>
    <x v="11"/>
    <x v="11"/>
    <x v="11"/>
    <x v="9"/>
    <x v="129"/>
    <x v="311"/>
    <x v="15"/>
    <x v="375"/>
    <x v="86"/>
    <x v="330"/>
    <x v="3"/>
  </r>
  <r>
    <x v="0"/>
    <x v="31"/>
    <x v="31"/>
    <x v="9"/>
    <x v="9"/>
    <x v="9"/>
    <x v="10"/>
    <x v="140"/>
    <x v="181"/>
    <x v="50"/>
    <x v="376"/>
    <x v="120"/>
    <x v="324"/>
    <x v="3"/>
  </r>
  <r>
    <x v="0"/>
    <x v="31"/>
    <x v="31"/>
    <x v="16"/>
    <x v="16"/>
    <x v="16"/>
    <x v="10"/>
    <x v="140"/>
    <x v="181"/>
    <x v="81"/>
    <x v="377"/>
    <x v="112"/>
    <x v="331"/>
    <x v="3"/>
  </r>
  <r>
    <x v="0"/>
    <x v="31"/>
    <x v="31"/>
    <x v="12"/>
    <x v="12"/>
    <x v="12"/>
    <x v="12"/>
    <x v="141"/>
    <x v="96"/>
    <x v="116"/>
    <x v="172"/>
    <x v="127"/>
    <x v="332"/>
    <x v="3"/>
  </r>
  <r>
    <x v="0"/>
    <x v="31"/>
    <x v="31"/>
    <x v="51"/>
    <x v="51"/>
    <x v="51"/>
    <x v="13"/>
    <x v="155"/>
    <x v="312"/>
    <x v="70"/>
    <x v="335"/>
    <x v="110"/>
    <x v="329"/>
    <x v="3"/>
  </r>
  <r>
    <x v="0"/>
    <x v="31"/>
    <x v="31"/>
    <x v="14"/>
    <x v="14"/>
    <x v="14"/>
    <x v="13"/>
    <x v="155"/>
    <x v="312"/>
    <x v="80"/>
    <x v="378"/>
    <x v="111"/>
    <x v="333"/>
    <x v="3"/>
  </r>
  <r>
    <x v="0"/>
    <x v="31"/>
    <x v="31"/>
    <x v="10"/>
    <x v="10"/>
    <x v="10"/>
    <x v="13"/>
    <x v="155"/>
    <x v="312"/>
    <x v="35"/>
    <x v="371"/>
    <x v="125"/>
    <x v="334"/>
    <x v="3"/>
  </r>
  <r>
    <x v="0"/>
    <x v="31"/>
    <x v="31"/>
    <x v="7"/>
    <x v="7"/>
    <x v="7"/>
    <x v="16"/>
    <x v="156"/>
    <x v="266"/>
    <x v="110"/>
    <x v="379"/>
    <x v="111"/>
    <x v="333"/>
    <x v="3"/>
  </r>
  <r>
    <x v="0"/>
    <x v="31"/>
    <x v="31"/>
    <x v="13"/>
    <x v="13"/>
    <x v="13"/>
    <x v="17"/>
    <x v="165"/>
    <x v="313"/>
    <x v="81"/>
    <x v="377"/>
    <x v="109"/>
    <x v="335"/>
    <x v="3"/>
  </r>
  <r>
    <x v="0"/>
    <x v="31"/>
    <x v="31"/>
    <x v="17"/>
    <x v="17"/>
    <x v="17"/>
    <x v="18"/>
    <x v="168"/>
    <x v="129"/>
    <x v="97"/>
    <x v="380"/>
    <x v="110"/>
    <x v="329"/>
    <x v="3"/>
  </r>
  <r>
    <x v="0"/>
    <x v="31"/>
    <x v="31"/>
    <x v="25"/>
    <x v="25"/>
    <x v="25"/>
    <x v="19"/>
    <x v="202"/>
    <x v="323"/>
    <x v="51"/>
    <x v="381"/>
    <x v="111"/>
    <x v="333"/>
    <x v="3"/>
  </r>
  <r>
    <x v="0"/>
    <x v="31"/>
    <x v="31"/>
    <x v="57"/>
    <x v="57"/>
    <x v="57"/>
    <x v="19"/>
    <x v="202"/>
    <x v="323"/>
    <x v="51"/>
    <x v="381"/>
    <x v="111"/>
    <x v="333"/>
    <x v="3"/>
  </r>
  <r>
    <x v="0"/>
    <x v="31"/>
    <x v="31"/>
    <x v="23"/>
    <x v="23"/>
    <x v="23"/>
    <x v="19"/>
    <x v="202"/>
    <x v="323"/>
    <x v="97"/>
    <x v="380"/>
    <x v="108"/>
    <x v="53"/>
    <x v="3"/>
  </r>
  <r>
    <x v="0"/>
    <x v="31"/>
    <x v="31"/>
    <x v="18"/>
    <x v="18"/>
    <x v="18"/>
    <x v="19"/>
    <x v="202"/>
    <x v="323"/>
    <x v="50"/>
    <x v="376"/>
    <x v="125"/>
    <x v="334"/>
    <x v="3"/>
  </r>
  <r>
    <x v="0"/>
    <x v="31"/>
    <x v="31"/>
    <x v="22"/>
    <x v="22"/>
    <x v="22"/>
    <x v="19"/>
    <x v="202"/>
    <x v="323"/>
    <x v="36"/>
    <x v="37"/>
    <x v="108"/>
    <x v="53"/>
    <x v="3"/>
  </r>
  <r>
    <x v="0"/>
    <x v="32"/>
    <x v="32"/>
    <x v="3"/>
    <x v="3"/>
    <x v="3"/>
    <x v="0"/>
    <x v="106"/>
    <x v="362"/>
    <x v="55"/>
    <x v="382"/>
    <x v="65"/>
    <x v="336"/>
    <x v="3"/>
  </r>
  <r>
    <x v="0"/>
    <x v="32"/>
    <x v="32"/>
    <x v="0"/>
    <x v="0"/>
    <x v="0"/>
    <x v="1"/>
    <x v="85"/>
    <x v="363"/>
    <x v="91"/>
    <x v="202"/>
    <x v="110"/>
    <x v="337"/>
    <x v="3"/>
  </r>
  <r>
    <x v="0"/>
    <x v="32"/>
    <x v="32"/>
    <x v="7"/>
    <x v="7"/>
    <x v="7"/>
    <x v="2"/>
    <x v="125"/>
    <x v="364"/>
    <x v="47"/>
    <x v="383"/>
    <x v="109"/>
    <x v="54"/>
    <x v="3"/>
  </r>
  <r>
    <x v="0"/>
    <x v="32"/>
    <x v="32"/>
    <x v="1"/>
    <x v="1"/>
    <x v="1"/>
    <x v="3"/>
    <x v="152"/>
    <x v="365"/>
    <x v="53"/>
    <x v="384"/>
    <x v="111"/>
    <x v="338"/>
    <x v="3"/>
  </r>
  <r>
    <x v="0"/>
    <x v="32"/>
    <x v="32"/>
    <x v="6"/>
    <x v="6"/>
    <x v="6"/>
    <x v="4"/>
    <x v="139"/>
    <x v="366"/>
    <x v="50"/>
    <x v="60"/>
    <x v="63"/>
    <x v="339"/>
    <x v="3"/>
  </r>
  <r>
    <x v="0"/>
    <x v="32"/>
    <x v="32"/>
    <x v="4"/>
    <x v="4"/>
    <x v="4"/>
    <x v="4"/>
    <x v="139"/>
    <x v="366"/>
    <x v="50"/>
    <x v="60"/>
    <x v="63"/>
    <x v="339"/>
    <x v="3"/>
  </r>
  <r>
    <x v="0"/>
    <x v="32"/>
    <x v="32"/>
    <x v="5"/>
    <x v="5"/>
    <x v="5"/>
    <x v="6"/>
    <x v="129"/>
    <x v="105"/>
    <x v="55"/>
    <x v="382"/>
    <x v="93"/>
    <x v="340"/>
    <x v="3"/>
  </r>
  <r>
    <x v="0"/>
    <x v="32"/>
    <x v="32"/>
    <x v="8"/>
    <x v="8"/>
    <x v="8"/>
    <x v="7"/>
    <x v="153"/>
    <x v="367"/>
    <x v="50"/>
    <x v="60"/>
    <x v="109"/>
    <x v="54"/>
    <x v="3"/>
  </r>
  <r>
    <x v="0"/>
    <x v="32"/>
    <x v="32"/>
    <x v="10"/>
    <x v="10"/>
    <x v="10"/>
    <x v="8"/>
    <x v="156"/>
    <x v="64"/>
    <x v="35"/>
    <x v="385"/>
    <x v="128"/>
    <x v="207"/>
    <x v="3"/>
  </r>
  <r>
    <x v="0"/>
    <x v="32"/>
    <x v="32"/>
    <x v="9"/>
    <x v="9"/>
    <x v="9"/>
    <x v="9"/>
    <x v="199"/>
    <x v="332"/>
    <x v="51"/>
    <x v="386"/>
    <x v="108"/>
    <x v="341"/>
    <x v="3"/>
  </r>
  <r>
    <x v="0"/>
    <x v="32"/>
    <x v="32"/>
    <x v="14"/>
    <x v="14"/>
    <x v="14"/>
    <x v="9"/>
    <x v="199"/>
    <x v="332"/>
    <x v="36"/>
    <x v="387"/>
    <x v="109"/>
    <x v="54"/>
    <x v="3"/>
  </r>
  <r>
    <x v="0"/>
    <x v="32"/>
    <x v="32"/>
    <x v="19"/>
    <x v="19"/>
    <x v="19"/>
    <x v="11"/>
    <x v="202"/>
    <x v="126"/>
    <x v="97"/>
    <x v="388"/>
    <x v="108"/>
    <x v="341"/>
    <x v="3"/>
  </r>
  <r>
    <x v="0"/>
    <x v="32"/>
    <x v="32"/>
    <x v="13"/>
    <x v="13"/>
    <x v="13"/>
    <x v="11"/>
    <x v="202"/>
    <x v="126"/>
    <x v="81"/>
    <x v="49"/>
    <x v="83"/>
    <x v="240"/>
    <x v="3"/>
  </r>
  <r>
    <x v="0"/>
    <x v="32"/>
    <x v="32"/>
    <x v="11"/>
    <x v="11"/>
    <x v="11"/>
    <x v="11"/>
    <x v="202"/>
    <x v="126"/>
    <x v="70"/>
    <x v="389"/>
    <x v="127"/>
    <x v="342"/>
    <x v="3"/>
  </r>
  <r>
    <x v="0"/>
    <x v="32"/>
    <x v="32"/>
    <x v="12"/>
    <x v="12"/>
    <x v="12"/>
    <x v="11"/>
    <x v="202"/>
    <x v="126"/>
    <x v="81"/>
    <x v="49"/>
    <x v="83"/>
    <x v="240"/>
    <x v="3"/>
  </r>
  <r>
    <x v="0"/>
    <x v="32"/>
    <x v="32"/>
    <x v="28"/>
    <x v="28"/>
    <x v="28"/>
    <x v="11"/>
    <x v="202"/>
    <x v="126"/>
    <x v="82"/>
    <x v="86"/>
    <x v="110"/>
    <x v="337"/>
    <x v="3"/>
  </r>
  <r>
    <x v="0"/>
    <x v="32"/>
    <x v="32"/>
    <x v="18"/>
    <x v="18"/>
    <x v="18"/>
    <x v="11"/>
    <x v="202"/>
    <x v="126"/>
    <x v="51"/>
    <x v="386"/>
    <x v="111"/>
    <x v="338"/>
    <x v="3"/>
  </r>
  <r>
    <x v="0"/>
    <x v="32"/>
    <x v="32"/>
    <x v="43"/>
    <x v="43"/>
    <x v="43"/>
    <x v="17"/>
    <x v="195"/>
    <x v="210"/>
    <x v="82"/>
    <x v="86"/>
    <x v="109"/>
    <x v="54"/>
    <x v="3"/>
  </r>
  <r>
    <x v="0"/>
    <x v="32"/>
    <x v="32"/>
    <x v="16"/>
    <x v="16"/>
    <x v="16"/>
    <x v="17"/>
    <x v="195"/>
    <x v="210"/>
    <x v="36"/>
    <x v="387"/>
    <x v="108"/>
    <x v="341"/>
    <x v="3"/>
  </r>
  <r>
    <x v="0"/>
    <x v="32"/>
    <x v="32"/>
    <x v="51"/>
    <x v="51"/>
    <x v="51"/>
    <x v="17"/>
    <x v="195"/>
    <x v="210"/>
    <x v="97"/>
    <x v="388"/>
    <x v="111"/>
    <x v="338"/>
    <x v="3"/>
  </r>
  <r>
    <x v="0"/>
    <x v="32"/>
    <x v="32"/>
    <x v="58"/>
    <x v="58"/>
    <x v="58"/>
    <x v="17"/>
    <x v="195"/>
    <x v="210"/>
    <x v="36"/>
    <x v="387"/>
    <x v="108"/>
    <x v="341"/>
    <x v="3"/>
  </r>
  <r>
    <x v="0"/>
    <x v="32"/>
    <x v="32"/>
    <x v="23"/>
    <x v="23"/>
    <x v="23"/>
    <x v="17"/>
    <x v="195"/>
    <x v="210"/>
    <x v="82"/>
    <x v="86"/>
    <x v="109"/>
    <x v="54"/>
    <x v="3"/>
  </r>
  <r>
    <x v="0"/>
    <x v="32"/>
    <x v="32"/>
    <x v="17"/>
    <x v="17"/>
    <x v="17"/>
    <x v="17"/>
    <x v="195"/>
    <x v="210"/>
    <x v="82"/>
    <x v="86"/>
    <x v="109"/>
    <x v="54"/>
    <x v="3"/>
  </r>
  <r>
    <x v="0"/>
    <x v="33"/>
    <x v="33"/>
    <x v="7"/>
    <x v="7"/>
    <x v="7"/>
    <x v="0"/>
    <x v="74"/>
    <x v="368"/>
    <x v="146"/>
    <x v="390"/>
    <x v="93"/>
    <x v="343"/>
    <x v="3"/>
  </r>
  <r>
    <x v="0"/>
    <x v="33"/>
    <x v="33"/>
    <x v="3"/>
    <x v="3"/>
    <x v="3"/>
    <x v="1"/>
    <x v="88"/>
    <x v="369"/>
    <x v="78"/>
    <x v="391"/>
    <x v="74"/>
    <x v="344"/>
    <x v="3"/>
  </r>
  <r>
    <x v="0"/>
    <x v="33"/>
    <x v="33"/>
    <x v="0"/>
    <x v="0"/>
    <x v="0"/>
    <x v="2"/>
    <x v="128"/>
    <x v="328"/>
    <x v="47"/>
    <x v="392"/>
    <x v="128"/>
    <x v="207"/>
    <x v="3"/>
  </r>
  <r>
    <x v="0"/>
    <x v="33"/>
    <x v="33"/>
    <x v="5"/>
    <x v="5"/>
    <x v="5"/>
    <x v="3"/>
    <x v="130"/>
    <x v="370"/>
    <x v="35"/>
    <x v="204"/>
    <x v="109"/>
    <x v="162"/>
    <x v="3"/>
  </r>
  <r>
    <x v="0"/>
    <x v="33"/>
    <x v="33"/>
    <x v="9"/>
    <x v="9"/>
    <x v="9"/>
    <x v="4"/>
    <x v="153"/>
    <x v="371"/>
    <x v="15"/>
    <x v="156"/>
    <x v="108"/>
    <x v="345"/>
    <x v="3"/>
  </r>
  <r>
    <x v="0"/>
    <x v="33"/>
    <x v="33"/>
    <x v="1"/>
    <x v="1"/>
    <x v="1"/>
    <x v="5"/>
    <x v="154"/>
    <x v="372"/>
    <x v="35"/>
    <x v="204"/>
    <x v="127"/>
    <x v="48"/>
    <x v="3"/>
  </r>
  <r>
    <x v="0"/>
    <x v="33"/>
    <x v="33"/>
    <x v="4"/>
    <x v="4"/>
    <x v="4"/>
    <x v="6"/>
    <x v="165"/>
    <x v="373"/>
    <x v="70"/>
    <x v="225"/>
    <x v="108"/>
    <x v="345"/>
    <x v="3"/>
  </r>
  <r>
    <x v="0"/>
    <x v="33"/>
    <x v="33"/>
    <x v="12"/>
    <x v="12"/>
    <x v="12"/>
    <x v="7"/>
    <x v="168"/>
    <x v="124"/>
    <x v="50"/>
    <x v="154"/>
    <x v="83"/>
    <x v="173"/>
    <x v="3"/>
  </r>
  <r>
    <x v="0"/>
    <x v="33"/>
    <x v="33"/>
    <x v="14"/>
    <x v="14"/>
    <x v="14"/>
    <x v="7"/>
    <x v="168"/>
    <x v="124"/>
    <x v="81"/>
    <x v="393"/>
    <x v="108"/>
    <x v="345"/>
    <x v="3"/>
  </r>
  <r>
    <x v="0"/>
    <x v="33"/>
    <x v="33"/>
    <x v="6"/>
    <x v="6"/>
    <x v="6"/>
    <x v="9"/>
    <x v="199"/>
    <x v="139"/>
    <x v="50"/>
    <x v="154"/>
    <x v="127"/>
    <x v="48"/>
    <x v="3"/>
  </r>
  <r>
    <x v="0"/>
    <x v="33"/>
    <x v="33"/>
    <x v="8"/>
    <x v="8"/>
    <x v="8"/>
    <x v="9"/>
    <x v="199"/>
    <x v="139"/>
    <x v="110"/>
    <x v="394"/>
    <x v="125"/>
    <x v="271"/>
    <x v="3"/>
  </r>
  <r>
    <x v="0"/>
    <x v="33"/>
    <x v="33"/>
    <x v="16"/>
    <x v="16"/>
    <x v="16"/>
    <x v="11"/>
    <x v="202"/>
    <x v="374"/>
    <x v="70"/>
    <x v="225"/>
    <x v="127"/>
    <x v="48"/>
    <x v="3"/>
  </r>
  <r>
    <x v="0"/>
    <x v="33"/>
    <x v="33"/>
    <x v="11"/>
    <x v="11"/>
    <x v="11"/>
    <x v="11"/>
    <x v="202"/>
    <x v="374"/>
    <x v="50"/>
    <x v="154"/>
    <x v="125"/>
    <x v="271"/>
    <x v="3"/>
  </r>
  <r>
    <x v="0"/>
    <x v="33"/>
    <x v="33"/>
    <x v="26"/>
    <x v="26"/>
    <x v="26"/>
    <x v="13"/>
    <x v="195"/>
    <x v="53"/>
    <x v="70"/>
    <x v="225"/>
    <x v="125"/>
    <x v="271"/>
    <x v="3"/>
  </r>
  <r>
    <x v="0"/>
    <x v="33"/>
    <x v="33"/>
    <x v="29"/>
    <x v="29"/>
    <x v="29"/>
    <x v="14"/>
    <x v="196"/>
    <x v="97"/>
    <x v="70"/>
    <x v="225"/>
    <x v="128"/>
    <x v="207"/>
    <x v="3"/>
  </r>
  <r>
    <x v="0"/>
    <x v="33"/>
    <x v="33"/>
    <x v="25"/>
    <x v="25"/>
    <x v="25"/>
    <x v="14"/>
    <x v="196"/>
    <x v="97"/>
    <x v="51"/>
    <x v="303"/>
    <x v="127"/>
    <x v="48"/>
    <x v="3"/>
  </r>
  <r>
    <x v="0"/>
    <x v="33"/>
    <x v="33"/>
    <x v="34"/>
    <x v="34"/>
    <x v="34"/>
    <x v="14"/>
    <x v="196"/>
    <x v="97"/>
    <x v="51"/>
    <x v="303"/>
    <x v="127"/>
    <x v="48"/>
    <x v="3"/>
  </r>
  <r>
    <x v="0"/>
    <x v="33"/>
    <x v="33"/>
    <x v="33"/>
    <x v="33"/>
    <x v="33"/>
    <x v="14"/>
    <x v="196"/>
    <x v="97"/>
    <x v="36"/>
    <x v="294"/>
    <x v="111"/>
    <x v="216"/>
    <x v="3"/>
  </r>
  <r>
    <x v="0"/>
    <x v="33"/>
    <x v="33"/>
    <x v="2"/>
    <x v="2"/>
    <x v="2"/>
    <x v="14"/>
    <x v="196"/>
    <x v="97"/>
    <x v="36"/>
    <x v="294"/>
    <x v="111"/>
    <x v="216"/>
    <x v="3"/>
  </r>
  <r>
    <x v="0"/>
    <x v="33"/>
    <x v="33"/>
    <x v="10"/>
    <x v="10"/>
    <x v="10"/>
    <x v="19"/>
    <x v="197"/>
    <x v="17"/>
    <x v="81"/>
    <x v="393"/>
    <x v="128"/>
    <x v="207"/>
    <x v="3"/>
  </r>
  <r>
    <x v="0"/>
    <x v="33"/>
    <x v="33"/>
    <x v="18"/>
    <x v="18"/>
    <x v="18"/>
    <x v="19"/>
    <x v="197"/>
    <x v="17"/>
    <x v="81"/>
    <x v="393"/>
    <x v="128"/>
    <x v="207"/>
    <x v="3"/>
  </r>
  <r>
    <x v="0"/>
    <x v="34"/>
    <x v="34"/>
    <x v="0"/>
    <x v="0"/>
    <x v="0"/>
    <x v="0"/>
    <x v="83"/>
    <x v="375"/>
    <x v="146"/>
    <x v="395"/>
    <x v="83"/>
    <x v="346"/>
    <x v="3"/>
  </r>
  <r>
    <x v="0"/>
    <x v="34"/>
    <x v="34"/>
    <x v="1"/>
    <x v="1"/>
    <x v="1"/>
    <x v="0"/>
    <x v="83"/>
    <x v="375"/>
    <x v="68"/>
    <x v="396"/>
    <x v="110"/>
    <x v="50"/>
    <x v="3"/>
  </r>
  <r>
    <x v="0"/>
    <x v="34"/>
    <x v="34"/>
    <x v="4"/>
    <x v="4"/>
    <x v="4"/>
    <x v="2"/>
    <x v="113"/>
    <x v="376"/>
    <x v="79"/>
    <x v="397"/>
    <x v="84"/>
    <x v="347"/>
    <x v="3"/>
  </r>
  <r>
    <x v="0"/>
    <x v="34"/>
    <x v="34"/>
    <x v="3"/>
    <x v="3"/>
    <x v="3"/>
    <x v="3"/>
    <x v="123"/>
    <x v="377"/>
    <x v="116"/>
    <x v="398"/>
    <x v="87"/>
    <x v="348"/>
    <x v="3"/>
  </r>
  <r>
    <x v="0"/>
    <x v="34"/>
    <x v="34"/>
    <x v="6"/>
    <x v="6"/>
    <x v="6"/>
    <x v="4"/>
    <x v="91"/>
    <x v="137"/>
    <x v="109"/>
    <x v="272"/>
    <x v="82"/>
    <x v="349"/>
    <x v="3"/>
  </r>
  <r>
    <x v="0"/>
    <x v="34"/>
    <x v="34"/>
    <x v="2"/>
    <x v="2"/>
    <x v="2"/>
    <x v="4"/>
    <x v="91"/>
    <x v="137"/>
    <x v="126"/>
    <x v="41"/>
    <x v="93"/>
    <x v="350"/>
    <x v="3"/>
  </r>
  <r>
    <x v="0"/>
    <x v="34"/>
    <x v="34"/>
    <x v="5"/>
    <x v="5"/>
    <x v="5"/>
    <x v="6"/>
    <x v="126"/>
    <x v="378"/>
    <x v="54"/>
    <x v="399"/>
    <x v="110"/>
    <x v="50"/>
    <x v="3"/>
  </r>
  <r>
    <x v="0"/>
    <x v="34"/>
    <x v="34"/>
    <x v="9"/>
    <x v="9"/>
    <x v="9"/>
    <x v="7"/>
    <x v="162"/>
    <x v="379"/>
    <x v="116"/>
    <x v="398"/>
    <x v="120"/>
    <x v="267"/>
    <x v="3"/>
  </r>
  <r>
    <x v="0"/>
    <x v="34"/>
    <x v="34"/>
    <x v="16"/>
    <x v="16"/>
    <x v="16"/>
    <x v="8"/>
    <x v="152"/>
    <x v="208"/>
    <x v="80"/>
    <x v="79"/>
    <x v="121"/>
    <x v="351"/>
    <x v="3"/>
  </r>
  <r>
    <x v="0"/>
    <x v="34"/>
    <x v="34"/>
    <x v="8"/>
    <x v="8"/>
    <x v="8"/>
    <x v="9"/>
    <x v="128"/>
    <x v="292"/>
    <x v="78"/>
    <x v="400"/>
    <x v="83"/>
    <x v="346"/>
    <x v="3"/>
  </r>
  <r>
    <x v="0"/>
    <x v="34"/>
    <x v="34"/>
    <x v="10"/>
    <x v="10"/>
    <x v="10"/>
    <x v="10"/>
    <x v="129"/>
    <x v="62"/>
    <x v="53"/>
    <x v="401"/>
    <x v="128"/>
    <x v="207"/>
    <x v="3"/>
  </r>
  <r>
    <x v="0"/>
    <x v="34"/>
    <x v="34"/>
    <x v="51"/>
    <x v="51"/>
    <x v="51"/>
    <x v="11"/>
    <x v="140"/>
    <x v="380"/>
    <x v="110"/>
    <x v="402"/>
    <x v="86"/>
    <x v="352"/>
    <x v="3"/>
  </r>
  <r>
    <x v="0"/>
    <x v="34"/>
    <x v="34"/>
    <x v="14"/>
    <x v="14"/>
    <x v="14"/>
    <x v="12"/>
    <x v="153"/>
    <x v="79"/>
    <x v="81"/>
    <x v="238"/>
    <x v="120"/>
    <x v="267"/>
    <x v="3"/>
  </r>
  <r>
    <x v="0"/>
    <x v="34"/>
    <x v="34"/>
    <x v="13"/>
    <x v="13"/>
    <x v="13"/>
    <x v="13"/>
    <x v="154"/>
    <x v="265"/>
    <x v="50"/>
    <x v="253"/>
    <x v="110"/>
    <x v="50"/>
    <x v="3"/>
  </r>
  <r>
    <x v="0"/>
    <x v="34"/>
    <x v="34"/>
    <x v="12"/>
    <x v="12"/>
    <x v="12"/>
    <x v="14"/>
    <x v="155"/>
    <x v="381"/>
    <x v="80"/>
    <x v="79"/>
    <x v="111"/>
    <x v="353"/>
    <x v="3"/>
  </r>
  <r>
    <x v="0"/>
    <x v="34"/>
    <x v="34"/>
    <x v="19"/>
    <x v="19"/>
    <x v="19"/>
    <x v="15"/>
    <x v="156"/>
    <x v="312"/>
    <x v="70"/>
    <x v="99"/>
    <x v="109"/>
    <x v="59"/>
    <x v="3"/>
  </r>
  <r>
    <x v="0"/>
    <x v="34"/>
    <x v="34"/>
    <x v="11"/>
    <x v="11"/>
    <x v="11"/>
    <x v="16"/>
    <x v="165"/>
    <x v="382"/>
    <x v="81"/>
    <x v="238"/>
    <x v="109"/>
    <x v="59"/>
    <x v="3"/>
  </r>
  <r>
    <x v="0"/>
    <x v="34"/>
    <x v="34"/>
    <x v="59"/>
    <x v="59"/>
    <x v="59"/>
    <x v="17"/>
    <x v="168"/>
    <x v="35"/>
    <x v="51"/>
    <x v="255"/>
    <x v="109"/>
    <x v="59"/>
    <x v="3"/>
  </r>
  <r>
    <x v="0"/>
    <x v="34"/>
    <x v="34"/>
    <x v="35"/>
    <x v="35"/>
    <x v="35"/>
    <x v="17"/>
    <x v="168"/>
    <x v="35"/>
    <x v="70"/>
    <x v="99"/>
    <x v="111"/>
    <x v="353"/>
    <x v="3"/>
  </r>
  <r>
    <x v="0"/>
    <x v="34"/>
    <x v="34"/>
    <x v="20"/>
    <x v="20"/>
    <x v="20"/>
    <x v="19"/>
    <x v="199"/>
    <x v="55"/>
    <x v="36"/>
    <x v="164"/>
    <x v="110"/>
    <x v="50"/>
    <x v="3"/>
  </r>
  <r>
    <x v="0"/>
    <x v="35"/>
    <x v="35"/>
    <x v="0"/>
    <x v="0"/>
    <x v="0"/>
    <x v="0"/>
    <x v="83"/>
    <x v="383"/>
    <x v="52"/>
    <x v="403"/>
    <x v="104"/>
    <x v="354"/>
    <x v="3"/>
  </r>
  <r>
    <x v="0"/>
    <x v="35"/>
    <x v="35"/>
    <x v="1"/>
    <x v="1"/>
    <x v="1"/>
    <x v="1"/>
    <x v="164"/>
    <x v="384"/>
    <x v="77"/>
    <x v="404"/>
    <x v="86"/>
    <x v="355"/>
    <x v="3"/>
  </r>
  <r>
    <x v="0"/>
    <x v="35"/>
    <x v="35"/>
    <x v="3"/>
    <x v="3"/>
    <x v="3"/>
    <x v="2"/>
    <x v="114"/>
    <x v="385"/>
    <x v="35"/>
    <x v="172"/>
    <x v="81"/>
    <x v="356"/>
    <x v="3"/>
  </r>
  <r>
    <x v="0"/>
    <x v="35"/>
    <x v="35"/>
    <x v="16"/>
    <x v="16"/>
    <x v="16"/>
    <x v="3"/>
    <x v="86"/>
    <x v="207"/>
    <x v="108"/>
    <x v="169"/>
    <x v="103"/>
    <x v="357"/>
    <x v="3"/>
  </r>
  <r>
    <x v="0"/>
    <x v="35"/>
    <x v="35"/>
    <x v="4"/>
    <x v="4"/>
    <x v="4"/>
    <x v="4"/>
    <x v="107"/>
    <x v="386"/>
    <x v="54"/>
    <x v="405"/>
    <x v="74"/>
    <x v="358"/>
    <x v="3"/>
  </r>
  <r>
    <x v="0"/>
    <x v="35"/>
    <x v="35"/>
    <x v="5"/>
    <x v="5"/>
    <x v="5"/>
    <x v="5"/>
    <x v="167"/>
    <x v="387"/>
    <x v="126"/>
    <x v="406"/>
    <x v="120"/>
    <x v="266"/>
    <x v="3"/>
  </r>
  <r>
    <x v="0"/>
    <x v="35"/>
    <x v="35"/>
    <x v="6"/>
    <x v="6"/>
    <x v="6"/>
    <x v="6"/>
    <x v="125"/>
    <x v="388"/>
    <x v="116"/>
    <x v="361"/>
    <x v="63"/>
    <x v="359"/>
    <x v="3"/>
  </r>
  <r>
    <x v="0"/>
    <x v="35"/>
    <x v="35"/>
    <x v="11"/>
    <x v="11"/>
    <x v="11"/>
    <x v="6"/>
    <x v="125"/>
    <x v="388"/>
    <x v="35"/>
    <x v="172"/>
    <x v="82"/>
    <x v="360"/>
    <x v="3"/>
  </r>
  <r>
    <x v="0"/>
    <x v="35"/>
    <x v="35"/>
    <x v="2"/>
    <x v="2"/>
    <x v="2"/>
    <x v="8"/>
    <x v="128"/>
    <x v="389"/>
    <x v="35"/>
    <x v="172"/>
    <x v="86"/>
    <x v="355"/>
    <x v="3"/>
  </r>
  <r>
    <x v="0"/>
    <x v="35"/>
    <x v="35"/>
    <x v="19"/>
    <x v="19"/>
    <x v="19"/>
    <x v="9"/>
    <x v="139"/>
    <x v="29"/>
    <x v="50"/>
    <x v="173"/>
    <x v="63"/>
    <x v="359"/>
    <x v="3"/>
  </r>
  <r>
    <x v="0"/>
    <x v="35"/>
    <x v="35"/>
    <x v="8"/>
    <x v="8"/>
    <x v="8"/>
    <x v="9"/>
    <x v="139"/>
    <x v="29"/>
    <x v="116"/>
    <x v="361"/>
    <x v="108"/>
    <x v="361"/>
    <x v="3"/>
  </r>
  <r>
    <x v="0"/>
    <x v="35"/>
    <x v="35"/>
    <x v="9"/>
    <x v="9"/>
    <x v="9"/>
    <x v="11"/>
    <x v="153"/>
    <x v="390"/>
    <x v="81"/>
    <x v="176"/>
    <x v="120"/>
    <x v="266"/>
    <x v="3"/>
  </r>
  <r>
    <x v="0"/>
    <x v="35"/>
    <x v="35"/>
    <x v="51"/>
    <x v="51"/>
    <x v="51"/>
    <x v="11"/>
    <x v="153"/>
    <x v="390"/>
    <x v="50"/>
    <x v="173"/>
    <x v="93"/>
    <x v="292"/>
    <x v="3"/>
  </r>
  <r>
    <x v="0"/>
    <x v="35"/>
    <x v="35"/>
    <x v="57"/>
    <x v="57"/>
    <x v="57"/>
    <x v="13"/>
    <x v="154"/>
    <x v="391"/>
    <x v="81"/>
    <x v="176"/>
    <x v="86"/>
    <x v="355"/>
    <x v="3"/>
  </r>
  <r>
    <x v="0"/>
    <x v="35"/>
    <x v="35"/>
    <x v="10"/>
    <x v="10"/>
    <x v="10"/>
    <x v="13"/>
    <x v="154"/>
    <x v="391"/>
    <x v="116"/>
    <x v="361"/>
    <x v="128"/>
    <x v="207"/>
    <x v="3"/>
  </r>
  <r>
    <x v="0"/>
    <x v="35"/>
    <x v="35"/>
    <x v="25"/>
    <x v="25"/>
    <x v="25"/>
    <x v="15"/>
    <x v="155"/>
    <x v="321"/>
    <x v="50"/>
    <x v="173"/>
    <x v="109"/>
    <x v="105"/>
    <x v="3"/>
  </r>
  <r>
    <x v="0"/>
    <x v="35"/>
    <x v="35"/>
    <x v="13"/>
    <x v="13"/>
    <x v="13"/>
    <x v="15"/>
    <x v="155"/>
    <x v="321"/>
    <x v="81"/>
    <x v="176"/>
    <x v="93"/>
    <x v="292"/>
    <x v="3"/>
  </r>
  <r>
    <x v="0"/>
    <x v="35"/>
    <x v="35"/>
    <x v="12"/>
    <x v="12"/>
    <x v="12"/>
    <x v="17"/>
    <x v="156"/>
    <x v="392"/>
    <x v="80"/>
    <x v="407"/>
    <x v="83"/>
    <x v="362"/>
    <x v="3"/>
  </r>
  <r>
    <x v="0"/>
    <x v="35"/>
    <x v="35"/>
    <x v="54"/>
    <x v="54"/>
    <x v="54"/>
    <x v="18"/>
    <x v="165"/>
    <x v="252"/>
    <x v="51"/>
    <x v="53"/>
    <x v="110"/>
    <x v="44"/>
    <x v="3"/>
  </r>
  <r>
    <x v="0"/>
    <x v="35"/>
    <x v="35"/>
    <x v="53"/>
    <x v="53"/>
    <x v="53"/>
    <x v="18"/>
    <x v="165"/>
    <x v="252"/>
    <x v="81"/>
    <x v="176"/>
    <x v="109"/>
    <x v="105"/>
    <x v="3"/>
  </r>
  <r>
    <x v="0"/>
    <x v="36"/>
    <x v="36"/>
    <x v="0"/>
    <x v="0"/>
    <x v="0"/>
    <x v="0"/>
    <x v="107"/>
    <x v="393"/>
    <x v="104"/>
    <x v="408"/>
    <x v="108"/>
    <x v="111"/>
    <x v="3"/>
  </r>
  <r>
    <x v="0"/>
    <x v="36"/>
    <x v="36"/>
    <x v="3"/>
    <x v="3"/>
    <x v="3"/>
    <x v="1"/>
    <x v="138"/>
    <x v="268"/>
    <x v="37"/>
    <x v="409"/>
    <x v="104"/>
    <x v="344"/>
    <x v="3"/>
  </r>
  <r>
    <x v="0"/>
    <x v="36"/>
    <x v="36"/>
    <x v="1"/>
    <x v="1"/>
    <x v="1"/>
    <x v="2"/>
    <x v="125"/>
    <x v="394"/>
    <x v="120"/>
    <x v="410"/>
    <x v="125"/>
    <x v="363"/>
    <x v="3"/>
  </r>
  <r>
    <x v="0"/>
    <x v="36"/>
    <x v="36"/>
    <x v="5"/>
    <x v="5"/>
    <x v="5"/>
    <x v="3"/>
    <x v="140"/>
    <x v="395"/>
    <x v="55"/>
    <x v="41"/>
    <x v="109"/>
    <x v="235"/>
    <x v="3"/>
  </r>
  <r>
    <x v="0"/>
    <x v="36"/>
    <x v="36"/>
    <x v="6"/>
    <x v="6"/>
    <x v="6"/>
    <x v="4"/>
    <x v="141"/>
    <x v="354"/>
    <x v="80"/>
    <x v="411"/>
    <x v="110"/>
    <x v="364"/>
    <x v="3"/>
  </r>
  <r>
    <x v="0"/>
    <x v="36"/>
    <x v="36"/>
    <x v="8"/>
    <x v="8"/>
    <x v="8"/>
    <x v="5"/>
    <x v="154"/>
    <x v="396"/>
    <x v="116"/>
    <x v="412"/>
    <x v="128"/>
    <x v="207"/>
    <x v="3"/>
  </r>
  <r>
    <x v="0"/>
    <x v="36"/>
    <x v="36"/>
    <x v="10"/>
    <x v="10"/>
    <x v="10"/>
    <x v="5"/>
    <x v="154"/>
    <x v="396"/>
    <x v="116"/>
    <x v="412"/>
    <x v="128"/>
    <x v="207"/>
    <x v="3"/>
  </r>
  <r>
    <x v="0"/>
    <x v="36"/>
    <x v="36"/>
    <x v="4"/>
    <x v="4"/>
    <x v="4"/>
    <x v="7"/>
    <x v="155"/>
    <x v="397"/>
    <x v="50"/>
    <x v="413"/>
    <x v="109"/>
    <x v="235"/>
    <x v="3"/>
  </r>
  <r>
    <x v="0"/>
    <x v="36"/>
    <x v="36"/>
    <x v="12"/>
    <x v="12"/>
    <x v="12"/>
    <x v="8"/>
    <x v="168"/>
    <x v="398"/>
    <x v="15"/>
    <x v="312"/>
    <x v="128"/>
    <x v="207"/>
    <x v="3"/>
  </r>
  <r>
    <x v="0"/>
    <x v="36"/>
    <x v="36"/>
    <x v="14"/>
    <x v="14"/>
    <x v="14"/>
    <x v="8"/>
    <x v="168"/>
    <x v="398"/>
    <x v="70"/>
    <x v="414"/>
    <x v="83"/>
    <x v="133"/>
    <x v="3"/>
  </r>
  <r>
    <x v="0"/>
    <x v="36"/>
    <x v="36"/>
    <x v="9"/>
    <x v="9"/>
    <x v="9"/>
    <x v="10"/>
    <x v="202"/>
    <x v="50"/>
    <x v="81"/>
    <x v="415"/>
    <x v="83"/>
    <x v="133"/>
    <x v="3"/>
  </r>
  <r>
    <x v="0"/>
    <x v="36"/>
    <x v="36"/>
    <x v="26"/>
    <x v="26"/>
    <x v="26"/>
    <x v="11"/>
    <x v="195"/>
    <x v="399"/>
    <x v="51"/>
    <x v="141"/>
    <x v="83"/>
    <x v="133"/>
    <x v="3"/>
  </r>
  <r>
    <x v="0"/>
    <x v="36"/>
    <x v="36"/>
    <x v="16"/>
    <x v="16"/>
    <x v="16"/>
    <x v="11"/>
    <x v="195"/>
    <x v="399"/>
    <x v="97"/>
    <x v="416"/>
    <x v="111"/>
    <x v="151"/>
    <x v="3"/>
  </r>
  <r>
    <x v="0"/>
    <x v="36"/>
    <x v="36"/>
    <x v="11"/>
    <x v="11"/>
    <x v="11"/>
    <x v="11"/>
    <x v="195"/>
    <x v="399"/>
    <x v="81"/>
    <x v="415"/>
    <x v="127"/>
    <x v="365"/>
    <x v="3"/>
  </r>
  <r>
    <x v="0"/>
    <x v="36"/>
    <x v="36"/>
    <x v="29"/>
    <x v="29"/>
    <x v="29"/>
    <x v="14"/>
    <x v="196"/>
    <x v="54"/>
    <x v="81"/>
    <x v="415"/>
    <x v="125"/>
    <x v="363"/>
    <x v="3"/>
  </r>
  <r>
    <x v="0"/>
    <x v="36"/>
    <x v="36"/>
    <x v="18"/>
    <x v="18"/>
    <x v="18"/>
    <x v="14"/>
    <x v="196"/>
    <x v="54"/>
    <x v="51"/>
    <x v="141"/>
    <x v="127"/>
    <x v="365"/>
    <x v="3"/>
  </r>
  <r>
    <x v="0"/>
    <x v="36"/>
    <x v="36"/>
    <x v="43"/>
    <x v="43"/>
    <x v="43"/>
    <x v="16"/>
    <x v="197"/>
    <x v="183"/>
    <x v="82"/>
    <x v="86"/>
    <x v="111"/>
    <x v="151"/>
    <x v="3"/>
  </r>
  <r>
    <x v="0"/>
    <x v="36"/>
    <x v="36"/>
    <x v="34"/>
    <x v="34"/>
    <x v="34"/>
    <x v="16"/>
    <x v="197"/>
    <x v="183"/>
    <x v="97"/>
    <x v="416"/>
    <x v="127"/>
    <x v="365"/>
    <x v="3"/>
  </r>
  <r>
    <x v="0"/>
    <x v="36"/>
    <x v="36"/>
    <x v="13"/>
    <x v="13"/>
    <x v="13"/>
    <x v="16"/>
    <x v="197"/>
    <x v="183"/>
    <x v="36"/>
    <x v="85"/>
    <x v="83"/>
    <x v="133"/>
    <x v="3"/>
  </r>
  <r>
    <x v="0"/>
    <x v="36"/>
    <x v="36"/>
    <x v="7"/>
    <x v="7"/>
    <x v="7"/>
    <x v="16"/>
    <x v="197"/>
    <x v="183"/>
    <x v="36"/>
    <x v="85"/>
    <x v="83"/>
    <x v="133"/>
    <x v="3"/>
  </r>
  <r>
    <x v="0"/>
    <x v="37"/>
    <x v="37"/>
    <x v="1"/>
    <x v="1"/>
    <x v="1"/>
    <x v="0"/>
    <x v="161"/>
    <x v="400"/>
    <x v="77"/>
    <x v="417"/>
    <x v="108"/>
    <x v="183"/>
    <x v="3"/>
  </r>
  <r>
    <x v="0"/>
    <x v="37"/>
    <x v="37"/>
    <x v="3"/>
    <x v="3"/>
    <x v="3"/>
    <x v="1"/>
    <x v="162"/>
    <x v="306"/>
    <x v="80"/>
    <x v="204"/>
    <x v="82"/>
    <x v="366"/>
    <x v="3"/>
  </r>
  <r>
    <x v="0"/>
    <x v="37"/>
    <x v="37"/>
    <x v="8"/>
    <x v="8"/>
    <x v="8"/>
    <x v="2"/>
    <x v="128"/>
    <x v="328"/>
    <x v="108"/>
    <x v="418"/>
    <x v="83"/>
    <x v="48"/>
    <x v="3"/>
  </r>
  <r>
    <x v="0"/>
    <x v="37"/>
    <x v="37"/>
    <x v="5"/>
    <x v="5"/>
    <x v="5"/>
    <x v="3"/>
    <x v="130"/>
    <x v="370"/>
    <x v="55"/>
    <x v="419"/>
    <x v="110"/>
    <x v="117"/>
    <x v="3"/>
  </r>
  <r>
    <x v="0"/>
    <x v="37"/>
    <x v="37"/>
    <x v="4"/>
    <x v="4"/>
    <x v="4"/>
    <x v="3"/>
    <x v="130"/>
    <x v="370"/>
    <x v="80"/>
    <x v="204"/>
    <x v="86"/>
    <x v="162"/>
    <x v="3"/>
  </r>
  <r>
    <x v="0"/>
    <x v="37"/>
    <x v="37"/>
    <x v="16"/>
    <x v="16"/>
    <x v="16"/>
    <x v="5"/>
    <x v="155"/>
    <x v="401"/>
    <x v="51"/>
    <x v="70"/>
    <x v="86"/>
    <x v="162"/>
    <x v="3"/>
  </r>
  <r>
    <x v="0"/>
    <x v="37"/>
    <x v="37"/>
    <x v="2"/>
    <x v="2"/>
    <x v="2"/>
    <x v="5"/>
    <x v="155"/>
    <x v="401"/>
    <x v="50"/>
    <x v="26"/>
    <x v="109"/>
    <x v="216"/>
    <x v="3"/>
  </r>
  <r>
    <x v="0"/>
    <x v="37"/>
    <x v="37"/>
    <x v="19"/>
    <x v="19"/>
    <x v="19"/>
    <x v="7"/>
    <x v="156"/>
    <x v="360"/>
    <x v="51"/>
    <x v="70"/>
    <x v="93"/>
    <x v="367"/>
    <x v="3"/>
  </r>
  <r>
    <x v="0"/>
    <x v="37"/>
    <x v="37"/>
    <x v="11"/>
    <x v="11"/>
    <x v="11"/>
    <x v="7"/>
    <x v="156"/>
    <x v="360"/>
    <x v="97"/>
    <x v="420"/>
    <x v="86"/>
    <x v="162"/>
    <x v="3"/>
  </r>
  <r>
    <x v="0"/>
    <x v="37"/>
    <x v="37"/>
    <x v="10"/>
    <x v="10"/>
    <x v="10"/>
    <x v="7"/>
    <x v="156"/>
    <x v="360"/>
    <x v="35"/>
    <x v="421"/>
    <x v="128"/>
    <x v="207"/>
    <x v="3"/>
  </r>
  <r>
    <x v="0"/>
    <x v="37"/>
    <x v="37"/>
    <x v="9"/>
    <x v="9"/>
    <x v="9"/>
    <x v="10"/>
    <x v="168"/>
    <x v="124"/>
    <x v="50"/>
    <x v="26"/>
    <x v="83"/>
    <x v="48"/>
    <x v="3"/>
  </r>
  <r>
    <x v="0"/>
    <x v="37"/>
    <x v="37"/>
    <x v="17"/>
    <x v="17"/>
    <x v="17"/>
    <x v="10"/>
    <x v="168"/>
    <x v="124"/>
    <x v="82"/>
    <x v="86"/>
    <x v="86"/>
    <x v="162"/>
    <x v="3"/>
  </r>
  <r>
    <x v="0"/>
    <x v="37"/>
    <x v="37"/>
    <x v="0"/>
    <x v="0"/>
    <x v="0"/>
    <x v="10"/>
    <x v="168"/>
    <x v="124"/>
    <x v="110"/>
    <x v="197"/>
    <x v="127"/>
    <x v="368"/>
    <x v="3"/>
  </r>
  <r>
    <x v="0"/>
    <x v="37"/>
    <x v="37"/>
    <x v="18"/>
    <x v="18"/>
    <x v="18"/>
    <x v="13"/>
    <x v="202"/>
    <x v="374"/>
    <x v="81"/>
    <x v="11"/>
    <x v="83"/>
    <x v="48"/>
    <x v="3"/>
  </r>
  <r>
    <x v="0"/>
    <x v="37"/>
    <x v="37"/>
    <x v="12"/>
    <x v="12"/>
    <x v="12"/>
    <x v="14"/>
    <x v="195"/>
    <x v="53"/>
    <x v="51"/>
    <x v="70"/>
    <x v="83"/>
    <x v="48"/>
    <x v="3"/>
  </r>
  <r>
    <x v="0"/>
    <x v="37"/>
    <x v="37"/>
    <x v="14"/>
    <x v="14"/>
    <x v="14"/>
    <x v="14"/>
    <x v="195"/>
    <x v="53"/>
    <x v="51"/>
    <x v="70"/>
    <x v="83"/>
    <x v="48"/>
    <x v="3"/>
  </r>
  <r>
    <x v="0"/>
    <x v="37"/>
    <x v="37"/>
    <x v="57"/>
    <x v="57"/>
    <x v="57"/>
    <x v="16"/>
    <x v="196"/>
    <x v="97"/>
    <x v="36"/>
    <x v="422"/>
    <x v="111"/>
    <x v="369"/>
    <x v="3"/>
  </r>
  <r>
    <x v="0"/>
    <x v="37"/>
    <x v="37"/>
    <x v="23"/>
    <x v="23"/>
    <x v="23"/>
    <x v="16"/>
    <x v="196"/>
    <x v="97"/>
    <x v="82"/>
    <x v="86"/>
    <x v="108"/>
    <x v="183"/>
    <x v="3"/>
  </r>
  <r>
    <x v="0"/>
    <x v="37"/>
    <x v="37"/>
    <x v="21"/>
    <x v="21"/>
    <x v="21"/>
    <x v="16"/>
    <x v="196"/>
    <x v="97"/>
    <x v="82"/>
    <x v="86"/>
    <x v="108"/>
    <x v="183"/>
    <x v="3"/>
  </r>
  <r>
    <x v="0"/>
    <x v="37"/>
    <x v="37"/>
    <x v="25"/>
    <x v="25"/>
    <x v="25"/>
    <x v="19"/>
    <x v="197"/>
    <x v="17"/>
    <x v="51"/>
    <x v="70"/>
    <x v="125"/>
    <x v="370"/>
    <x v="3"/>
  </r>
  <r>
    <x v="0"/>
    <x v="37"/>
    <x v="37"/>
    <x v="53"/>
    <x v="53"/>
    <x v="53"/>
    <x v="19"/>
    <x v="197"/>
    <x v="17"/>
    <x v="82"/>
    <x v="86"/>
    <x v="111"/>
    <x v="369"/>
    <x v="3"/>
  </r>
  <r>
    <x v="0"/>
    <x v="37"/>
    <x v="37"/>
    <x v="24"/>
    <x v="24"/>
    <x v="24"/>
    <x v="19"/>
    <x v="197"/>
    <x v="17"/>
    <x v="36"/>
    <x v="422"/>
    <x v="83"/>
    <x v="48"/>
    <x v="3"/>
  </r>
  <r>
    <x v="0"/>
    <x v="37"/>
    <x v="37"/>
    <x v="6"/>
    <x v="6"/>
    <x v="6"/>
    <x v="19"/>
    <x v="197"/>
    <x v="17"/>
    <x v="97"/>
    <x v="420"/>
    <x v="127"/>
    <x v="368"/>
    <x v="3"/>
  </r>
  <r>
    <x v="0"/>
    <x v="38"/>
    <x v="38"/>
    <x v="3"/>
    <x v="3"/>
    <x v="3"/>
    <x v="0"/>
    <x v="153"/>
    <x v="402"/>
    <x v="81"/>
    <x v="423"/>
    <x v="120"/>
    <x v="371"/>
    <x v="3"/>
  </r>
  <r>
    <x v="0"/>
    <x v="38"/>
    <x v="38"/>
    <x v="0"/>
    <x v="0"/>
    <x v="0"/>
    <x v="1"/>
    <x v="156"/>
    <x v="403"/>
    <x v="55"/>
    <x v="424"/>
    <x v="125"/>
    <x v="226"/>
    <x v="3"/>
  </r>
  <r>
    <x v="0"/>
    <x v="38"/>
    <x v="38"/>
    <x v="5"/>
    <x v="5"/>
    <x v="5"/>
    <x v="2"/>
    <x v="165"/>
    <x v="404"/>
    <x v="15"/>
    <x v="425"/>
    <x v="125"/>
    <x v="226"/>
    <x v="3"/>
  </r>
  <r>
    <x v="0"/>
    <x v="38"/>
    <x v="38"/>
    <x v="1"/>
    <x v="1"/>
    <x v="1"/>
    <x v="2"/>
    <x v="165"/>
    <x v="404"/>
    <x v="55"/>
    <x v="424"/>
    <x v="128"/>
    <x v="207"/>
    <x v="3"/>
  </r>
  <r>
    <x v="0"/>
    <x v="38"/>
    <x v="38"/>
    <x v="6"/>
    <x v="6"/>
    <x v="6"/>
    <x v="4"/>
    <x v="199"/>
    <x v="302"/>
    <x v="110"/>
    <x v="426"/>
    <x v="125"/>
    <x v="226"/>
    <x v="3"/>
  </r>
  <r>
    <x v="0"/>
    <x v="38"/>
    <x v="38"/>
    <x v="4"/>
    <x v="4"/>
    <x v="4"/>
    <x v="4"/>
    <x v="199"/>
    <x v="302"/>
    <x v="51"/>
    <x v="398"/>
    <x v="108"/>
    <x v="372"/>
    <x v="3"/>
  </r>
  <r>
    <x v="0"/>
    <x v="38"/>
    <x v="38"/>
    <x v="10"/>
    <x v="10"/>
    <x v="10"/>
    <x v="6"/>
    <x v="195"/>
    <x v="405"/>
    <x v="70"/>
    <x v="427"/>
    <x v="125"/>
    <x v="226"/>
    <x v="3"/>
  </r>
  <r>
    <x v="0"/>
    <x v="38"/>
    <x v="38"/>
    <x v="9"/>
    <x v="9"/>
    <x v="9"/>
    <x v="7"/>
    <x v="197"/>
    <x v="303"/>
    <x v="51"/>
    <x v="398"/>
    <x v="125"/>
    <x v="226"/>
    <x v="3"/>
  </r>
  <r>
    <x v="0"/>
    <x v="38"/>
    <x v="38"/>
    <x v="14"/>
    <x v="14"/>
    <x v="14"/>
    <x v="7"/>
    <x v="197"/>
    <x v="303"/>
    <x v="51"/>
    <x v="398"/>
    <x v="125"/>
    <x v="226"/>
    <x v="3"/>
  </r>
  <r>
    <x v="0"/>
    <x v="38"/>
    <x v="38"/>
    <x v="26"/>
    <x v="26"/>
    <x v="26"/>
    <x v="9"/>
    <x v="198"/>
    <x v="249"/>
    <x v="82"/>
    <x v="86"/>
    <x v="83"/>
    <x v="138"/>
    <x v="3"/>
  </r>
  <r>
    <x v="0"/>
    <x v="38"/>
    <x v="38"/>
    <x v="29"/>
    <x v="29"/>
    <x v="29"/>
    <x v="9"/>
    <x v="198"/>
    <x v="249"/>
    <x v="51"/>
    <x v="398"/>
    <x v="128"/>
    <x v="207"/>
    <x v="3"/>
  </r>
  <r>
    <x v="0"/>
    <x v="38"/>
    <x v="38"/>
    <x v="51"/>
    <x v="51"/>
    <x v="51"/>
    <x v="9"/>
    <x v="198"/>
    <x v="249"/>
    <x v="36"/>
    <x v="428"/>
    <x v="127"/>
    <x v="308"/>
    <x v="3"/>
  </r>
  <r>
    <x v="0"/>
    <x v="38"/>
    <x v="38"/>
    <x v="8"/>
    <x v="8"/>
    <x v="8"/>
    <x v="9"/>
    <x v="198"/>
    <x v="249"/>
    <x v="82"/>
    <x v="86"/>
    <x v="125"/>
    <x v="226"/>
    <x v="3"/>
  </r>
  <r>
    <x v="0"/>
    <x v="38"/>
    <x v="38"/>
    <x v="18"/>
    <x v="18"/>
    <x v="18"/>
    <x v="9"/>
    <x v="198"/>
    <x v="249"/>
    <x v="36"/>
    <x v="428"/>
    <x v="127"/>
    <x v="308"/>
    <x v="3"/>
  </r>
  <r>
    <x v="0"/>
    <x v="38"/>
    <x v="38"/>
    <x v="56"/>
    <x v="56"/>
    <x v="56"/>
    <x v="14"/>
    <x v="200"/>
    <x v="406"/>
    <x v="82"/>
    <x v="86"/>
    <x v="127"/>
    <x v="308"/>
    <x v="3"/>
  </r>
  <r>
    <x v="0"/>
    <x v="38"/>
    <x v="38"/>
    <x v="55"/>
    <x v="55"/>
    <x v="55"/>
    <x v="14"/>
    <x v="200"/>
    <x v="406"/>
    <x v="36"/>
    <x v="428"/>
    <x v="125"/>
    <x v="226"/>
    <x v="3"/>
  </r>
  <r>
    <x v="0"/>
    <x v="38"/>
    <x v="38"/>
    <x v="43"/>
    <x v="43"/>
    <x v="43"/>
    <x v="14"/>
    <x v="200"/>
    <x v="406"/>
    <x v="97"/>
    <x v="429"/>
    <x v="128"/>
    <x v="207"/>
    <x v="3"/>
  </r>
  <r>
    <x v="0"/>
    <x v="38"/>
    <x v="38"/>
    <x v="34"/>
    <x v="34"/>
    <x v="34"/>
    <x v="14"/>
    <x v="200"/>
    <x v="406"/>
    <x v="97"/>
    <x v="429"/>
    <x v="128"/>
    <x v="207"/>
    <x v="3"/>
  </r>
  <r>
    <x v="0"/>
    <x v="38"/>
    <x v="38"/>
    <x v="7"/>
    <x v="7"/>
    <x v="7"/>
    <x v="14"/>
    <x v="200"/>
    <x v="406"/>
    <x v="97"/>
    <x v="429"/>
    <x v="128"/>
    <x v="207"/>
    <x v="3"/>
  </r>
  <r>
    <x v="0"/>
    <x v="38"/>
    <x v="38"/>
    <x v="42"/>
    <x v="42"/>
    <x v="42"/>
    <x v="19"/>
    <x v="201"/>
    <x v="407"/>
    <x v="82"/>
    <x v="86"/>
    <x v="125"/>
    <x v="226"/>
    <x v="3"/>
  </r>
  <r>
    <x v="0"/>
    <x v="38"/>
    <x v="38"/>
    <x v="60"/>
    <x v="60"/>
    <x v="60"/>
    <x v="19"/>
    <x v="201"/>
    <x v="407"/>
    <x v="82"/>
    <x v="86"/>
    <x v="125"/>
    <x v="226"/>
    <x v="3"/>
  </r>
  <r>
    <x v="0"/>
    <x v="38"/>
    <x v="38"/>
    <x v="19"/>
    <x v="19"/>
    <x v="19"/>
    <x v="19"/>
    <x v="201"/>
    <x v="407"/>
    <x v="36"/>
    <x v="428"/>
    <x v="128"/>
    <x v="207"/>
    <x v="3"/>
  </r>
  <r>
    <x v="0"/>
    <x v="38"/>
    <x v="38"/>
    <x v="25"/>
    <x v="25"/>
    <x v="25"/>
    <x v="19"/>
    <x v="201"/>
    <x v="407"/>
    <x v="82"/>
    <x v="86"/>
    <x v="125"/>
    <x v="226"/>
    <x v="3"/>
  </r>
  <r>
    <x v="0"/>
    <x v="38"/>
    <x v="38"/>
    <x v="16"/>
    <x v="16"/>
    <x v="16"/>
    <x v="19"/>
    <x v="201"/>
    <x v="407"/>
    <x v="82"/>
    <x v="86"/>
    <x v="125"/>
    <x v="226"/>
    <x v="3"/>
  </r>
  <r>
    <x v="0"/>
    <x v="38"/>
    <x v="38"/>
    <x v="44"/>
    <x v="44"/>
    <x v="44"/>
    <x v="19"/>
    <x v="201"/>
    <x v="407"/>
    <x v="82"/>
    <x v="86"/>
    <x v="125"/>
    <x v="226"/>
    <x v="3"/>
  </r>
  <r>
    <x v="0"/>
    <x v="38"/>
    <x v="38"/>
    <x v="37"/>
    <x v="37"/>
    <x v="37"/>
    <x v="19"/>
    <x v="201"/>
    <x v="407"/>
    <x v="82"/>
    <x v="86"/>
    <x v="125"/>
    <x v="226"/>
    <x v="3"/>
  </r>
  <r>
    <x v="0"/>
    <x v="38"/>
    <x v="38"/>
    <x v="58"/>
    <x v="58"/>
    <x v="58"/>
    <x v="19"/>
    <x v="201"/>
    <x v="407"/>
    <x v="36"/>
    <x v="428"/>
    <x v="128"/>
    <x v="207"/>
    <x v="3"/>
  </r>
  <r>
    <x v="0"/>
    <x v="38"/>
    <x v="38"/>
    <x v="61"/>
    <x v="61"/>
    <x v="61"/>
    <x v="19"/>
    <x v="201"/>
    <x v="407"/>
    <x v="36"/>
    <x v="428"/>
    <x v="128"/>
    <x v="207"/>
    <x v="3"/>
  </r>
  <r>
    <x v="0"/>
    <x v="38"/>
    <x v="38"/>
    <x v="45"/>
    <x v="45"/>
    <x v="45"/>
    <x v="19"/>
    <x v="201"/>
    <x v="407"/>
    <x v="36"/>
    <x v="428"/>
    <x v="128"/>
    <x v="207"/>
    <x v="3"/>
  </r>
  <r>
    <x v="0"/>
    <x v="38"/>
    <x v="38"/>
    <x v="24"/>
    <x v="24"/>
    <x v="24"/>
    <x v="19"/>
    <x v="201"/>
    <x v="407"/>
    <x v="36"/>
    <x v="428"/>
    <x v="128"/>
    <x v="207"/>
    <x v="3"/>
  </r>
  <r>
    <x v="0"/>
    <x v="38"/>
    <x v="38"/>
    <x v="20"/>
    <x v="20"/>
    <x v="20"/>
    <x v="19"/>
    <x v="201"/>
    <x v="407"/>
    <x v="82"/>
    <x v="86"/>
    <x v="125"/>
    <x v="226"/>
    <x v="3"/>
  </r>
  <r>
    <x v="0"/>
    <x v="38"/>
    <x v="38"/>
    <x v="13"/>
    <x v="13"/>
    <x v="13"/>
    <x v="19"/>
    <x v="201"/>
    <x v="407"/>
    <x v="36"/>
    <x v="428"/>
    <x v="128"/>
    <x v="207"/>
    <x v="3"/>
  </r>
  <r>
    <x v="0"/>
    <x v="38"/>
    <x v="38"/>
    <x v="11"/>
    <x v="11"/>
    <x v="11"/>
    <x v="19"/>
    <x v="201"/>
    <x v="407"/>
    <x v="36"/>
    <x v="428"/>
    <x v="128"/>
    <x v="207"/>
    <x v="3"/>
  </r>
  <r>
    <x v="0"/>
    <x v="38"/>
    <x v="38"/>
    <x v="32"/>
    <x v="32"/>
    <x v="32"/>
    <x v="19"/>
    <x v="201"/>
    <x v="407"/>
    <x v="36"/>
    <x v="428"/>
    <x v="128"/>
    <x v="207"/>
    <x v="3"/>
  </r>
  <r>
    <x v="0"/>
    <x v="38"/>
    <x v="38"/>
    <x v="2"/>
    <x v="2"/>
    <x v="2"/>
    <x v="19"/>
    <x v="201"/>
    <x v="407"/>
    <x v="82"/>
    <x v="86"/>
    <x v="125"/>
    <x v="226"/>
    <x v="3"/>
  </r>
  <r>
    <x v="0"/>
    <x v="38"/>
    <x v="38"/>
    <x v="52"/>
    <x v="52"/>
    <x v="52"/>
    <x v="19"/>
    <x v="201"/>
    <x v="407"/>
    <x v="82"/>
    <x v="86"/>
    <x v="125"/>
    <x v="226"/>
    <x v="3"/>
  </r>
  <r>
    <x v="0"/>
    <x v="38"/>
    <x v="38"/>
    <x v="15"/>
    <x v="15"/>
    <x v="15"/>
    <x v="19"/>
    <x v="201"/>
    <x v="407"/>
    <x v="82"/>
    <x v="86"/>
    <x v="125"/>
    <x v="226"/>
    <x v="3"/>
  </r>
  <r>
    <x v="0"/>
    <x v="38"/>
    <x v="38"/>
    <x v="46"/>
    <x v="46"/>
    <x v="46"/>
    <x v="19"/>
    <x v="201"/>
    <x v="407"/>
    <x v="36"/>
    <x v="428"/>
    <x v="128"/>
    <x v="207"/>
    <x v="3"/>
  </r>
  <r>
    <x v="0"/>
    <x v="38"/>
    <x v="38"/>
    <x v="47"/>
    <x v="47"/>
    <x v="47"/>
    <x v="19"/>
    <x v="201"/>
    <x v="407"/>
    <x v="82"/>
    <x v="86"/>
    <x v="128"/>
    <x v="207"/>
    <x v="3"/>
  </r>
  <r>
    <x v="0"/>
    <x v="39"/>
    <x v="39"/>
    <x v="1"/>
    <x v="1"/>
    <x v="1"/>
    <x v="0"/>
    <x v="88"/>
    <x v="408"/>
    <x v="91"/>
    <x v="430"/>
    <x v="127"/>
    <x v="249"/>
    <x v="3"/>
  </r>
  <r>
    <x v="0"/>
    <x v="39"/>
    <x v="39"/>
    <x v="5"/>
    <x v="5"/>
    <x v="5"/>
    <x v="1"/>
    <x v="128"/>
    <x v="409"/>
    <x v="108"/>
    <x v="431"/>
    <x v="108"/>
    <x v="373"/>
    <x v="3"/>
  </r>
  <r>
    <x v="0"/>
    <x v="39"/>
    <x v="39"/>
    <x v="3"/>
    <x v="3"/>
    <x v="3"/>
    <x v="2"/>
    <x v="129"/>
    <x v="410"/>
    <x v="110"/>
    <x v="432"/>
    <x v="122"/>
    <x v="374"/>
    <x v="3"/>
  </r>
  <r>
    <x v="0"/>
    <x v="39"/>
    <x v="39"/>
    <x v="4"/>
    <x v="4"/>
    <x v="4"/>
    <x v="2"/>
    <x v="129"/>
    <x v="410"/>
    <x v="109"/>
    <x v="433"/>
    <x v="109"/>
    <x v="375"/>
    <x v="3"/>
  </r>
  <r>
    <x v="0"/>
    <x v="39"/>
    <x v="39"/>
    <x v="0"/>
    <x v="0"/>
    <x v="0"/>
    <x v="2"/>
    <x v="129"/>
    <x v="410"/>
    <x v="116"/>
    <x v="412"/>
    <x v="108"/>
    <x v="373"/>
    <x v="3"/>
  </r>
  <r>
    <x v="0"/>
    <x v="39"/>
    <x v="39"/>
    <x v="6"/>
    <x v="6"/>
    <x v="6"/>
    <x v="5"/>
    <x v="154"/>
    <x v="405"/>
    <x v="80"/>
    <x v="411"/>
    <x v="108"/>
    <x v="373"/>
    <x v="3"/>
  </r>
  <r>
    <x v="0"/>
    <x v="39"/>
    <x v="39"/>
    <x v="9"/>
    <x v="9"/>
    <x v="9"/>
    <x v="6"/>
    <x v="156"/>
    <x v="43"/>
    <x v="80"/>
    <x v="411"/>
    <x v="83"/>
    <x v="376"/>
    <x v="3"/>
  </r>
  <r>
    <x v="0"/>
    <x v="39"/>
    <x v="39"/>
    <x v="11"/>
    <x v="11"/>
    <x v="11"/>
    <x v="7"/>
    <x v="165"/>
    <x v="411"/>
    <x v="70"/>
    <x v="414"/>
    <x v="108"/>
    <x v="373"/>
    <x v="3"/>
  </r>
  <r>
    <x v="0"/>
    <x v="39"/>
    <x v="39"/>
    <x v="8"/>
    <x v="8"/>
    <x v="8"/>
    <x v="7"/>
    <x v="165"/>
    <x v="411"/>
    <x v="110"/>
    <x v="432"/>
    <x v="127"/>
    <x v="249"/>
    <x v="3"/>
  </r>
  <r>
    <x v="0"/>
    <x v="39"/>
    <x v="39"/>
    <x v="10"/>
    <x v="10"/>
    <x v="10"/>
    <x v="7"/>
    <x v="165"/>
    <x v="411"/>
    <x v="55"/>
    <x v="41"/>
    <x v="128"/>
    <x v="207"/>
    <x v="3"/>
  </r>
  <r>
    <x v="0"/>
    <x v="39"/>
    <x v="39"/>
    <x v="19"/>
    <x v="19"/>
    <x v="19"/>
    <x v="10"/>
    <x v="199"/>
    <x v="9"/>
    <x v="51"/>
    <x v="141"/>
    <x v="108"/>
    <x v="373"/>
    <x v="3"/>
  </r>
  <r>
    <x v="0"/>
    <x v="39"/>
    <x v="39"/>
    <x v="12"/>
    <x v="12"/>
    <x v="12"/>
    <x v="10"/>
    <x v="199"/>
    <x v="9"/>
    <x v="80"/>
    <x v="411"/>
    <x v="128"/>
    <x v="207"/>
    <x v="3"/>
  </r>
  <r>
    <x v="0"/>
    <x v="39"/>
    <x v="39"/>
    <x v="14"/>
    <x v="14"/>
    <x v="14"/>
    <x v="10"/>
    <x v="199"/>
    <x v="9"/>
    <x v="70"/>
    <x v="414"/>
    <x v="83"/>
    <x v="376"/>
    <x v="3"/>
  </r>
  <r>
    <x v="0"/>
    <x v="39"/>
    <x v="39"/>
    <x v="13"/>
    <x v="13"/>
    <x v="13"/>
    <x v="13"/>
    <x v="195"/>
    <x v="412"/>
    <x v="70"/>
    <x v="414"/>
    <x v="125"/>
    <x v="377"/>
    <x v="3"/>
  </r>
  <r>
    <x v="0"/>
    <x v="39"/>
    <x v="39"/>
    <x v="2"/>
    <x v="2"/>
    <x v="2"/>
    <x v="14"/>
    <x v="196"/>
    <x v="276"/>
    <x v="51"/>
    <x v="141"/>
    <x v="127"/>
    <x v="249"/>
    <x v="3"/>
  </r>
  <r>
    <x v="0"/>
    <x v="39"/>
    <x v="39"/>
    <x v="29"/>
    <x v="29"/>
    <x v="29"/>
    <x v="15"/>
    <x v="197"/>
    <x v="413"/>
    <x v="36"/>
    <x v="85"/>
    <x v="83"/>
    <x v="376"/>
    <x v="3"/>
  </r>
  <r>
    <x v="0"/>
    <x v="39"/>
    <x v="39"/>
    <x v="53"/>
    <x v="53"/>
    <x v="53"/>
    <x v="15"/>
    <x v="197"/>
    <x v="413"/>
    <x v="97"/>
    <x v="416"/>
    <x v="127"/>
    <x v="249"/>
    <x v="3"/>
  </r>
  <r>
    <x v="0"/>
    <x v="39"/>
    <x v="39"/>
    <x v="44"/>
    <x v="44"/>
    <x v="44"/>
    <x v="15"/>
    <x v="197"/>
    <x v="413"/>
    <x v="82"/>
    <x v="86"/>
    <x v="111"/>
    <x v="260"/>
    <x v="3"/>
  </r>
  <r>
    <x v="0"/>
    <x v="39"/>
    <x v="39"/>
    <x v="55"/>
    <x v="55"/>
    <x v="55"/>
    <x v="18"/>
    <x v="198"/>
    <x v="414"/>
    <x v="36"/>
    <x v="85"/>
    <x v="127"/>
    <x v="249"/>
    <x v="3"/>
  </r>
  <r>
    <x v="0"/>
    <x v="39"/>
    <x v="39"/>
    <x v="20"/>
    <x v="20"/>
    <x v="20"/>
    <x v="18"/>
    <x v="198"/>
    <x v="414"/>
    <x v="97"/>
    <x v="416"/>
    <x v="125"/>
    <x v="377"/>
    <x v="3"/>
  </r>
  <r>
    <x v="0"/>
    <x v="39"/>
    <x v="39"/>
    <x v="33"/>
    <x v="33"/>
    <x v="33"/>
    <x v="18"/>
    <x v="198"/>
    <x v="414"/>
    <x v="51"/>
    <x v="141"/>
    <x v="128"/>
    <x v="207"/>
    <x v="3"/>
  </r>
  <r>
    <x v="0"/>
    <x v="39"/>
    <x v="39"/>
    <x v="7"/>
    <x v="7"/>
    <x v="7"/>
    <x v="18"/>
    <x v="198"/>
    <x v="414"/>
    <x v="97"/>
    <x v="416"/>
    <x v="125"/>
    <x v="377"/>
    <x v="3"/>
  </r>
  <r>
    <x v="0"/>
    <x v="39"/>
    <x v="39"/>
    <x v="28"/>
    <x v="28"/>
    <x v="28"/>
    <x v="18"/>
    <x v="198"/>
    <x v="414"/>
    <x v="36"/>
    <x v="85"/>
    <x v="127"/>
    <x v="249"/>
    <x v="3"/>
  </r>
  <r>
    <x v="0"/>
    <x v="39"/>
    <x v="39"/>
    <x v="30"/>
    <x v="30"/>
    <x v="30"/>
    <x v="18"/>
    <x v="198"/>
    <x v="414"/>
    <x v="51"/>
    <x v="141"/>
    <x v="128"/>
    <x v="207"/>
    <x v="3"/>
  </r>
  <r>
    <x v="0"/>
    <x v="39"/>
    <x v="39"/>
    <x v="46"/>
    <x v="46"/>
    <x v="46"/>
    <x v="18"/>
    <x v="198"/>
    <x v="414"/>
    <x v="97"/>
    <x v="416"/>
    <x v="125"/>
    <x v="377"/>
    <x v="3"/>
  </r>
  <r>
    <x v="0"/>
    <x v="40"/>
    <x v="40"/>
    <x v="0"/>
    <x v="0"/>
    <x v="0"/>
    <x v="0"/>
    <x v="123"/>
    <x v="415"/>
    <x v="102"/>
    <x v="434"/>
    <x v="111"/>
    <x v="369"/>
    <x v="3"/>
  </r>
  <r>
    <x v="0"/>
    <x v="40"/>
    <x v="40"/>
    <x v="1"/>
    <x v="1"/>
    <x v="1"/>
    <x v="1"/>
    <x v="115"/>
    <x v="416"/>
    <x v="102"/>
    <x v="434"/>
    <x v="127"/>
    <x v="368"/>
    <x v="3"/>
  </r>
  <r>
    <x v="0"/>
    <x v="40"/>
    <x v="40"/>
    <x v="3"/>
    <x v="3"/>
    <x v="3"/>
    <x v="2"/>
    <x v="137"/>
    <x v="417"/>
    <x v="35"/>
    <x v="435"/>
    <x v="84"/>
    <x v="378"/>
    <x v="3"/>
  </r>
  <r>
    <x v="0"/>
    <x v="40"/>
    <x v="40"/>
    <x v="5"/>
    <x v="5"/>
    <x v="5"/>
    <x v="3"/>
    <x v="167"/>
    <x v="418"/>
    <x v="98"/>
    <x v="436"/>
    <x v="93"/>
    <x v="367"/>
    <x v="3"/>
  </r>
  <r>
    <x v="0"/>
    <x v="40"/>
    <x v="40"/>
    <x v="4"/>
    <x v="4"/>
    <x v="4"/>
    <x v="4"/>
    <x v="91"/>
    <x v="419"/>
    <x v="35"/>
    <x v="435"/>
    <x v="104"/>
    <x v="379"/>
    <x v="3"/>
  </r>
  <r>
    <x v="0"/>
    <x v="40"/>
    <x v="40"/>
    <x v="6"/>
    <x v="6"/>
    <x v="6"/>
    <x v="5"/>
    <x v="130"/>
    <x v="420"/>
    <x v="15"/>
    <x v="437"/>
    <x v="93"/>
    <x v="367"/>
    <x v="3"/>
  </r>
  <r>
    <x v="0"/>
    <x v="40"/>
    <x v="40"/>
    <x v="10"/>
    <x v="10"/>
    <x v="10"/>
    <x v="6"/>
    <x v="140"/>
    <x v="421"/>
    <x v="108"/>
    <x v="438"/>
    <x v="125"/>
    <x v="370"/>
    <x v="3"/>
  </r>
  <r>
    <x v="0"/>
    <x v="40"/>
    <x v="40"/>
    <x v="9"/>
    <x v="9"/>
    <x v="9"/>
    <x v="7"/>
    <x v="154"/>
    <x v="422"/>
    <x v="97"/>
    <x v="439"/>
    <x v="122"/>
    <x v="380"/>
    <x v="3"/>
  </r>
  <r>
    <x v="0"/>
    <x v="40"/>
    <x v="40"/>
    <x v="11"/>
    <x v="11"/>
    <x v="11"/>
    <x v="8"/>
    <x v="165"/>
    <x v="125"/>
    <x v="50"/>
    <x v="338"/>
    <x v="111"/>
    <x v="369"/>
    <x v="3"/>
  </r>
  <r>
    <x v="0"/>
    <x v="40"/>
    <x v="40"/>
    <x v="2"/>
    <x v="2"/>
    <x v="2"/>
    <x v="8"/>
    <x v="165"/>
    <x v="125"/>
    <x v="70"/>
    <x v="347"/>
    <x v="108"/>
    <x v="183"/>
    <x v="3"/>
  </r>
  <r>
    <x v="0"/>
    <x v="40"/>
    <x v="40"/>
    <x v="8"/>
    <x v="8"/>
    <x v="8"/>
    <x v="8"/>
    <x v="165"/>
    <x v="125"/>
    <x v="55"/>
    <x v="183"/>
    <x v="128"/>
    <x v="207"/>
    <x v="3"/>
  </r>
  <r>
    <x v="0"/>
    <x v="40"/>
    <x v="40"/>
    <x v="19"/>
    <x v="19"/>
    <x v="19"/>
    <x v="11"/>
    <x v="168"/>
    <x v="390"/>
    <x v="81"/>
    <x v="289"/>
    <x v="108"/>
    <x v="183"/>
    <x v="3"/>
  </r>
  <r>
    <x v="0"/>
    <x v="40"/>
    <x v="40"/>
    <x v="14"/>
    <x v="14"/>
    <x v="14"/>
    <x v="12"/>
    <x v="199"/>
    <x v="332"/>
    <x v="110"/>
    <x v="440"/>
    <x v="125"/>
    <x v="370"/>
    <x v="3"/>
  </r>
  <r>
    <x v="0"/>
    <x v="40"/>
    <x v="40"/>
    <x v="44"/>
    <x v="44"/>
    <x v="44"/>
    <x v="13"/>
    <x v="202"/>
    <x v="54"/>
    <x v="82"/>
    <x v="86"/>
    <x v="110"/>
    <x v="117"/>
    <x v="3"/>
  </r>
  <r>
    <x v="0"/>
    <x v="40"/>
    <x v="40"/>
    <x v="52"/>
    <x v="52"/>
    <x v="52"/>
    <x v="13"/>
    <x v="202"/>
    <x v="54"/>
    <x v="97"/>
    <x v="439"/>
    <x v="108"/>
    <x v="183"/>
    <x v="3"/>
  </r>
  <r>
    <x v="0"/>
    <x v="40"/>
    <x v="40"/>
    <x v="12"/>
    <x v="12"/>
    <x v="12"/>
    <x v="13"/>
    <x v="202"/>
    <x v="54"/>
    <x v="50"/>
    <x v="338"/>
    <x v="125"/>
    <x v="370"/>
    <x v="3"/>
  </r>
  <r>
    <x v="0"/>
    <x v="40"/>
    <x v="40"/>
    <x v="35"/>
    <x v="35"/>
    <x v="35"/>
    <x v="16"/>
    <x v="195"/>
    <x v="210"/>
    <x v="97"/>
    <x v="439"/>
    <x v="111"/>
    <x v="369"/>
    <x v="3"/>
  </r>
  <r>
    <x v="0"/>
    <x v="40"/>
    <x v="40"/>
    <x v="13"/>
    <x v="13"/>
    <x v="13"/>
    <x v="16"/>
    <x v="195"/>
    <x v="210"/>
    <x v="97"/>
    <x v="439"/>
    <x v="111"/>
    <x v="369"/>
    <x v="3"/>
  </r>
  <r>
    <x v="0"/>
    <x v="40"/>
    <x v="40"/>
    <x v="22"/>
    <x v="22"/>
    <x v="22"/>
    <x v="16"/>
    <x v="195"/>
    <x v="210"/>
    <x v="36"/>
    <x v="102"/>
    <x v="108"/>
    <x v="183"/>
    <x v="3"/>
  </r>
  <r>
    <x v="0"/>
    <x v="40"/>
    <x v="40"/>
    <x v="20"/>
    <x v="20"/>
    <x v="20"/>
    <x v="19"/>
    <x v="196"/>
    <x v="200"/>
    <x v="36"/>
    <x v="102"/>
    <x v="111"/>
    <x v="369"/>
    <x v="3"/>
  </r>
  <r>
    <x v="0"/>
    <x v="40"/>
    <x v="40"/>
    <x v="15"/>
    <x v="15"/>
    <x v="15"/>
    <x v="19"/>
    <x v="196"/>
    <x v="200"/>
    <x v="82"/>
    <x v="86"/>
    <x v="111"/>
    <x v="369"/>
    <x v="3"/>
  </r>
  <r>
    <x v="0"/>
    <x v="41"/>
    <x v="41"/>
    <x v="0"/>
    <x v="0"/>
    <x v="0"/>
    <x v="0"/>
    <x v="85"/>
    <x v="423"/>
    <x v="106"/>
    <x v="441"/>
    <x v="120"/>
    <x v="381"/>
    <x v="3"/>
  </r>
  <r>
    <x v="0"/>
    <x v="41"/>
    <x v="41"/>
    <x v="1"/>
    <x v="1"/>
    <x v="1"/>
    <x v="1"/>
    <x v="138"/>
    <x v="375"/>
    <x v="103"/>
    <x v="442"/>
    <x v="83"/>
    <x v="338"/>
    <x v="3"/>
  </r>
  <r>
    <x v="0"/>
    <x v="41"/>
    <x v="41"/>
    <x v="3"/>
    <x v="3"/>
    <x v="3"/>
    <x v="2"/>
    <x v="91"/>
    <x v="424"/>
    <x v="80"/>
    <x v="423"/>
    <x v="85"/>
    <x v="382"/>
    <x v="3"/>
  </r>
  <r>
    <x v="0"/>
    <x v="41"/>
    <x v="41"/>
    <x v="4"/>
    <x v="4"/>
    <x v="4"/>
    <x v="3"/>
    <x v="128"/>
    <x v="41"/>
    <x v="70"/>
    <x v="81"/>
    <x v="82"/>
    <x v="126"/>
    <x v="3"/>
  </r>
  <r>
    <x v="0"/>
    <x v="41"/>
    <x v="41"/>
    <x v="5"/>
    <x v="5"/>
    <x v="5"/>
    <x v="4"/>
    <x v="140"/>
    <x v="425"/>
    <x v="80"/>
    <x v="423"/>
    <x v="93"/>
    <x v="29"/>
    <x v="3"/>
  </r>
  <r>
    <x v="0"/>
    <x v="41"/>
    <x v="41"/>
    <x v="11"/>
    <x v="11"/>
    <x v="11"/>
    <x v="5"/>
    <x v="153"/>
    <x v="426"/>
    <x v="110"/>
    <x v="181"/>
    <x v="110"/>
    <x v="46"/>
    <x v="3"/>
  </r>
  <r>
    <x v="0"/>
    <x v="41"/>
    <x v="41"/>
    <x v="6"/>
    <x v="6"/>
    <x v="6"/>
    <x v="6"/>
    <x v="156"/>
    <x v="427"/>
    <x v="50"/>
    <x v="398"/>
    <x v="108"/>
    <x v="383"/>
    <x v="3"/>
  </r>
  <r>
    <x v="0"/>
    <x v="41"/>
    <x v="41"/>
    <x v="14"/>
    <x v="14"/>
    <x v="14"/>
    <x v="6"/>
    <x v="156"/>
    <x v="427"/>
    <x v="110"/>
    <x v="181"/>
    <x v="83"/>
    <x v="338"/>
    <x v="3"/>
  </r>
  <r>
    <x v="0"/>
    <x v="41"/>
    <x v="41"/>
    <x v="8"/>
    <x v="8"/>
    <x v="8"/>
    <x v="6"/>
    <x v="156"/>
    <x v="427"/>
    <x v="81"/>
    <x v="429"/>
    <x v="111"/>
    <x v="103"/>
    <x v="3"/>
  </r>
  <r>
    <x v="0"/>
    <x v="41"/>
    <x v="41"/>
    <x v="9"/>
    <x v="9"/>
    <x v="9"/>
    <x v="9"/>
    <x v="165"/>
    <x v="62"/>
    <x v="81"/>
    <x v="429"/>
    <x v="109"/>
    <x v="384"/>
    <x v="3"/>
  </r>
  <r>
    <x v="0"/>
    <x v="41"/>
    <x v="41"/>
    <x v="12"/>
    <x v="12"/>
    <x v="12"/>
    <x v="10"/>
    <x v="168"/>
    <x v="428"/>
    <x v="110"/>
    <x v="181"/>
    <x v="127"/>
    <x v="385"/>
    <x v="3"/>
  </r>
  <r>
    <x v="0"/>
    <x v="41"/>
    <x v="41"/>
    <x v="10"/>
    <x v="10"/>
    <x v="10"/>
    <x v="10"/>
    <x v="168"/>
    <x v="428"/>
    <x v="80"/>
    <x v="423"/>
    <x v="125"/>
    <x v="386"/>
    <x v="3"/>
  </r>
  <r>
    <x v="0"/>
    <x v="41"/>
    <x v="41"/>
    <x v="19"/>
    <x v="19"/>
    <x v="19"/>
    <x v="12"/>
    <x v="202"/>
    <x v="391"/>
    <x v="36"/>
    <x v="443"/>
    <x v="109"/>
    <x v="384"/>
    <x v="3"/>
  </r>
  <r>
    <x v="0"/>
    <x v="41"/>
    <x v="41"/>
    <x v="2"/>
    <x v="2"/>
    <x v="2"/>
    <x v="12"/>
    <x v="202"/>
    <x v="391"/>
    <x v="36"/>
    <x v="443"/>
    <x v="109"/>
    <x v="384"/>
    <x v="3"/>
  </r>
  <r>
    <x v="0"/>
    <x v="41"/>
    <x v="41"/>
    <x v="25"/>
    <x v="25"/>
    <x v="25"/>
    <x v="14"/>
    <x v="195"/>
    <x v="182"/>
    <x v="97"/>
    <x v="428"/>
    <x v="111"/>
    <x v="103"/>
    <x v="3"/>
  </r>
  <r>
    <x v="0"/>
    <x v="41"/>
    <x v="41"/>
    <x v="22"/>
    <x v="22"/>
    <x v="22"/>
    <x v="14"/>
    <x v="195"/>
    <x v="182"/>
    <x v="82"/>
    <x v="86"/>
    <x v="108"/>
    <x v="383"/>
    <x v="0"/>
  </r>
  <r>
    <x v="0"/>
    <x v="41"/>
    <x v="41"/>
    <x v="29"/>
    <x v="29"/>
    <x v="29"/>
    <x v="16"/>
    <x v="196"/>
    <x v="35"/>
    <x v="51"/>
    <x v="228"/>
    <x v="127"/>
    <x v="385"/>
    <x v="3"/>
  </r>
  <r>
    <x v="0"/>
    <x v="41"/>
    <x v="41"/>
    <x v="13"/>
    <x v="13"/>
    <x v="13"/>
    <x v="16"/>
    <x v="196"/>
    <x v="35"/>
    <x v="36"/>
    <x v="443"/>
    <x v="111"/>
    <x v="103"/>
    <x v="3"/>
  </r>
  <r>
    <x v="0"/>
    <x v="41"/>
    <x v="41"/>
    <x v="30"/>
    <x v="30"/>
    <x v="30"/>
    <x v="16"/>
    <x v="196"/>
    <x v="35"/>
    <x v="81"/>
    <x v="429"/>
    <x v="125"/>
    <x v="386"/>
    <x v="3"/>
  </r>
  <r>
    <x v="0"/>
    <x v="41"/>
    <x v="41"/>
    <x v="31"/>
    <x v="31"/>
    <x v="31"/>
    <x v="16"/>
    <x v="196"/>
    <x v="35"/>
    <x v="36"/>
    <x v="443"/>
    <x v="111"/>
    <x v="103"/>
    <x v="3"/>
  </r>
  <r>
    <x v="0"/>
    <x v="42"/>
    <x v="42"/>
    <x v="3"/>
    <x v="3"/>
    <x v="3"/>
    <x v="0"/>
    <x v="91"/>
    <x v="429"/>
    <x v="55"/>
    <x v="322"/>
    <x v="74"/>
    <x v="387"/>
    <x v="3"/>
  </r>
  <r>
    <x v="0"/>
    <x v="42"/>
    <x v="42"/>
    <x v="5"/>
    <x v="5"/>
    <x v="5"/>
    <x v="1"/>
    <x v="140"/>
    <x v="430"/>
    <x v="116"/>
    <x v="444"/>
    <x v="83"/>
    <x v="388"/>
    <x v="3"/>
  </r>
  <r>
    <x v="0"/>
    <x v="42"/>
    <x v="42"/>
    <x v="4"/>
    <x v="4"/>
    <x v="4"/>
    <x v="2"/>
    <x v="154"/>
    <x v="431"/>
    <x v="80"/>
    <x v="206"/>
    <x v="108"/>
    <x v="389"/>
    <x v="3"/>
  </r>
  <r>
    <x v="0"/>
    <x v="42"/>
    <x v="42"/>
    <x v="0"/>
    <x v="0"/>
    <x v="0"/>
    <x v="3"/>
    <x v="156"/>
    <x v="432"/>
    <x v="55"/>
    <x v="322"/>
    <x v="125"/>
    <x v="390"/>
    <x v="3"/>
  </r>
  <r>
    <x v="0"/>
    <x v="42"/>
    <x v="42"/>
    <x v="1"/>
    <x v="1"/>
    <x v="1"/>
    <x v="3"/>
    <x v="156"/>
    <x v="432"/>
    <x v="35"/>
    <x v="445"/>
    <x v="128"/>
    <x v="207"/>
    <x v="3"/>
  </r>
  <r>
    <x v="0"/>
    <x v="42"/>
    <x v="42"/>
    <x v="6"/>
    <x v="6"/>
    <x v="6"/>
    <x v="5"/>
    <x v="168"/>
    <x v="433"/>
    <x v="80"/>
    <x v="206"/>
    <x v="125"/>
    <x v="390"/>
    <x v="3"/>
  </r>
  <r>
    <x v="0"/>
    <x v="42"/>
    <x v="42"/>
    <x v="9"/>
    <x v="9"/>
    <x v="9"/>
    <x v="6"/>
    <x v="202"/>
    <x v="75"/>
    <x v="50"/>
    <x v="168"/>
    <x v="125"/>
    <x v="390"/>
    <x v="3"/>
  </r>
  <r>
    <x v="0"/>
    <x v="42"/>
    <x v="42"/>
    <x v="11"/>
    <x v="11"/>
    <x v="11"/>
    <x v="7"/>
    <x v="196"/>
    <x v="275"/>
    <x v="51"/>
    <x v="327"/>
    <x v="127"/>
    <x v="359"/>
    <x v="3"/>
  </r>
  <r>
    <x v="0"/>
    <x v="42"/>
    <x v="42"/>
    <x v="13"/>
    <x v="13"/>
    <x v="13"/>
    <x v="8"/>
    <x v="197"/>
    <x v="434"/>
    <x v="97"/>
    <x v="209"/>
    <x v="127"/>
    <x v="359"/>
    <x v="3"/>
  </r>
  <r>
    <x v="0"/>
    <x v="42"/>
    <x v="42"/>
    <x v="14"/>
    <x v="14"/>
    <x v="14"/>
    <x v="8"/>
    <x v="197"/>
    <x v="434"/>
    <x v="97"/>
    <x v="209"/>
    <x v="125"/>
    <x v="390"/>
    <x v="3"/>
  </r>
  <r>
    <x v="0"/>
    <x v="42"/>
    <x v="42"/>
    <x v="23"/>
    <x v="23"/>
    <x v="23"/>
    <x v="10"/>
    <x v="198"/>
    <x v="435"/>
    <x v="36"/>
    <x v="329"/>
    <x v="127"/>
    <x v="359"/>
    <x v="3"/>
  </r>
  <r>
    <x v="0"/>
    <x v="42"/>
    <x v="42"/>
    <x v="33"/>
    <x v="33"/>
    <x v="33"/>
    <x v="10"/>
    <x v="198"/>
    <x v="435"/>
    <x v="51"/>
    <x v="327"/>
    <x v="128"/>
    <x v="207"/>
    <x v="3"/>
  </r>
  <r>
    <x v="0"/>
    <x v="42"/>
    <x v="42"/>
    <x v="7"/>
    <x v="7"/>
    <x v="7"/>
    <x v="10"/>
    <x v="198"/>
    <x v="435"/>
    <x v="97"/>
    <x v="209"/>
    <x v="128"/>
    <x v="207"/>
    <x v="0"/>
  </r>
  <r>
    <x v="0"/>
    <x v="42"/>
    <x v="42"/>
    <x v="8"/>
    <x v="8"/>
    <x v="8"/>
    <x v="10"/>
    <x v="198"/>
    <x v="435"/>
    <x v="51"/>
    <x v="327"/>
    <x v="128"/>
    <x v="207"/>
    <x v="3"/>
  </r>
  <r>
    <x v="0"/>
    <x v="42"/>
    <x v="42"/>
    <x v="10"/>
    <x v="10"/>
    <x v="10"/>
    <x v="10"/>
    <x v="198"/>
    <x v="435"/>
    <x v="51"/>
    <x v="327"/>
    <x v="128"/>
    <x v="207"/>
    <x v="3"/>
  </r>
  <r>
    <x v="0"/>
    <x v="42"/>
    <x v="42"/>
    <x v="15"/>
    <x v="15"/>
    <x v="15"/>
    <x v="10"/>
    <x v="198"/>
    <x v="435"/>
    <x v="82"/>
    <x v="86"/>
    <x v="83"/>
    <x v="388"/>
    <x v="3"/>
  </r>
  <r>
    <x v="0"/>
    <x v="42"/>
    <x v="42"/>
    <x v="22"/>
    <x v="22"/>
    <x v="22"/>
    <x v="10"/>
    <x v="198"/>
    <x v="435"/>
    <x v="51"/>
    <x v="327"/>
    <x v="128"/>
    <x v="207"/>
    <x v="3"/>
  </r>
  <r>
    <x v="0"/>
    <x v="42"/>
    <x v="42"/>
    <x v="48"/>
    <x v="48"/>
    <x v="48"/>
    <x v="17"/>
    <x v="200"/>
    <x v="436"/>
    <x v="82"/>
    <x v="86"/>
    <x v="127"/>
    <x v="359"/>
    <x v="3"/>
  </r>
  <r>
    <x v="0"/>
    <x v="42"/>
    <x v="42"/>
    <x v="34"/>
    <x v="34"/>
    <x v="34"/>
    <x v="17"/>
    <x v="200"/>
    <x v="436"/>
    <x v="97"/>
    <x v="209"/>
    <x v="128"/>
    <x v="207"/>
    <x v="3"/>
  </r>
  <r>
    <x v="0"/>
    <x v="42"/>
    <x v="42"/>
    <x v="12"/>
    <x v="12"/>
    <x v="12"/>
    <x v="17"/>
    <x v="200"/>
    <x v="436"/>
    <x v="97"/>
    <x v="209"/>
    <x v="128"/>
    <x v="207"/>
    <x v="3"/>
  </r>
  <r>
    <x v="0"/>
    <x v="42"/>
    <x v="42"/>
    <x v="30"/>
    <x v="30"/>
    <x v="30"/>
    <x v="17"/>
    <x v="200"/>
    <x v="436"/>
    <x v="82"/>
    <x v="86"/>
    <x v="125"/>
    <x v="390"/>
    <x v="3"/>
  </r>
  <r>
    <x v="0"/>
    <x v="42"/>
    <x v="42"/>
    <x v="18"/>
    <x v="18"/>
    <x v="18"/>
    <x v="17"/>
    <x v="200"/>
    <x v="436"/>
    <x v="97"/>
    <x v="209"/>
    <x v="128"/>
    <x v="207"/>
    <x v="3"/>
  </r>
  <r>
    <x v="0"/>
    <x v="43"/>
    <x v="43"/>
    <x v="0"/>
    <x v="0"/>
    <x v="0"/>
    <x v="0"/>
    <x v="137"/>
    <x v="437"/>
    <x v="145"/>
    <x v="343"/>
    <x v="110"/>
    <x v="391"/>
    <x v="3"/>
  </r>
  <r>
    <x v="0"/>
    <x v="43"/>
    <x v="43"/>
    <x v="3"/>
    <x v="3"/>
    <x v="3"/>
    <x v="1"/>
    <x v="167"/>
    <x v="160"/>
    <x v="37"/>
    <x v="446"/>
    <x v="82"/>
    <x v="392"/>
    <x v="3"/>
  </r>
  <r>
    <x v="0"/>
    <x v="43"/>
    <x v="43"/>
    <x v="6"/>
    <x v="6"/>
    <x v="6"/>
    <x v="2"/>
    <x v="173"/>
    <x v="22"/>
    <x v="53"/>
    <x v="447"/>
    <x v="110"/>
    <x v="391"/>
    <x v="3"/>
  </r>
  <r>
    <x v="0"/>
    <x v="43"/>
    <x v="43"/>
    <x v="4"/>
    <x v="4"/>
    <x v="4"/>
    <x v="3"/>
    <x v="152"/>
    <x v="281"/>
    <x v="37"/>
    <x v="446"/>
    <x v="93"/>
    <x v="393"/>
    <x v="3"/>
  </r>
  <r>
    <x v="0"/>
    <x v="43"/>
    <x v="43"/>
    <x v="5"/>
    <x v="5"/>
    <x v="5"/>
    <x v="4"/>
    <x v="129"/>
    <x v="302"/>
    <x v="116"/>
    <x v="448"/>
    <x v="108"/>
    <x v="394"/>
    <x v="3"/>
  </r>
  <r>
    <x v="0"/>
    <x v="43"/>
    <x v="43"/>
    <x v="1"/>
    <x v="1"/>
    <x v="1"/>
    <x v="4"/>
    <x v="129"/>
    <x v="302"/>
    <x v="54"/>
    <x v="449"/>
    <x v="125"/>
    <x v="395"/>
    <x v="3"/>
  </r>
  <r>
    <x v="0"/>
    <x v="43"/>
    <x v="43"/>
    <x v="10"/>
    <x v="10"/>
    <x v="10"/>
    <x v="6"/>
    <x v="154"/>
    <x v="438"/>
    <x v="35"/>
    <x v="450"/>
    <x v="127"/>
    <x v="396"/>
    <x v="3"/>
  </r>
  <r>
    <x v="0"/>
    <x v="43"/>
    <x v="43"/>
    <x v="8"/>
    <x v="8"/>
    <x v="8"/>
    <x v="7"/>
    <x v="199"/>
    <x v="439"/>
    <x v="70"/>
    <x v="451"/>
    <x v="83"/>
    <x v="31"/>
    <x v="3"/>
  </r>
  <r>
    <x v="0"/>
    <x v="43"/>
    <x v="43"/>
    <x v="12"/>
    <x v="12"/>
    <x v="12"/>
    <x v="8"/>
    <x v="202"/>
    <x v="140"/>
    <x v="81"/>
    <x v="452"/>
    <x v="83"/>
    <x v="31"/>
    <x v="3"/>
  </r>
  <r>
    <x v="0"/>
    <x v="43"/>
    <x v="43"/>
    <x v="9"/>
    <x v="9"/>
    <x v="9"/>
    <x v="9"/>
    <x v="195"/>
    <x v="391"/>
    <x v="81"/>
    <x v="452"/>
    <x v="127"/>
    <x v="396"/>
    <x v="3"/>
  </r>
  <r>
    <x v="0"/>
    <x v="43"/>
    <x v="43"/>
    <x v="7"/>
    <x v="7"/>
    <x v="7"/>
    <x v="9"/>
    <x v="195"/>
    <x v="391"/>
    <x v="81"/>
    <x v="452"/>
    <x v="127"/>
    <x v="396"/>
    <x v="3"/>
  </r>
  <r>
    <x v="0"/>
    <x v="43"/>
    <x v="43"/>
    <x v="26"/>
    <x v="26"/>
    <x v="26"/>
    <x v="11"/>
    <x v="196"/>
    <x v="233"/>
    <x v="36"/>
    <x v="380"/>
    <x v="111"/>
    <x v="397"/>
    <x v="3"/>
  </r>
  <r>
    <x v="0"/>
    <x v="43"/>
    <x v="43"/>
    <x v="11"/>
    <x v="11"/>
    <x v="11"/>
    <x v="11"/>
    <x v="196"/>
    <x v="233"/>
    <x v="81"/>
    <x v="452"/>
    <x v="125"/>
    <x v="395"/>
    <x v="3"/>
  </r>
  <r>
    <x v="0"/>
    <x v="43"/>
    <x v="43"/>
    <x v="33"/>
    <x v="33"/>
    <x v="33"/>
    <x v="11"/>
    <x v="196"/>
    <x v="233"/>
    <x v="70"/>
    <x v="451"/>
    <x v="128"/>
    <x v="207"/>
    <x v="3"/>
  </r>
  <r>
    <x v="0"/>
    <x v="43"/>
    <x v="43"/>
    <x v="56"/>
    <x v="56"/>
    <x v="56"/>
    <x v="14"/>
    <x v="197"/>
    <x v="112"/>
    <x v="97"/>
    <x v="377"/>
    <x v="127"/>
    <x v="396"/>
    <x v="3"/>
  </r>
  <r>
    <x v="0"/>
    <x v="43"/>
    <x v="43"/>
    <x v="55"/>
    <x v="55"/>
    <x v="55"/>
    <x v="14"/>
    <x v="197"/>
    <x v="112"/>
    <x v="51"/>
    <x v="453"/>
    <x v="125"/>
    <x v="395"/>
    <x v="3"/>
  </r>
  <r>
    <x v="0"/>
    <x v="43"/>
    <x v="43"/>
    <x v="16"/>
    <x v="16"/>
    <x v="16"/>
    <x v="14"/>
    <x v="197"/>
    <x v="112"/>
    <x v="97"/>
    <x v="377"/>
    <x v="127"/>
    <x v="396"/>
    <x v="3"/>
  </r>
  <r>
    <x v="0"/>
    <x v="43"/>
    <x v="43"/>
    <x v="13"/>
    <x v="13"/>
    <x v="13"/>
    <x v="14"/>
    <x v="197"/>
    <x v="112"/>
    <x v="97"/>
    <x v="377"/>
    <x v="127"/>
    <x v="396"/>
    <x v="3"/>
  </r>
  <r>
    <x v="0"/>
    <x v="43"/>
    <x v="43"/>
    <x v="2"/>
    <x v="2"/>
    <x v="2"/>
    <x v="14"/>
    <x v="197"/>
    <x v="112"/>
    <x v="36"/>
    <x v="380"/>
    <x v="83"/>
    <x v="31"/>
    <x v="3"/>
  </r>
  <r>
    <x v="0"/>
    <x v="43"/>
    <x v="43"/>
    <x v="31"/>
    <x v="31"/>
    <x v="31"/>
    <x v="14"/>
    <x v="197"/>
    <x v="112"/>
    <x v="97"/>
    <x v="377"/>
    <x v="127"/>
    <x v="396"/>
    <x v="3"/>
  </r>
  <r>
    <x v="0"/>
    <x v="44"/>
    <x v="44"/>
    <x v="0"/>
    <x v="0"/>
    <x v="0"/>
    <x v="0"/>
    <x v="199"/>
    <x v="440"/>
    <x v="80"/>
    <x v="454"/>
    <x v="128"/>
    <x v="207"/>
    <x v="3"/>
  </r>
  <r>
    <x v="0"/>
    <x v="44"/>
    <x v="44"/>
    <x v="4"/>
    <x v="4"/>
    <x v="4"/>
    <x v="1"/>
    <x v="197"/>
    <x v="441"/>
    <x v="97"/>
    <x v="455"/>
    <x v="127"/>
    <x v="398"/>
    <x v="3"/>
  </r>
  <r>
    <x v="0"/>
    <x v="44"/>
    <x v="44"/>
    <x v="3"/>
    <x v="3"/>
    <x v="3"/>
    <x v="2"/>
    <x v="198"/>
    <x v="442"/>
    <x v="82"/>
    <x v="86"/>
    <x v="83"/>
    <x v="399"/>
    <x v="3"/>
  </r>
  <r>
    <x v="0"/>
    <x v="44"/>
    <x v="44"/>
    <x v="6"/>
    <x v="6"/>
    <x v="6"/>
    <x v="2"/>
    <x v="198"/>
    <x v="442"/>
    <x v="51"/>
    <x v="313"/>
    <x v="128"/>
    <x v="207"/>
    <x v="3"/>
  </r>
  <r>
    <x v="0"/>
    <x v="44"/>
    <x v="44"/>
    <x v="31"/>
    <x v="31"/>
    <x v="31"/>
    <x v="2"/>
    <x v="198"/>
    <x v="442"/>
    <x v="36"/>
    <x v="456"/>
    <x v="127"/>
    <x v="398"/>
    <x v="3"/>
  </r>
  <r>
    <x v="0"/>
    <x v="44"/>
    <x v="44"/>
    <x v="7"/>
    <x v="7"/>
    <x v="7"/>
    <x v="5"/>
    <x v="200"/>
    <x v="443"/>
    <x v="82"/>
    <x v="86"/>
    <x v="127"/>
    <x v="398"/>
    <x v="3"/>
  </r>
  <r>
    <x v="0"/>
    <x v="44"/>
    <x v="44"/>
    <x v="15"/>
    <x v="15"/>
    <x v="15"/>
    <x v="5"/>
    <x v="200"/>
    <x v="443"/>
    <x v="82"/>
    <x v="86"/>
    <x v="125"/>
    <x v="400"/>
    <x v="3"/>
  </r>
  <r>
    <x v="0"/>
    <x v="44"/>
    <x v="44"/>
    <x v="5"/>
    <x v="5"/>
    <x v="5"/>
    <x v="7"/>
    <x v="201"/>
    <x v="444"/>
    <x v="36"/>
    <x v="456"/>
    <x v="128"/>
    <x v="207"/>
    <x v="3"/>
  </r>
  <r>
    <x v="0"/>
    <x v="44"/>
    <x v="44"/>
    <x v="37"/>
    <x v="37"/>
    <x v="37"/>
    <x v="7"/>
    <x v="201"/>
    <x v="444"/>
    <x v="82"/>
    <x v="86"/>
    <x v="128"/>
    <x v="207"/>
    <x v="3"/>
  </r>
  <r>
    <x v="0"/>
    <x v="44"/>
    <x v="44"/>
    <x v="1"/>
    <x v="1"/>
    <x v="1"/>
    <x v="7"/>
    <x v="201"/>
    <x v="444"/>
    <x v="36"/>
    <x v="456"/>
    <x v="128"/>
    <x v="207"/>
    <x v="3"/>
  </r>
  <r>
    <x v="0"/>
    <x v="44"/>
    <x v="44"/>
    <x v="10"/>
    <x v="10"/>
    <x v="10"/>
    <x v="7"/>
    <x v="201"/>
    <x v="444"/>
    <x v="36"/>
    <x v="456"/>
    <x v="128"/>
    <x v="207"/>
    <x v="3"/>
  </r>
  <r>
    <x v="0"/>
    <x v="44"/>
    <x v="44"/>
    <x v="62"/>
    <x v="62"/>
    <x v="62"/>
    <x v="7"/>
    <x v="201"/>
    <x v="444"/>
    <x v="82"/>
    <x v="86"/>
    <x v="125"/>
    <x v="400"/>
    <x v="3"/>
  </r>
  <r>
    <x v="0"/>
    <x v="44"/>
    <x v="44"/>
    <x v="18"/>
    <x v="18"/>
    <x v="18"/>
    <x v="7"/>
    <x v="201"/>
    <x v="444"/>
    <x v="36"/>
    <x v="456"/>
    <x v="128"/>
    <x v="207"/>
    <x v="3"/>
  </r>
  <r>
    <x v="0"/>
    <x v="45"/>
    <x v="45"/>
    <x v="4"/>
    <x v="4"/>
    <x v="4"/>
    <x v="0"/>
    <x v="197"/>
    <x v="445"/>
    <x v="51"/>
    <x v="457"/>
    <x v="125"/>
    <x v="400"/>
    <x v="3"/>
  </r>
  <r>
    <x v="0"/>
    <x v="45"/>
    <x v="45"/>
    <x v="0"/>
    <x v="0"/>
    <x v="0"/>
    <x v="0"/>
    <x v="197"/>
    <x v="445"/>
    <x v="81"/>
    <x v="458"/>
    <x v="128"/>
    <x v="207"/>
    <x v="3"/>
  </r>
  <r>
    <x v="0"/>
    <x v="45"/>
    <x v="45"/>
    <x v="3"/>
    <x v="3"/>
    <x v="3"/>
    <x v="2"/>
    <x v="198"/>
    <x v="446"/>
    <x v="36"/>
    <x v="459"/>
    <x v="127"/>
    <x v="398"/>
    <x v="3"/>
  </r>
  <r>
    <x v="0"/>
    <x v="45"/>
    <x v="45"/>
    <x v="6"/>
    <x v="6"/>
    <x v="6"/>
    <x v="2"/>
    <x v="198"/>
    <x v="446"/>
    <x v="51"/>
    <x v="457"/>
    <x v="128"/>
    <x v="207"/>
    <x v="3"/>
  </r>
  <r>
    <x v="0"/>
    <x v="45"/>
    <x v="45"/>
    <x v="11"/>
    <x v="11"/>
    <x v="11"/>
    <x v="2"/>
    <x v="198"/>
    <x v="446"/>
    <x v="97"/>
    <x v="460"/>
    <x v="125"/>
    <x v="400"/>
    <x v="3"/>
  </r>
  <r>
    <x v="0"/>
    <x v="45"/>
    <x v="45"/>
    <x v="1"/>
    <x v="1"/>
    <x v="1"/>
    <x v="2"/>
    <x v="198"/>
    <x v="446"/>
    <x v="51"/>
    <x v="457"/>
    <x v="128"/>
    <x v="207"/>
    <x v="3"/>
  </r>
  <r>
    <x v="0"/>
    <x v="45"/>
    <x v="45"/>
    <x v="15"/>
    <x v="15"/>
    <x v="15"/>
    <x v="2"/>
    <x v="198"/>
    <x v="446"/>
    <x v="82"/>
    <x v="86"/>
    <x v="83"/>
    <x v="399"/>
    <x v="3"/>
  </r>
  <r>
    <x v="0"/>
    <x v="45"/>
    <x v="45"/>
    <x v="5"/>
    <x v="5"/>
    <x v="5"/>
    <x v="7"/>
    <x v="200"/>
    <x v="447"/>
    <x v="97"/>
    <x v="460"/>
    <x v="128"/>
    <x v="207"/>
    <x v="3"/>
  </r>
  <r>
    <x v="0"/>
    <x v="45"/>
    <x v="45"/>
    <x v="26"/>
    <x v="26"/>
    <x v="26"/>
    <x v="7"/>
    <x v="200"/>
    <x v="447"/>
    <x v="82"/>
    <x v="86"/>
    <x v="127"/>
    <x v="398"/>
    <x v="3"/>
  </r>
  <r>
    <x v="0"/>
    <x v="45"/>
    <x v="45"/>
    <x v="42"/>
    <x v="42"/>
    <x v="42"/>
    <x v="9"/>
    <x v="201"/>
    <x v="48"/>
    <x v="82"/>
    <x v="86"/>
    <x v="128"/>
    <x v="207"/>
    <x v="0"/>
  </r>
  <r>
    <x v="0"/>
    <x v="45"/>
    <x v="45"/>
    <x v="58"/>
    <x v="58"/>
    <x v="58"/>
    <x v="9"/>
    <x v="201"/>
    <x v="48"/>
    <x v="82"/>
    <x v="86"/>
    <x v="125"/>
    <x v="400"/>
    <x v="3"/>
  </r>
  <r>
    <x v="0"/>
    <x v="45"/>
    <x v="45"/>
    <x v="24"/>
    <x v="24"/>
    <x v="24"/>
    <x v="9"/>
    <x v="201"/>
    <x v="48"/>
    <x v="36"/>
    <x v="459"/>
    <x v="128"/>
    <x v="207"/>
    <x v="3"/>
  </r>
  <r>
    <x v="0"/>
    <x v="45"/>
    <x v="45"/>
    <x v="2"/>
    <x v="2"/>
    <x v="2"/>
    <x v="9"/>
    <x v="201"/>
    <x v="48"/>
    <x v="36"/>
    <x v="459"/>
    <x v="128"/>
    <x v="207"/>
    <x v="3"/>
  </r>
  <r>
    <x v="0"/>
    <x v="45"/>
    <x v="45"/>
    <x v="63"/>
    <x v="63"/>
    <x v="63"/>
    <x v="9"/>
    <x v="201"/>
    <x v="48"/>
    <x v="36"/>
    <x v="459"/>
    <x v="128"/>
    <x v="207"/>
    <x v="3"/>
  </r>
  <r>
    <x v="0"/>
    <x v="45"/>
    <x v="45"/>
    <x v="8"/>
    <x v="8"/>
    <x v="8"/>
    <x v="9"/>
    <x v="201"/>
    <x v="48"/>
    <x v="82"/>
    <x v="86"/>
    <x v="125"/>
    <x v="400"/>
    <x v="3"/>
  </r>
  <r>
    <x v="0"/>
    <x v="45"/>
    <x v="45"/>
    <x v="10"/>
    <x v="10"/>
    <x v="10"/>
    <x v="9"/>
    <x v="201"/>
    <x v="48"/>
    <x v="36"/>
    <x v="459"/>
    <x v="128"/>
    <x v="207"/>
    <x v="3"/>
  </r>
  <r>
    <x v="0"/>
    <x v="45"/>
    <x v="45"/>
    <x v="18"/>
    <x v="18"/>
    <x v="18"/>
    <x v="9"/>
    <x v="201"/>
    <x v="48"/>
    <x v="36"/>
    <x v="459"/>
    <x v="128"/>
    <x v="207"/>
    <x v="3"/>
  </r>
  <r>
    <x v="0"/>
    <x v="46"/>
    <x v="46"/>
    <x v="3"/>
    <x v="3"/>
    <x v="3"/>
    <x v="0"/>
    <x v="129"/>
    <x v="448"/>
    <x v="35"/>
    <x v="461"/>
    <x v="110"/>
    <x v="401"/>
    <x v="3"/>
  </r>
  <r>
    <x v="0"/>
    <x v="46"/>
    <x v="46"/>
    <x v="4"/>
    <x v="4"/>
    <x v="4"/>
    <x v="1"/>
    <x v="155"/>
    <x v="449"/>
    <x v="15"/>
    <x v="462"/>
    <x v="83"/>
    <x v="281"/>
    <x v="3"/>
  </r>
  <r>
    <x v="0"/>
    <x v="46"/>
    <x v="46"/>
    <x v="5"/>
    <x v="5"/>
    <x v="5"/>
    <x v="2"/>
    <x v="165"/>
    <x v="450"/>
    <x v="15"/>
    <x v="462"/>
    <x v="125"/>
    <x v="69"/>
    <x v="3"/>
  </r>
  <r>
    <x v="0"/>
    <x v="46"/>
    <x v="46"/>
    <x v="11"/>
    <x v="11"/>
    <x v="11"/>
    <x v="3"/>
    <x v="202"/>
    <x v="59"/>
    <x v="50"/>
    <x v="463"/>
    <x v="125"/>
    <x v="69"/>
    <x v="3"/>
  </r>
  <r>
    <x v="0"/>
    <x v="46"/>
    <x v="46"/>
    <x v="1"/>
    <x v="1"/>
    <x v="1"/>
    <x v="3"/>
    <x v="202"/>
    <x v="59"/>
    <x v="50"/>
    <x v="463"/>
    <x v="128"/>
    <x v="207"/>
    <x v="3"/>
  </r>
  <r>
    <x v="0"/>
    <x v="46"/>
    <x v="46"/>
    <x v="0"/>
    <x v="0"/>
    <x v="0"/>
    <x v="5"/>
    <x v="195"/>
    <x v="451"/>
    <x v="70"/>
    <x v="464"/>
    <x v="125"/>
    <x v="69"/>
    <x v="3"/>
  </r>
  <r>
    <x v="0"/>
    <x v="46"/>
    <x v="46"/>
    <x v="6"/>
    <x v="6"/>
    <x v="6"/>
    <x v="6"/>
    <x v="196"/>
    <x v="452"/>
    <x v="51"/>
    <x v="465"/>
    <x v="127"/>
    <x v="284"/>
    <x v="3"/>
  </r>
  <r>
    <x v="0"/>
    <x v="46"/>
    <x v="46"/>
    <x v="8"/>
    <x v="8"/>
    <x v="8"/>
    <x v="7"/>
    <x v="197"/>
    <x v="453"/>
    <x v="97"/>
    <x v="466"/>
    <x v="125"/>
    <x v="69"/>
    <x v="3"/>
  </r>
  <r>
    <x v="0"/>
    <x v="46"/>
    <x v="46"/>
    <x v="10"/>
    <x v="10"/>
    <x v="10"/>
    <x v="7"/>
    <x v="197"/>
    <x v="453"/>
    <x v="81"/>
    <x v="467"/>
    <x v="128"/>
    <x v="207"/>
    <x v="3"/>
  </r>
  <r>
    <x v="0"/>
    <x v="46"/>
    <x v="46"/>
    <x v="9"/>
    <x v="9"/>
    <x v="9"/>
    <x v="9"/>
    <x v="198"/>
    <x v="155"/>
    <x v="36"/>
    <x v="468"/>
    <x v="127"/>
    <x v="284"/>
    <x v="3"/>
  </r>
  <r>
    <x v="0"/>
    <x v="46"/>
    <x v="46"/>
    <x v="44"/>
    <x v="44"/>
    <x v="44"/>
    <x v="9"/>
    <x v="198"/>
    <x v="155"/>
    <x v="97"/>
    <x v="466"/>
    <x v="125"/>
    <x v="69"/>
    <x v="3"/>
  </r>
  <r>
    <x v="0"/>
    <x v="46"/>
    <x v="46"/>
    <x v="20"/>
    <x v="20"/>
    <x v="20"/>
    <x v="9"/>
    <x v="198"/>
    <x v="155"/>
    <x v="97"/>
    <x v="466"/>
    <x v="125"/>
    <x v="69"/>
    <x v="3"/>
  </r>
  <r>
    <x v="0"/>
    <x v="46"/>
    <x v="46"/>
    <x v="12"/>
    <x v="12"/>
    <x v="12"/>
    <x v="9"/>
    <x v="198"/>
    <x v="155"/>
    <x v="97"/>
    <x v="466"/>
    <x v="125"/>
    <x v="69"/>
    <x v="3"/>
  </r>
  <r>
    <x v="0"/>
    <x v="46"/>
    <x v="46"/>
    <x v="29"/>
    <x v="29"/>
    <x v="29"/>
    <x v="13"/>
    <x v="200"/>
    <x v="250"/>
    <x v="97"/>
    <x v="466"/>
    <x v="128"/>
    <x v="207"/>
    <x v="3"/>
  </r>
  <r>
    <x v="0"/>
    <x v="46"/>
    <x v="46"/>
    <x v="18"/>
    <x v="18"/>
    <x v="18"/>
    <x v="13"/>
    <x v="200"/>
    <x v="250"/>
    <x v="36"/>
    <x v="468"/>
    <x v="125"/>
    <x v="69"/>
    <x v="3"/>
  </r>
  <r>
    <x v="0"/>
    <x v="46"/>
    <x v="46"/>
    <x v="48"/>
    <x v="48"/>
    <x v="48"/>
    <x v="15"/>
    <x v="201"/>
    <x v="454"/>
    <x v="82"/>
    <x v="86"/>
    <x v="125"/>
    <x v="69"/>
    <x v="3"/>
  </r>
  <r>
    <x v="0"/>
    <x v="46"/>
    <x v="46"/>
    <x v="26"/>
    <x v="26"/>
    <x v="26"/>
    <x v="15"/>
    <x v="201"/>
    <x v="454"/>
    <x v="82"/>
    <x v="86"/>
    <x v="125"/>
    <x v="69"/>
    <x v="3"/>
  </r>
  <r>
    <x v="0"/>
    <x v="46"/>
    <x v="46"/>
    <x v="42"/>
    <x v="42"/>
    <x v="42"/>
    <x v="15"/>
    <x v="201"/>
    <x v="454"/>
    <x v="82"/>
    <x v="86"/>
    <x v="125"/>
    <x v="69"/>
    <x v="3"/>
  </r>
  <r>
    <x v="0"/>
    <x v="46"/>
    <x v="46"/>
    <x v="55"/>
    <x v="55"/>
    <x v="55"/>
    <x v="15"/>
    <x v="201"/>
    <x v="454"/>
    <x v="82"/>
    <x v="86"/>
    <x v="125"/>
    <x v="69"/>
    <x v="3"/>
  </r>
  <r>
    <x v="0"/>
    <x v="46"/>
    <x v="46"/>
    <x v="58"/>
    <x v="58"/>
    <x v="58"/>
    <x v="15"/>
    <x v="201"/>
    <x v="454"/>
    <x v="36"/>
    <x v="468"/>
    <x v="128"/>
    <x v="207"/>
    <x v="3"/>
  </r>
  <r>
    <x v="0"/>
    <x v="46"/>
    <x v="46"/>
    <x v="64"/>
    <x v="64"/>
    <x v="64"/>
    <x v="15"/>
    <x v="201"/>
    <x v="454"/>
    <x v="36"/>
    <x v="468"/>
    <x v="128"/>
    <x v="207"/>
    <x v="3"/>
  </r>
  <r>
    <x v="0"/>
    <x v="46"/>
    <x v="46"/>
    <x v="38"/>
    <x v="38"/>
    <x v="38"/>
    <x v="15"/>
    <x v="201"/>
    <x v="454"/>
    <x v="36"/>
    <x v="468"/>
    <x v="128"/>
    <x v="207"/>
    <x v="3"/>
  </r>
  <r>
    <x v="0"/>
    <x v="46"/>
    <x v="46"/>
    <x v="45"/>
    <x v="45"/>
    <x v="45"/>
    <x v="15"/>
    <x v="201"/>
    <x v="454"/>
    <x v="36"/>
    <x v="468"/>
    <x v="128"/>
    <x v="207"/>
    <x v="3"/>
  </r>
  <r>
    <x v="0"/>
    <x v="46"/>
    <x v="46"/>
    <x v="65"/>
    <x v="65"/>
    <x v="65"/>
    <x v="15"/>
    <x v="201"/>
    <x v="454"/>
    <x v="36"/>
    <x v="468"/>
    <x v="128"/>
    <x v="207"/>
    <x v="3"/>
  </r>
  <r>
    <x v="0"/>
    <x v="46"/>
    <x v="46"/>
    <x v="13"/>
    <x v="13"/>
    <x v="13"/>
    <x v="15"/>
    <x v="201"/>
    <x v="454"/>
    <x v="36"/>
    <x v="468"/>
    <x v="128"/>
    <x v="207"/>
    <x v="3"/>
  </r>
  <r>
    <x v="0"/>
    <x v="46"/>
    <x v="46"/>
    <x v="52"/>
    <x v="52"/>
    <x v="52"/>
    <x v="15"/>
    <x v="201"/>
    <x v="454"/>
    <x v="36"/>
    <x v="468"/>
    <x v="128"/>
    <x v="207"/>
    <x v="3"/>
  </r>
  <r>
    <x v="0"/>
    <x v="46"/>
    <x v="46"/>
    <x v="14"/>
    <x v="14"/>
    <x v="14"/>
    <x v="15"/>
    <x v="201"/>
    <x v="454"/>
    <x v="82"/>
    <x v="86"/>
    <x v="125"/>
    <x v="69"/>
    <x v="3"/>
  </r>
  <r>
    <x v="0"/>
    <x v="46"/>
    <x v="46"/>
    <x v="7"/>
    <x v="7"/>
    <x v="7"/>
    <x v="15"/>
    <x v="201"/>
    <x v="454"/>
    <x v="36"/>
    <x v="468"/>
    <x v="128"/>
    <x v="207"/>
    <x v="3"/>
  </r>
  <r>
    <x v="0"/>
    <x v="46"/>
    <x v="46"/>
    <x v="28"/>
    <x v="28"/>
    <x v="28"/>
    <x v="15"/>
    <x v="201"/>
    <x v="454"/>
    <x v="82"/>
    <x v="86"/>
    <x v="128"/>
    <x v="207"/>
    <x v="3"/>
  </r>
  <r>
    <x v="0"/>
    <x v="46"/>
    <x v="46"/>
    <x v="30"/>
    <x v="30"/>
    <x v="30"/>
    <x v="15"/>
    <x v="201"/>
    <x v="454"/>
    <x v="36"/>
    <x v="468"/>
    <x v="128"/>
    <x v="207"/>
    <x v="3"/>
  </r>
  <r>
    <x v="0"/>
    <x v="46"/>
    <x v="46"/>
    <x v="31"/>
    <x v="31"/>
    <x v="31"/>
    <x v="15"/>
    <x v="201"/>
    <x v="454"/>
    <x v="82"/>
    <x v="86"/>
    <x v="128"/>
    <x v="207"/>
    <x v="3"/>
  </r>
  <r>
    <x v="0"/>
    <x v="46"/>
    <x v="46"/>
    <x v="15"/>
    <x v="15"/>
    <x v="15"/>
    <x v="15"/>
    <x v="201"/>
    <x v="454"/>
    <x v="82"/>
    <x v="86"/>
    <x v="128"/>
    <x v="207"/>
    <x v="3"/>
  </r>
  <r>
    <x v="0"/>
    <x v="47"/>
    <x v="47"/>
    <x v="6"/>
    <x v="6"/>
    <x v="6"/>
    <x v="0"/>
    <x v="197"/>
    <x v="455"/>
    <x v="81"/>
    <x v="469"/>
    <x v="128"/>
    <x v="207"/>
    <x v="3"/>
  </r>
  <r>
    <x v="0"/>
    <x v="47"/>
    <x v="47"/>
    <x v="4"/>
    <x v="4"/>
    <x v="4"/>
    <x v="1"/>
    <x v="198"/>
    <x v="159"/>
    <x v="97"/>
    <x v="315"/>
    <x v="128"/>
    <x v="207"/>
    <x v="0"/>
  </r>
  <r>
    <x v="0"/>
    <x v="47"/>
    <x v="47"/>
    <x v="7"/>
    <x v="7"/>
    <x v="7"/>
    <x v="1"/>
    <x v="198"/>
    <x v="159"/>
    <x v="97"/>
    <x v="315"/>
    <x v="128"/>
    <x v="207"/>
    <x v="3"/>
  </r>
  <r>
    <x v="0"/>
    <x v="47"/>
    <x v="47"/>
    <x v="8"/>
    <x v="8"/>
    <x v="8"/>
    <x v="3"/>
    <x v="200"/>
    <x v="404"/>
    <x v="36"/>
    <x v="470"/>
    <x v="125"/>
    <x v="288"/>
    <x v="3"/>
  </r>
  <r>
    <x v="0"/>
    <x v="47"/>
    <x v="47"/>
    <x v="3"/>
    <x v="3"/>
    <x v="3"/>
    <x v="4"/>
    <x v="201"/>
    <x v="456"/>
    <x v="82"/>
    <x v="86"/>
    <x v="125"/>
    <x v="288"/>
    <x v="3"/>
  </r>
  <r>
    <x v="0"/>
    <x v="47"/>
    <x v="47"/>
    <x v="26"/>
    <x v="26"/>
    <x v="26"/>
    <x v="4"/>
    <x v="201"/>
    <x v="456"/>
    <x v="82"/>
    <x v="86"/>
    <x v="125"/>
    <x v="288"/>
    <x v="3"/>
  </r>
  <r>
    <x v="0"/>
    <x v="47"/>
    <x v="47"/>
    <x v="36"/>
    <x v="36"/>
    <x v="36"/>
    <x v="4"/>
    <x v="201"/>
    <x v="456"/>
    <x v="36"/>
    <x v="470"/>
    <x v="128"/>
    <x v="207"/>
    <x v="3"/>
  </r>
  <r>
    <x v="0"/>
    <x v="47"/>
    <x v="47"/>
    <x v="29"/>
    <x v="29"/>
    <x v="29"/>
    <x v="4"/>
    <x v="201"/>
    <x v="456"/>
    <x v="82"/>
    <x v="86"/>
    <x v="125"/>
    <x v="288"/>
    <x v="3"/>
  </r>
  <r>
    <x v="0"/>
    <x v="47"/>
    <x v="47"/>
    <x v="61"/>
    <x v="61"/>
    <x v="61"/>
    <x v="4"/>
    <x v="201"/>
    <x v="456"/>
    <x v="36"/>
    <x v="470"/>
    <x v="128"/>
    <x v="207"/>
    <x v="3"/>
  </r>
  <r>
    <x v="0"/>
    <x v="47"/>
    <x v="47"/>
    <x v="24"/>
    <x v="24"/>
    <x v="24"/>
    <x v="4"/>
    <x v="201"/>
    <x v="456"/>
    <x v="36"/>
    <x v="470"/>
    <x v="128"/>
    <x v="207"/>
    <x v="3"/>
  </r>
  <r>
    <x v="0"/>
    <x v="47"/>
    <x v="47"/>
    <x v="11"/>
    <x v="11"/>
    <x v="11"/>
    <x v="4"/>
    <x v="201"/>
    <x v="456"/>
    <x v="36"/>
    <x v="470"/>
    <x v="128"/>
    <x v="207"/>
    <x v="3"/>
  </r>
  <r>
    <x v="0"/>
    <x v="47"/>
    <x v="47"/>
    <x v="52"/>
    <x v="52"/>
    <x v="52"/>
    <x v="4"/>
    <x v="201"/>
    <x v="456"/>
    <x v="36"/>
    <x v="470"/>
    <x v="128"/>
    <x v="207"/>
    <x v="3"/>
  </r>
  <r>
    <x v="0"/>
    <x v="47"/>
    <x v="47"/>
    <x v="12"/>
    <x v="12"/>
    <x v="12"/>
    <x v="4"/>
    <x v="201"/>
    <x v="456"/>
    <x v="82"/>
    <x v="86"/>
    <x v="125"/>
    <x v="288"/>
    <x v="3"/>
  </r>
  <r>
    <x v="0"/>
    <x v="47"/>
    <x v="47"/>
    <x v="0"/>
    <x v="0"/>
    <x v="0"/>
    <x v="4"/>
    <x v="201"/>
    <x v="456"/>
    <x v="36"/>
    <x v="470"/>
    <x v="128"/>
    <x v="207"/>
    <x v="3"/>
  </r>
  <r>
    <x v="0"/>
    <x v="47"/>
    <x v="47"/>
    <x v="10"/>
    <x v="10"/>
    <x v="10"/>
    <x v="4"/>
    <x v="201"/>
    <x v="456"/>
    <x v="36"/>
    <x v="470"/>
    <x v="128"/>
    <x v="207"/>
    <x v="3"/>
  </r>
  <r>
    <x v="0"/>
    <x v="47"/>
    <x v="47"/>
    <x v="15"/>
    <x v="15"/>
    <x v="15"/>
    <x v="4"/>
    <x v="201"/>
    <x v="456"/>
    <x v="82"/>
    <x v="86"/>
    <x v="128"/>
    <x v="207"/>
    <x v="3"/>
  </r>
  <r>
    <x v="0"/>
    <x v="48"/>
    <x v="48"/>
    <x v="3"/>
    <x v="3"/>
    <x v="3"/>
    <x v="0"/>
    <x v="165"/>
    <x v="457"/>
    <x v="97"/>
    <x v="308"/>
    <x v="93"/>
    <x v="402"/>
    <x v="3"/>
  </r>
  <r>
    <x v="0"/>
    <x v="48"/>
    <x v="48"/>
    <x v="6"/>
    <x v="6"/>
    <x v="6"/>
    <x v="1"/>
    <x v="168"/>
    <x v="458"/>
    <x v="50"/>
    <x v="471"/>
    <x v="127"/>
    <x v="403"/>
    <x v="0"/>
  </r>
  <r>
    <x v="0"/>
    <x v="48"/>
    <x v="48"/>
    <x v="4"/>
    <x v="4"/>
    <x v="4"/>
    <x v="2"/>
    <x v="202"/>
    <x v="159"/>
    <x v="70"/>
    <x v="472"/>
    <x v="127"/>
    <x v="403"/>
    <x v="3"/>
  </r>
  <r>
    <x v="0"/>
    <x v="48"/>
    <x v="48"/>
    <x v="1"/>
    <x v="1"/>
    <x v="1"/>
    <x v="3"/>
    <x v="196"/>
    <x v="459"/>
    <x v="70"/>
    <x v="472"/>
    <x v="128"/>
    <x v="207"/>
    <x v="3"/>
  </r>
  <r>
    <x v="0"/>
    <x v="48"/>
    <x v="48"/>
    <x v="7"/>
    <x v="7"/>
    <x v="7"/>
    <x v="4"/>
    <x v="198"/>
    <x v="460"/>
    <x v="51"/>
    <x v="307"/>
    <x v="128"/>
    <x v="207"/>
    <x v="3"/>
  </r>
  <r>
    <x v="0"/>
    <x v="48"/>
    <x v="48"/>
    <x v="0"/>
    <x v="0"/>
    <x v="0"/>
    <x v="4"/>
    <x v="198"/>
    <x v="460"/>
    <x v="97"/>
    <x v="308"/>
    <x v="125"/>
    <x v="162"/>
    <x v="3"/>
  </r>
  <r>
    <x v="0"/>
    <x v="48"/>
    <x v="48"/>
    <x v="9"/>
    <x v="9"/>
    <x v="9"/>
    <x v="6"/>
    <x v="200"/>
    <x v="7"/>
    <x v="36"/>
    <x v="274"/>
    <x v="125"/>
    <x v="162"/>
    <x v="3"/>
  </r>
  <r>
    <x v="0"/>
    <x v="48"/>
    <x v="48"/>
    <x v="26"/>
    <x v="26"/>
    <x v="26"/>
    <x v="6"/>
    <x v="200"/>
    <x v="7"/>
    <x v="82"/>
    <x v="86"/>
    <x v="125"/>
    <x v="162"/>
    <x v="0"/>
  </r>
  <r>
    <x v="0"/>
    <x v="48"/>
    <x v="48"/>
    <x v="37"/>
    <x v="37"/>
    <x v="37"/>
    <x v="6"/>
    <x v="200"/>
    <x v="7"/>
    <x v="82"/>
    <x v="86"/>
    <x v="128"/>
    <x v="207"/>
    <x v="3"/>
  </r>
  <r>
    <x v="0"/>
    <x v="48"/>
    <x v="48"/>
    <x v="28"/>
    <x v="28"/>
    <x v="28"/>
    <x v="6"/>
    <x v="200"/>
    <x v="7"/>
    <x v="36"/>
    <x v="274"/>
    <x v="128"/>
    <x v="207"/>
    <x v="3"/>
  </r>
  <r>
    <x v="0"/>
    <x v="48"/>
    <x v="48"/>
    <x v="15"/>
    <x v="15"/>
    <x v="15"/>
    <x v="6"/>
    <x v="200"/>
    <x v="7"/>
    <x v="82"/>
    <x v="86"/>
    <x v="128"/>
    <x v="207"/>
    <x v="3"/>
  </r>
  <r>
    <x v="0"/>
    <x v="48"/>
    <x v="48"/>
    <x v="62"/>
    <x v="62"/>
    <x v="62"/>
    <x v="6"/>
    <x v="200"/>
    <x v="7"/>
    <x v="36"/>
    <x v="274"/>
    <x v="125"/>
    <x v="162"/>
    <x v="3"/>
  </r>
  <r>
    <x v="0"/>
    <x v="48"/>
    <x v="48"/>
    <x v="54"/>
    <x v="54"/>
    <x v="54"/>
    <x v="12"/>
    <x v="201"/>
    <x v="461"/>
    <x v="36"/>
    <x v="274"/>
    <x v="128"/>
    <x v="207"/>
    <x v="3"/>
  </r>
  <r>
    <x v="0"/>
    <x v="48"/>
    <x v="48"/>
    <x v="38"/>
    <x v="38"/>
    <x v="38"/>
    <x v="12"/>
    <x v="201"/>
    <x v="461"/>
    <x v="82"/>
    <x v="86"/>
    <x v="125"/>
    <x v="162"/>
    <x v="3"/>
  </r>
  <r>
    <x v="0"/>
    <x v="48"/>
    <x v="48"/>
    <x v="24"/>
    <x v="24"/>
    <x v="24"/>
    <x v="12"/>
    <x v="201"/>
    <x v="461"/>
    <x v="82"/>
    <x v="86"/>
    <x v="128"/>
    <x v="207"/>
    <x v="0"/>
  </r>
  <r>
    <x v="0"/>
    <x v="48"/>
    <x v="48"/>
    <x v="13"/>
    <x v="13"/>
    <x v="13"/>
    <x v="12"/>
    <x v="201"/>
    <x v="461"/>
    <x v="36"/>
    <x v="274"/>
    <x v="128"/>
    <x v="207"/>
    <x v="3"/>
  </r>
  <r>
    <x v="0"/>
    <x v="48"/>
    <x v="48"/>
    <x v="2"/>
    <x v="2"/>
    <x v="2"/>
    <x v="12"/>
    <x v="201"/>
    <x v="461"/>
    <x v="36"/>
    <x v="274"/>
    <x v="128"/>
    <x v="207"/>
    <x v="3"/>
  </r>
  <r>
    <x v="0"/>
    <x v="48"/>
    <x v="48"/>
    <x v="8"/>
    <x v="8"/>
    <x v="8"/>
    <x v="12"/>
    <x v="201"/>
    <x v="461"/>
    <x v="36"/>
    <x v="274"/>
    <x v="128"/>
    <x v="207"/>
    <x v="3"/>
  </r>
  <r>
    <x v="0"/>
    <x v="48"/>
    <x v="48"/>
    <x v="10"/>
    <x v="10"/>
    <x v="10"/>
    <x v="12"/>
    <x v="201"/>
    <x v="461"/>
    <x v="36"/>
    <x v="274"/>
    <x v="128"/>
    <x v="207"/>
    <x v="3"/>
  </r>
  <r>
    <x v="0"/>
    <x v="49"/>
    <x v="49"/>
    <x v="5"/>
    <x v="5"/>
    <x v="5"/>
    <x v="0"/>
    <x v="199"/>
    <x v="462"/>
    <x v="110"/>
    <x v="473"/>
    <x v="125"/>
    <x v="162"/>
    <x v="3"/>
  </r>
  <r>
    <x v="0"/>
    <x v="49"/>
    <x v="49"/>
    <x v="4"/>
    <x v="4"/>
    <x v="4"/>
    <x v="1"/>
    <x v="202"/>
    <x v="288"/>
    <x v="70"/>
    <x v="474"/>
    <x v="127"/>
    <x v="403"/>
    <x v="3"/>
  </r>
  <r>
    <x v="0"/>
    <x v="49"/>
    <x v="49"/>
    <x v="6"/>
    <x v="6"/>
    <x v="6"/>
    <x v="2"/>
    <x v="195"/>
    <x v="463"/>
    <x v="51"/>
    <x v="311"/>
    <x v="83"/>
    <x v="404"/>
    <x v="3"/>
  </r>
  <r>
    <x v="0"/>
    <x v="49"/>
    <x v="49"/>
    <x v="0"/>
    <x v="0"/>
    <x v="0"/>
    <x v="2"/>
    <x v="195"/>
    <x v="463"/>
    <x v="81"/>
    <x v="58"/>
    <x v="127"/>
    <x v="403"/>
    <x v="3"/>
  </r>
  <r>
    <x v="0"/>
    <x v="49"/>
    <x v="49"/>
    <x v="3"/>
    <x v="3"/>
    <x v="3"/>
    <x v="4"/>
    <x v="197"/>
    <x v="290"/>
    <x v="97"/>
    <x v="312"/>
    <x v="127"/>
    <x v="403"/>
    <x v="3"/>
  </r>
  <r>
    <x v="0"/>
    <x v="49"/>
    <x v="49"/>
    <x v="9"/>
    <x v="9"/>
    <x v="9"/>
    <x v="4"/>
    <x v="197"/>
    <x v="290"/>
    <x v="81"/>
    <x v="58"/>
    <x v="128"/>
    <x v="207"/>
    <x v="3"/>
  </r>
  <r>
    <x v="0"/>
    <x v="49"/>
    <x v="49"/>
    <x v="11"/>
    <x v="11"/>
    <x v="11"/>
    <x v="6"/>
    <x v="198"/>
    <x v="464"/>
    <x v="97"/>
    <x v="312"/>
    <x v="125"/>
    <x v="162"/>
    <x v="3"/>
  </r>
  <r>
    <x v="0"/>
    <x v="49"/>
    <x v="49"/>
    <x v="1"/>
    <x v="1"/>
    <x v="1"/>
    <x v="6"/>
    <x v="198"/>
    <x v="464"/>
    <x v="51"/>
    <x v="311"/>
    <x v="128"/>
    <x v="207"/>
    <x v="3"/>
  </r>
  <r>
    <x v="0"/>
    <x v="49"/>
    <x v="49"/>
    <x v="26"/>
    <x v="26"/>
    <x v="26"/>
    <x v="8"/>
    <x v="200"/>
    <x v="292"/>
    <x v="82"/>
    <x v="86"/>
    <x v="127"/>
    <x v="403"/>
    <x v="3"/>
  </r>
  <r>
    <x v="0"/>
    <x v="49"/>
    <x v="49"/>
    <x v="13"/>
    <x v="13"/>
    <x v="13"/>
    <x v="8"/>
    <x v="200"/>
    <x v="292"/>
    <x v="97"/>
    <x v="312"/>
    <x v="128"/>
    <x v="207"/>
    <x v="3"/>
  </r>
  <r>
    <x v="0"/>
    <x v="49"/>
    <x v="49"/>
    <x v="10"/>
    <x v="10"/>
    <x v="10"/>
    <x v="8"/>
    <x v="200"/>
    <x v="292"/>
    <x v="97"/>
    <x v="312"/>
    <x v="128"/>
    <x v="207"/>
    <x v="3"/>
  </r>
  <r>
    <x v="0"/>
    <x v="49"/>
    <x v="49"/>
    <x v="48"/>
    <x v="48"/>
    <x v="48"/>
    <x v="11"/>
    <x v="201"/>
    <x v="85"/>
    <x v="82"/>
    <x v="86"/>
    <x v="125"/>
    <x v="162"/>
    <x v="3"/>
  </r>
  <r>
    <x v="0"/>
    <x v="49"/>
    <x v="49"/>
    <x v="42"/>
    <x v="42"/>
    <x v="42"/>
    <x v="11"/>
    <x v="201"/>
    <x v="85"/>
    <x v="82"/>
    <x v="86"/>
    <x v="125"/>
    <x v="162"/>
    <x v="3"/>
  </r>
  <r>
    <x v="0"/>
    <x v="49"/>
    <x v="49"/>
    <x v="35"/>
    <x v="35"/>
    <x v="35"/>
    <x v="11"/>
    <x v="201"/>
    <x v="85"/>
    <x v="82"/>
    <x v="86"/>
    <x v="125"/>
    <x v="162"/>
    <x v="3"/>
  </r>
  <r>
    <x v="0"/>
    <x v="49"/>
    <x v="49"/>
    <x v="38"/>
    <x v="38"/>
    <x v="38"/>
    <x v="11"/>
    <x v="201"/>
    <x v="85"/>
    <x v="82"/>
    <x v="86"/>
    <x v="125"/>
    <x v="162"/>
    <x v="3"/>
  </r>
  <r>
    <x v="0"/>
    <x v="49"/>
    <x v="49"/>
    <x v="23"/>
    <x v="23"/>
    <x v="23"/>
    <x v="11"/>
    <x v="201"/>
    <x v="85"/>
    <x v="36"/>
    <x v="45"/>
    <x v="128"/>
    <x v="207"/>
    <x v="3"/>
  </r>
  <r>
    <x v="0"/>
    <x v="49"/>
    <x v="49"/>
    <x v="28"/>
    <x v="28"/>
    <x v="28"/>
    <x v="11"/>
    <x v="201"/>
    <x v="85"/>
    <x v="36"/>
    <x v="45"/>
    <x v="128"/>
    <x v="207"/>
    <x v="3"/>
  </r>
  <r>
    <x v="0"/>
    <x v="49"/>
    <x v="49"/>
    <x v="30"/>
    <x v="30"/>
    <x v="30"/>
    <x v="11"/>
    <x v="201"/>
    <x v="85"/>
    <x v="36"/>
    <x v="45"/>
    <x v="128"/>
    <x v="207"/>
    <x v="3"/>
  </r>
  <r>
    <x v="0"/>
    <x v="49"/>
    <x v="49"/>
    <x v="8"/>
    <x v="8"/>
    <x v="8"/>
    <x v="11"/>
    <x v="201"/>
    <x v="85"/>
    <x v="36"/>
    <x v="45"/>
    <x v="128"/>
    <x v="207"/>
    <x v="3"/>
  </r>
  <r>
    <x v="0"/>
    <x v="49"/>
    <x v="49"/>
    <x v="15"/>
    <x v="15"/>
    <x v="15"/>
    <x v="11"/>
    <x v="201"/>
    <x v="85"/>
    <x v="82"/>
    <x v="86"/>
    <x v="128"/>
    <x v="207"/>
    <x v="3"/>
  </r>
  <r>
    <x v="0"/>
    <x v="49"/>
    <x v="49"/>
    <x v="62"/>
    <x v="62"/>
    <x v="62"/>
    <x v="11"/>
    <x v="201"/>
    <x v="85"/>
    <x v="82"/>
    <x v="86"/>
    <x v="128"/>
    <x v="207"/>
    <x v="3"/>
  </r>
  <r>
    <x v="0"/>
    <x v="50"/>
    <x v="50"/>
    <x v="5"/>
    <x v="5"/>
    <x v="5"/>
    <x v="0"/>
    <x v="138"/>
    <x v="465"/>
    <x v="76"/>
    <x v="475"/>
    <x v="110"/>
    <x v="405"/>
    <x v="3"/>
  </r>
  <r>
    <x v="0"/>
    <x v="50"/>
    <x v="50"/>
    <x v="3"/>
    <x v="3"/>
    <x v="3"/>
    <x v="1"/>
    <x v="140"/>
    <x v="466"/>
    <x v="110"/>
    <x v="456"/>
    <x v="86"/>
    <x v="406"/>
    <x v="3"/>
  </r>
  <r>
    <x v="0"/>
    <x v="50"/>
    <x v="50"/>
    <x v="1"/>
    <x v="1"/>
    <x v="1"/>
    <x v="2"/>
    <x v="153"/>
    <x v="467"/>
    <x v="116"/>
    <x v="476"/>
    <x v="125"/>
    <x v="85"/>
    <x v="3"/>
  </r>
  <r>
    <x v="0"/>
    <x v="50"/>
    <x v="50"/>
    <x v="6"/>
    <x v="6"/>
    <x v="6"/>
    <x v="3"/>
    <x v="154"/>
    <x v="282"/>
    <x v="80"/>
    <x v="477"/>
    <x v="108"/>
    <x v="400"/>
    <x v="3"/>
  </r>
  <r>
    <x v="0"/>
    <x v="50"/>
    <x v="50"/>
    <x v="0"/>
    <x v="0"/>
    <x v="0"/>
    <x v="4"/>
    <x v="156"/>
    <x v="24"/>
    <x v="55"/>
    <x v="478"/>
    <x v="125"/>
    <x v="85"/>
    <x v="3"/>
  </r>
  <r>
    <x v="0"/>
    <x v="50"/>
    <x v="50"/>
    <x v="4"/>
    <x v="4"/>
    <x v="4"/>
    <x v="5"/>
    <x v="168"/>
    <x v="284"/>
    <x v="110"/>
    <x v="456"/>
    <x v="127"/>
    <x v="258"/>
    <x v="3"/>
  </r>
  <r>
    <x v="0"/>
    <x v="50"/>
    <x v="50"/>
    <x v="9"/>
    <x v="9"/>
    <x v="9"/>
    <x v="6"/>
    <x v="199"/>
    <x v="6"/>
    <x v="81"/>
    <x v="440"/>
    <x v="111"/>
    <x v="407"/>
    <x v="3"/>
  </r>
  <r>
    <x v="0"/>
    <x v="50"/>
    <x v="50"/>
    <x v="10"/>
    <x v="10"/>
    <x v="10"/>
    <x v="6"/>
    <x v="199"/>
    <x v="6"/>
    <x v="110"/>
    <x v="456"/>
    <x v="125"/>
    <x v="85"/>
    <x v="3"/>
  </r>
  <r>
    <x v="0"/>
    <x v="50"/>
    <x v="50"/>
    <x v="11"/>
    <x v="11"/>
    <x v="11"/>
    <x v="8"/>
    <x v="202"/>
    <x v="44"/>
    <x v="110"/>
    <x v="456"/>
    <x v="128"/>
    <x v="207"/>
    <x v="3"/>
  </r>
  <r>
    <x v="0"/>
    <x v="50"/>
    <x v="50"/>
    <x v="15"/>
    <x v="15"/>
    <x v="15"/>
    <x v="8"/>
    <x v="202"/>
    <x v="44"/>
    <x v="82"/>
    <x v="86"/>
    <x v="109"/>
    <x v="408"/>
    <x v="3"/>
  </r>
  <r>
    <x v="0"/>
    <x v="50"/>
    <x v="50"/>
    <x v="2"/>
    <x v="2"/>
    <x v="2"/>
    <x v="10"/>
    <x v="196"/>
    <x v="219"/>
    <x v="70"/>
    <x v="479"/>
    <x v="128"/>
    <x v="207"/>
    <x v="3"/>
  </r>
  <r>
    <x v="0"/>
    <x v="50"/>
    <x v="50"/>
    <x v="8"/>
    <x v="8"/>
    <x v="8"/>
    <x v="10"/>
    <x v="196"/>
    <x v="219"/>
    <x v="51"/>
    <x v="480"/>
    <x v="128"/>
    <x v="207"/>
    <x v="0"/>
  </r>
  <r>
    <x v="0"/>
    <x v="50"/>
    <x v="50"/>
    <x v="42"/>
    <x v="42"/>
    <x v="42"/>
    <x v="12"/>
    <x v="197"/>
    <x v="286"/>
    <x v="82"/>
    <x v="86"/>
    <x v="111"/>
    <x v="407"/>
    <x v="3"/>
  </r>
  <r>
    <x v="0"/>
    <x v="50"/>
    <x v="50"/>
    <x v="12"/>
    <x v="12"/>
    <x v="12"/>
    <x v="12"/>
    <x v="197"/>
    <x v="286"/>
    <x v="81"/>
    <x v="440"/>
    <x v="128"/>
    <x v="207"/>
    <x v="3"/>
  </r>
  <r>
    <x v="0"/>
    <x v="50"/>
    <x v="50"/>
    <x v="26"/>
    <x v="26"/>
    <x v="26"/>
    <x v="14"/>
    <x v="198"/>
    <x v="221"/>
    <x v="36"/>
    <x v="19"/>
    <x v="127"/>
    <x v="258"/>
    <x v="3"/>
  </r>
  <r>
    <x v="0"/>
    <x v="50"/>
    <x v="50"/>
    <x v="36"/>
    <x v="36"/>
    <x v="36"/>
    <x v="14"/>
    <x v="198"/>
    <x v="221"/>
    <x v="36"/>
    <x v="19"/>
    <x v="127"/>
    <x v="258"/>
    <x v="3"/>
  </r>
  <r>
    <x v="0"/>
    <x v="50"/>
    <x v="50"/>
    <x v="33"/>
    <x v="33"/>
    <x v="33"/>
    <x v="14"/>
    <x v="198"/>
    <x v="221"/>
    <x v="51"/>
    <x v="480"/>
    <x v="128"/>
    <x v="207"/>
    <x v="3"/>
  </r>
  <r>
    <x v="0"/>
    <x v="50"/>
    <x v="50"/>
    <x v="14"/>
    <x v="14"/>
    <x v="14"/>
    <x v="14"/>
    <x v="198"/>
    <x v="221"/>
    <x v="36"/>
    <x v="19"/>
    <x v="127"/>
    <x v="258"/>
    <x v="3"/>
  </r>
  <r>
    <x v="0"/>
    <x v="50"/>
    <x v="50"/>
    <x v="29"/>
    <x v="29"/>
    <x v="29"/>
    <x v="18"/>
    <x v="200"/>
    <x v="98"/>
    <x v="97"/>
    <x v="101"/>
    <x v="128"/>
    <x v="207"/>
    <x v="3"/>
  </r>
  <r>
    <x v="0"/>
    <x v="50"/>
    <x v="50"/>
    <x v="43"/>
    <x v="43"/>
    <x v="43"/>
    <x v="18"/>
    <x v="200"/>
    <x v="98"/>
    <x v="36"/>
    <x v="19"/>
    <x v="125"/>
    <x v="85"/>
    <x v="3"/>
  </r>
  <r>
    <x v="0"/>
    <x v="50"/>
    <x v="50"/>
    <x v="51"/>
    <x v="51"/>
    <x v="51"/>
    <x v="18"/>
    <x v="200"/>
    <x v="98"/>
    <x v="97"/>
    <x v="101"/>
    <x v="128"/>
    <x v="207"/>
    <x v="3"/>
  </r>
  <r>
    <x v="0"/>
    <x v="50"/>
    <x v="50"/>
    <x v="34"/>
    <x v="34"/>
    <x v="34"/>
    <x v="18"/>
    <x v="200"/>
    <x v="98"/>
    <x v="97"/>
    <x v="101"/>
    <x v="128"/>
    <x v="207"/>
    <x v="3"/>
  </r>
  <r>
    <x v="0"/>
    <x v="50"/>
    <x v="50"/>
    <x v="17"/>
    <x v="17"/>
    <x v="17"/>
    <x v="18"/>
    <x v="200"/>
    <x v="98"/>
    <x v="97"/>
    <x v="101"/>
    <x v="128"/>
    <x v="207"/>
    <x v="3"/>
  </r>
  <r>
    <x v="0"/>
    <x v="50"/>
    <x v="50"/>
    <x v="13"/>
    <x v="13"/>
    <x v="13"/>
    <x v="18"/>
    <x v="200"/>
    <x v="98"/>
    <x v="97"/>
    <x v="101"/>
    <x v="128"/>
    <x v="207"/>
    <x v="3"/>
  </r>
  <r>
    <x v="0"/>
    <x v="50"/>
    <x v="50"/>
    <x v="28"/>
    <x v="28"/>
    <x v="28"/>
    <x v="18"/>
    <x v="200"/>
    <x v="98"/>
    <x v="36"/>
    <x v="19"/>
    <x v="125"/>
    <x v="85"/>
    <x v="3"/>
  </r>
  <r>
    <x v="0"/>
    <x v="50"/>
    <x v="50"/>
    <x v="22"/>
    <x v="22"/>
    <x v="22"/>
    <x v="18"/>
    <x v="200"/>
    <x v="98"/>
    <x v="82"/>
    <x v="86"/>
    <x v="127"/>
    <x v="258"/>
    <x v="3"/>
  </r>
  <r>
    <x v="0"/>
    <x v="51"/>
    <x v="51"/>
    <x v="3"/>
    <x v="3"/>
    <x v="3"/>
    <x v="0"/>
    <x v="152"/>
    <x v="468"/>
    <x v="55"/>
    <x v="481"/>
    <x v="112"/>
    <x v="288"/>
    <x v="3"/>
  </r>
  <r>
    <x v="0"/>
    <x v="51"/>
    <x v="51"/>
    <x v="5"/>
    <x v="5"/>
    <x v="5"/>
    <x v="1"/>
    <x v="139"/>
    <x v="159"/>
    <x v="37"/>
    <x v="482"/>
    <x v="108"/>
    <x v="409"/>
    <x v="3"/>
  </r>
  <r>
    <x v="0"/>
    <x v="51"/>
    <x v="51"/>
    <x v="0"/>
    <x v="0"/>
    <x v="0"/>
    <x v="2"/>
    <x v="156"/>
    <x v="469"/>
    <x v="35"/>
    <x v="483"/>
    <x v="128"/>
    <x v="207"/>
    <x v="3"/>
  </r>
  <r>
    <x v="0"/>
    <x v="51"/>
    <x v="51"/>
    <x v="1"/>
    <x v="1"/>
    <x v="1"/>
    <x v="3"/>
    <x v="165"/>
    <x v="470"/>
    <x v="15"/>
    <x v="484"/>
    <x v="125"/>
    <x v="361"/>
    <x v="3"/>
  </r>
  <r>
    <x v="0"/>
    <x v="51"/>
    <x v="51"/>
    <x v="4"/>
    <x v="4"/>
    <x v="4"/>
    <x v="4"/>
    <x v="168"/>
    <x v="471"/>
    <x v="50"/>
    <x v="300"/>
    <x v="83"/>
    <x v="410"/>
    <x v="3"/>
  </r>
  <r>
    <x v="0"/>
    <x v="51"/>
    <x v="51"/>
    <x v="10"/>
    <x v="10"/>
    <x v="10"/>
    <x v="5"/>
    <x v="202"/>
    <x v="472"/>
    <x v="110"/>
    <x v="485"/>
    <x v="128"/>
    <x v="207"/>
    <x v="3"/>
  </r>
  <r>
    <x v="0"/>
    <x v="51"/>
    <x v="51"/>
    <x v="8"/>
    <x v="8"/>
    <x v="8"/>
    <x v="6"/>
    <x v="195"/>
    <x v="473"/>
    <x v="70"/>
    <x v="486"/>
    <x v="128"/>
    <x v="207"/>
    <x v="3"/>
  </r>
  <r>
    <x v="0"/>
    <x v="51"/>
    <x v="51"/>
    <x v="12"/>
    <x v="12"/>
    <x v="12"/>
    <x v="7"/>
    <x v="196"/>
    <x v="263"/>
    <x v="81"/>
    <x v="299"/>
    <x v="125"/>
    <x v="361"/>
    <x v="3"/>
  </r>
  <r>
    <x v="0"/>
    <x v="51"/>
    <x v="51"/>
    <x v="16"/>
    <x v="16"/>
    <x v="16"/>
    <x v="8"/>
    <x v="197"/>
    <x v="248"/>
    <x v="82"/>
    <x v="86"/>
    <x v="111"/>
    <x v="283"/>
    <x v="3"/>
  </r>
  <r>
    <x v="0"/>
    <x v="51"/>
    <x v="51"/>
    <x v="2"/>
    <x v="2"/>
    <x v="2"/>
    <x v="8"/>
    <x v="197"/>
    <x v="248"/>
    <x v="36"/>
    <x v="29"/>
    <x v="83"/>
    <x v="410"/>
    <x v="3"/>
  </r>
  <r>
    <x v="0"/>
    <x v="51"/>
    <x v="51"/>
    <x v="14"/>
    <x v="14"/>
    <x v="14"/>
    <x v="8"/>
    <x v="197"/>
    <x v="248"/>
    <x v="97"/>
    <x v="304"/>
    <x v="125"/>
    <x v="361"/>
    <x v="3"/>
  </r>
  <r>
    <x v="0"/>
    <x v="51"/>
    <x v="51"/>
    <x v="9"/>
    <x v="9"/>
    <x v="9"/>
    <x v="11"/>
    <x v="198"/>
    <x v="232"/>
    <x v="97"/>
    <x v="304"/>
    <x v="125"/>
    <x v="361"/>
    <x v="3"/>
  </r>
  <r>
    <x v="0"/>
    <x v="51"/>
    <x v="51"/>
    <x v="26"/>
    <x v="26"/>
    <x v="26"/>
    <x v="11"/>
    <x v="198"/>
    <x v="232"/>
    <x v="82"/>
    <x v="86"/>
    <x v="83"/>
    <x v="410"/>
    <x v="3"/>
  </r>
  <r>
    <x v="0"/>
    <x v="51"/>
    <x v="51"/>
    <x v="19"/>
    <x v="19"/>
    <x v="19"/>
    <x v="11"/>
    <x v="198"/>
    <x v="232"/>
    <x v="36"/>
    <x v="29"/>
    <x v="127"/>
    <x v="411"/>
    <x v="3"/>
  </r>
  <r>
    <x v="0"/>
    <x v="51"/>
    <x v="51"/>
    <x v="23"/>
    <x v="23"/>
    <x v="23"/>
    <x v="11"/>
    <x v="198"/>
    <x v="232"/>
    <x v="82"/>
    <x v="86"/>
    <x v="83"/>
    <x v="410"/>
    <x v="3"/>
  </r>
  <r>
    <x v="0"/>
    <x v="51"/>
    <x v="51"/>
    <x v="13"/>
    <x v="13"/>
    <x v="13"/>
    <x v="11"/>
    <x v="198"/>
    <x v="232"/>
    <x v="51"/>
    <x v="487"/>
    <x v="128"/>
    <x v="207"/>
    <x v="3"/>
  </r>
  <r>
    <x v="0"/>
    <x v="51"/>
    <x v="51"/>
    <x v="6"/>
    <x v="6"/>
    <x v="6"/>
    <x v="11"/>
    <x v="198"/>
    <x v="232"/>
    <x v="36"/>
    <x v="29"/>
    <x v="127"/>
    <x v="411"/>
    <x v="3"/>
  </r>
  <r>
    <x v="0"/>
    <x v="51"/>
    <x v="51"/>
    <x v="15"/>
    <x v="15"/>
    <x v="15"/>
    <x v="11"/>
    <x v="198"/>
    <x v="232"/>
    <x v="82"/>
    <x v="86"/>
    <x v="125"/>
    <x v="361"/>
    <x v="3"/>
  </r>
  <r>
    <x v="0"/>
    <x v="51"/>
    <x v="51"/>
    <x v="55"/>
    <x v="55"/>
    <x v="55"/>
    <x v="18"/>
    <x v="200"/>
    <x v="474"/>
    <x v="82"/>
    <x v="86"/>
    <x v="127"/>
    <x v="411"/>
    <x v="3"/>
  </r>
  <r>
    <x v="0"/>
    <x v="51"/>
    <x v="51"/>
    <x v="57"/>
    <x v="57"/>
    <x v="57"/>
    <x v="18"/>
    <x v="200"/>
    <x v="474"/>
    <x v="36"/>
    <x v="29"/>
    <x v="125"/>
    <x v="361"/>
    <x v="3"/>
  </r>
  <r>
    <x v="0"/>
    <x v="51"/>
    <x v="51"/>
    <x v="53"/>
    <x v="53"/>
    <x v="53"/>
    <x v="18"/>
    <x v="200"/>
    <x v="474"/>
    <x v="36"/>
    <x v="29"/>
    <x v="125"/>
    <x v="361"/>
    <x v="3"/>
  </r>
  <r>
    <x v="0"/>
    <x v="51"/>
    <x v="51"/>
    <x v="24"/>
    <x v="24"/>
    <x v="24"/>
    <x v="18"/>
    <x v="200"/>
    <x v="474"/>
    <x v="82"/>
    <x v="86"/>
    <x v="127"/>
    <x v="411"/>
    <x v="3"/>
  </r>
  <r>
    <x v="0"/>
    <x v="51"/>
    <x v="51"/>
    <x v="7"/>
    <x v="7"/>
    <x v="7"/>
    <x v="18"/>
    <x v="200"/>
    <x v="474"/>
    <x v="97"/>
    <x v="304"/>
    <x v="128"/>
    <x v="207"/>
    <x v="3"/>
  </r>
  <r>
    <x v="0"/>
    <x v="51"/>
    <x v="51"/>
    <x v="62"/>
    <x v="62"/>
    <x v="62"/>
    <x v="18"/>
    <x v="200"/>
    <x v="474"/>
    <x v="82"/>
    <x v="86"/>
    <x v="127"/>
    <x v="411"/>
    <x v="3"/>
  </r>
  <r>
    <x v="0"/>
    <x v="51"/>
    <x v="51"/>
    <x v="46"/>
    <x v="46"/>
    <x v="46"/>
    <x v="18"/>
    <x v="200"/>
    <x v="474"/>
    <x v="82"/>
    <x v="86"/>
    <x v="127"/>
    <x v="411"/>
    <x v="3"/>
  </r>
  <r>
    <x v="0"/>
    <x v="52"/>
    <x v="52"/>
    <x v="7"/>
    <x v="7"/>
    <x v="7"/>
    <x v="0"/>
    <x v="155"/>
    <x v="475"/>
    <x v="55"/>
    <x v="488"/>
    <x v="127"/>
    <x v="288"/>
    <x v="3"/>
  </r>
  <r>
    <x v="0"/>
    <x v="52"/>
    <x v="52"/>
    <x v="6"/>
    <x v="6"/>
    <x v="6"/>
    <x v="1"/>
    <x v="202"/>
    <x v="146"/>
    <x v="50"/>
    <x v="310"/>
    <x v="125"/>
    <x v="322"/>
    <x v="3"/>
  </r>
  <r>
    <x v="0"/>
    <x v="52"/>
    <x v="52"/>
    <x v="0"/>
    <x v="0"/>
    <x v="0"/>
    <x v="1"/>
    <x v="202"/>
    <x v="146"/>
    <x v="110"/>
    <x v="473"/>
    <x v="128"/>
    <x v="207"/>
    <x v="3"/>
  </r>
  <r>
    <x v="0"/>
    <x v="52"/>
    <x v="52"/>
    <x v="26"/>
    <x v="26"/>
    <x v="26"/>
    <x v="3"/>
    <x v="196"/>
    <x v="476"/>
    <x v="51"/>
    <x v="311"/>
    <x v="127"/>
    <x v="288"/>
    <x v="3"/>
  </r>
  <r>
    <x v="0"/>
    <x v="52"/>
    <x v="52"/>
    <x v="4"/>
    <x v="4"/>
    <x v="4"/>
    <x v="4"/>
    <x v="198"/>
    <x v="477"/>
    <x v="97"/>
    <x v="312"/>
    <x v="125"/>
    <x v="322"/>
    <x v="3"/>
  </r>
  <r>
    <x v="0"/>
    <x v="52"/>
    <x v="52"/>
    <x v="8"/>
    <x v="8"/>
    <x v="8"/>
    <x v="4"/>
    <x v="198"/>
    <x v="477"/>
    <x v="36"/>
    <x v="45"/>
    <x v="128"/>
    <x v="207"/>
    <x v="3"/>
  </r>
  <r>
    <x v="0"/>
    <x v="52"/>
    <x v="52"/>
    <x v="13"/>
    <x v="13"/>
    <x v="13"/>
    <x v="6"/>
    <x v="200"/>
    <x v="478"/>
    <x v="97"/>
    <x v="312"/>
    <x v="128"/>
    <x v="207"/>
    <x v="3"/>
  </r>
  <r>
    <x v="0"/>
    <x v="52"/>
    <x v="52"/>
    <x v="14"/>
    <x v="14"/>
    <x v="14"/>
    <x v="6"/>
    <x v="200"/>
    <x v="478"/>
    <x v="36"/>
    <x v="45"/>
    <x v="128"/>
    <x v="207"/>
    <x v="3"/>
  </r>
  <r>
    <x v="0"/>
    <x v="52"/>
    <x v="52"/>
    <x v="1"/>
    <x v="1"/>
    <x v="1"/>
    <x v="6"/>
    <x v="200"/>
    <x v="478"/>
    <x v="97"/>
    <x v="312"/>
    <x v="128"/>
    <x v="207"/>
    <x v="3"/>
  </r>
  <r>
    <x v="0"/>
    <x v="52"/>
    <x v="52"/>
    <x v="62"/>
    <x v="62"/>
    <x v="62"/>
    <x v="6"/>
    <x v="200"/>
    <x v="478"/>
    <x v="97"/>
    <x v="312"/>
    <x v="128"/>
    <x v="207"/>
    <x v="3"/>
  </r>
  <r>
    <x v="0"/>
    <x v="52"/>
    <x v="52"/>
    <x v="48"/>
    <x v="48"/>
    <x v="48"/>
    <x v="10"/>
    <x v="201"/>
    <x v="479"/>
    <x v="82"/>
    <x v="86"/>
    <x v="125"/>
    <x v="322"/>
    <x v="3"/>
  </r>
  <r>
    <x v="0"/>
    <x v="52"/>
    <x v="52"/>
    <x v="3"/>
    <x v="3"/>
    <x v="3"/>
    <x v="10"/>
    <x v="201"/>
    <x v="479"/>
    <x v="82"/>
    <x v="86"/>
    <x v="125"/>
    <x v="322"/>
    <x v="3"/>
  </r>
  <r>
    <x v="0"/>
    <x v="52"/>
    <x v="52"/>
    <x v="56"/>
    <x v="56"/>
    <x v="56"/>
    <x v="10"/>
    <x v="201"/>
    <x v="479"/>
    <x v="36"/>
    <x v="45"/>
    <x v="128"/>
    <x v="207"/>
    <x v="3"/>
  </r>
  <r>
    <x v="0"/>
    <x v="52"/>
    <x v="52"/>
    <x v="39"/>
    <x v="39"/>
    <x v="39"/>
    <x v="10"/>
    <x v="201"/>
    <x v="479"/>
    <x v="36"/>
    <x v="45"/>
    <x v="128"/>
    <x v="207"/>
    <x v="3"/>
  </r>
  <r>
    <x v="0"/>
    <x v="52"/>
    <x v="52"/>
    <x v="43"/>
    <x v="43"/>
    <x v="43"/>
    <x v="10"/>
    <x v="201"/>
    <x v="479"/>
    <x v="82"/>
    <x v="86"/>
    <x v="125"/>
    <x v="322"/>
    <x v="3"/>
  </r>
  <r>
    <x v="0"/>
    <x v="52"/>
    <x v="52"/>
    <x v="37"/>
    <x v="37"/>
    <x v="37"/>
    <x v="10"/>
    <x v="201"/>
    <x v="479"/>
    <x v="82"/>
    <x v="86"/>
    <x v="128"/>
    <x v="207"/>
    <x v="3"/>
  </r>
  <r>
    <x v="0"/>
    <x v="52"/>
    <x v="52"/>
    <x v="41"/>
    <x v="41"/>
    <x v="41"/>
    <x v="10"/>
    <x v="201"/>
    <x v="479"/>
    <x v="82"/>
    <x v="86"/>
    <x v="128"/>
    <x v="207"/>
    <x v="0"/>
  </r>
  <r>
    <x v="0"/>
    <x v="52"/>
    <x v="52"/>
    <x v="11"/>
    <x v="11"/>
    <x v="11"/>
    <x v="10"/>
    <x v="201"/>
    <x v="479"/>
    <x v="82"/>
    <x v="86"/>
    <x v="125"/>
    <x v="322"/>
    <x v="3"/>
  </r>
  <r>
    <x v="0"/>
    <x v="52"/>
    <x v="52"/>
    <x v="31"/>
    <x v="31"/>
    <x v="31"/>
    <x v="10"/>
    <x v="201"/>
    <x v="479"/>
    <x v="82"/>
    <x v="86"/>
    <x v="128"/>
    <x v="207"/>
    <x v="3"/>
  </r>
  <r>
    <x v="0"/>
    <x v="52"/>
    <x v="52"/>
    <x v="15"/>
    <x v="15"/>
    <x v="15"/>
    <x v="10"/>
    <x v="201"/>
    <x v="479"/>
    <x v="82"/>
    <x v="86"/>
    <x v="128"/>
    <x v="207"/>
    <x v="3"/>
  </r>
  <r>
    <x v="0"/>
    <x v="53"/>
    <x v="53"/>
    <x v="0"/>
    <x v="0"/>
    <x v="0"/>
    <x v="0"/>
    <x v="127"/>
    <x v="480"/>
    <x v="53"/>
    <x v="489"/>
    <x v="83"/>
    <x v="67"/>
    <x v="3"/>
  </r>
  <r>
    <x v="0"/>
    <x v="53"/>
    <x v="53"/>
    <x v="4"/>
    <x v="4"/>
    <x v="4"/>
    <x v="1"/>
    <x v="129"/>
    <x v="431"/>
    <x v="116"/>
    <x v="490"/>
    <x v="108"/>
    <x v="412"/>
    <x v="3"/>
  </r>
  <r>
    <x v="0"/>
    <x v="53"/>
    <x v="53"/>
    <x v="6"/>
    <x v="6"/>
    <x v="6"/>
    <x v="2"/>
    <x v="140"/>
    <x v="103"/>
    <x v="35"/>
    <x v="314"/>
    <x v="108"/>
    <x v="412"/>
    <x v="3"/>
  </r>
  <r>
    <x v="0"/>
    <x v="53"/>
    <x v="53"/>
    <x v="36"/>
    <x v="36"/>
    <x v="36"/>
    <x v="3"/>
    <x v="141"/>
    <x v="71"/>
    <x v="50"/>
    <x v="361"/>
    <x v="86"/>
    <x v="231"/>
    <x v="3"/>
  </r>
  <r>
    <x v="0"/>
    <x v="53"/>
    <x v="53"/>
    <x v="2"/>
    <x v="2"/>
    <x v="2"/>
    <x v="3"/>
    <x v="141"/>
    <x v="71"/>
    <x v="109"/>
    <x v="358"/>
    <x v="83"/>
    <x v="67"/>
    <x v="3"/>
  </r>
  <r>
    <x v="0"/>
    <x v="53"/>
    <x v="53"/>
    <x v="1"/>
    <x v="1"/>
    <x v="1"/>
    <x v="5"/>
    <x v="153"/>
    <x v="133"/>
    <x v="109"/>
    <x v="358"/>
    <x v="127"/>
    <x v="1"/>
    <x v="3"/>
  </r>
  <r>
    <x v="0"/>
    <x v="53"/>
    <x v="53"/>
    <x v="3"/>
    <x v="3"/>
    <x v="3"/>
    <x v="6"/>
    <x v="154"/>
    <x v="481"/>
    <x v="50"/>
    <x v="361"/>
    <x v="110"/>
    <x v="413"/>
    <x v="3"/>
  </r>
  <r>
    <x v="0"/>
    <x v="53"/>
    <x v="53"/>
    <x v="5"/>
    <x v="5"/>
    <x v="5"/>
    <x v="6"/>
    <x v="154"/>
    <x v="481"/>
    <x v="55"/>
    <x v="491"/>
    <x v="83"/>
    <x v="67"/>
    <x v="3"/>
  </r>
  <r>
    <x v="0"/>
    <x v="53"/>
    <x v="53"/>
    <x v="9"/>
    <x v="9"/>
    <x v="9"/>
    <x v="8"/>
    <x v="195"/>
    <x v="64"/>
    <x v="36"/>
    <x v="492"/>
    <x v="108"/>
    <x v="412"/>
    <x v="3"/>
  </r>
  <r>
    <x v="0"/>
    <x v="53"/>
    <x v="53"/>
    <x v="23"/>
    <x v="23"/>
    <x v="23"/>
    <x v="8"/>
    <x v="195"/>
    <x v="64"/>
    <x v="81"/>
    <x v="493"/>
    <x v="127"/>
    <x v="1"/>
    <x v="3"/>
  </r>
  <r>
    <x v="0"/>
    <x v="53"/>
    <x v="53"/>
    <x v="13"/>
    <x v="13"/>
    <x v="13"/>
    <x v="8"/>
    <x v="195"/>
    <x v="64"/>
    <x v="50"/>
    <x v="361"/>
    <x v="128"/>
    <x v="207"/>
    <x v="3"/>
  </r>
  <r>
    <x v="0"/>
    <x v="53"/>
    <x v="53"/>
    <x v="11"/>
    <x v="11"/>
    <x v="11"/>
    <x v="8"/>
    <x v="195"/>
    <x v="64"/>
    <x v="51"/>
    <x v="66"/>
    <x v="83"/>
    <x v="67"/>
    <x v="3"/>
  </r>
  <r>
    <x v="0"/>
    <x v="53"/>
    <x v="53"/>
    <x v="7"/>
    <x v="7"/>
    <x v="7"/>
    <x v="8"/>
    <x v="195"/>
    <x v="64"/>
    <x v="51"/>
    <x v="66"/>
    <x v="83"/>
    <x v="67"/>
    <x v="3"/>
  </r>
  <r>
    <x v="0"/>
    <x v="53"/>
    <x v="53"/>
    <x v="8"/>
    <x v="8"/>
    <x v="8"/>
    <x v="8"/>
    <x v="195"/>
    <x v="64"/>
    <x v="70"/>
    <x v="494"/>
    <x v="128"/>
    <x v="207"/>
    <x v="0"/>
  </r>
  <r>
    <x v="0"/>
    <x v="53"/>
    <x v="53"/>
    <x v="14"/>
    <x v="14"/>
    <x v="14"/>
    <x v="14"/>
    <x v="196"/>
    <x v="51"/>
    <x v="97"/>
    <x v="495"/>
    <x v="127"/>
    <x v="1"/>
    <x v="3"/>
  </r>
  <r>
    <x v="0"/>
    <x v="53"/>
    <x v="53"/>
    <x v="10"/>
    <x v="10"/>
    <x v="10"/>
    <x v="14"/>
    <x v="196"/>
    <x v="51"/>
    <x v="70"/>
    <x v="494"/>
    <x v="128"/>
    <x v="207"/>
    <x v="3"/>
  </r>
  <r>
    <x v="0"/>
    <x v="53"/>
    <x v="53"/>
    <x v="12"/>
    <x v="12"/>
    <x v="12"/>
    <x v="16"/>
    <x v="197"/>
    <x v="67"/>
    <x v="81"/>
    <x v="493"/>
    <x v="128"/>
    <x v="207"/>
    <x v="3"/>
  </r>
  <r>
    <x v="0"/>
    <x v="53"/>
    <x v="53"/>
    <x v="29"/>
    <x v="29"/>
    <x v="29"/>
    <x v="17"/>
    <x v="198"/>
    <x v="15"/>
    <x v="51"/>
    <x v="66"/>
    <x v="128"/>
    <x v="207"/>
    <x v="3"/>
  </r>
  <r>
    <x v="0"/>
    <x v="53"/>
    <x v="53"/>
    <x v="17"/>
    <x v="17"/>
    <x v="17"/>
    <x v="17"/>
    <x v="198"/>
    <x v="15"/>
    <x v="36"/>
    <x v="492"/>
    <x v="127"/>
    <x v="1"/>
    <x v="3"/>
  </r>
  <r>
    <x v="0"/>
    <x v="53"/>
    <x v="53"/>
    <x v="54"/>
    <x v="54"/>
    <x v="54"/>
    <x v="19"/>
    <x v="200"/>
    <x v="482"/>
    <x v="82"/>
    <x v="86"/>
    <x v="127"/>
    <x v="1"/>
    <x v="3"/>
  </r>
  <r>
    <x v="0"/>
    <x v="53"/>
    <x v="53"/>
    <x v="34"/>
    <x v="34"/>
    <x v="34"/>
    <x v="19"/>
    <x v="200"/>
    <x v="482"/>
    <x v="97"/>
    <x v="495"/>
    <x v="128"/>
    <x v="207"/>
    <x v="3"/>
  </r>
  <r>
    <x v="0"/>
    <x v="53"/>
    <x v="53"/>
    <x v="33"/>
    <x v="33"/>
    <x v="33"/>
    <x v="19"/>
    <x v="200"/>
    <x v="482"/>
    <x v="36"/>
    <x v="492"/>
    <x v="125"/>
    <x v="414"/>
    <x v="3"/>
  </r>
  <r>
    <x v="0"/>
    <x v="53"/>
    <x v="53"/>
    <x v="52"/>
    <x v="52"/>
    <x v="52"/>
    <x v="19"/>
    <x v="200"/>
    <x v="482"/>
    <x v="82"/>
    <x v="86"/>
    <x v="127"/>
    <x v="1"/>
    <x v="3"/>
  </r>
  <r>
    <x v="0"/>
    <x v="53"/>
    <x v="53"/>
    <x v="30"/>
    <x v="30"/>
    <x v="30"/>
    <x v="19"/>
    <x v="200"/>
    <x v="482"/>
    <x v="36"/>
    <x v="492"/>
    <x v="125"/>
    <x v="414"/>
    <x v="3"/>
  </r>
  <r>
    <x v="0"/>
    <x v="53"/>
    <x v="53"/>
    <x v="15"/>
    <x v="15"/>
    <x v="15"/>
    <x v="19"/>
    <x v="200"/>
    <x v="482"/>
    <x v="82"/>
    <x v="86"/>
    <x v="125"/>
    <x v="414"/>
    <x v="3"/>
  </r>
  <r>
    <x v="0"/>
    <x v="54"/>
    <x v="54"/>
    <x v="4"/>
    <x v="4"/>
    <x v="4"/>
    <x v="0"/>
    <x v="173"/>
    <x v="483"/>
    <x v="98"/>
    <x v="496"/>
    <x v="111"/>
    <x v="415"/>
    <x v="3"/>
  </r>
  <r>
    <x v="0"/>
    <x v="54"/>
    <x v="54"/>
    <x v="36"/>
    <x v="36"/>
    <x v="36"/>
    <x v="1"/>
    <x v="126"/>
    <x v="484"/>
    <x v="37"/>
    <x v="497"/>
    <x v="120"/>
    <x v="416"/>
    <x v="3"/>
  </r>
  <r>
    <x v="0"/>
    <x v="54"/>
    <x v="54"/>
    <x v="3"/>
    <x v="3"/>
    <x v="3"/>
    <x v="2"/>
    <x v="127"/>
    <x v="186"/>
    <x v="70"/>
    <x v="498"/>
    <x v="104"/>
    <x v="417"/>
    <x v="3"/>
  </r>
  <r>
    <x v="0"/>
    <x v="54"/>
    <x v="54"/>
    <x v="0"/>
    <x v="0"/>
    <x v="0"/>
    <x v="3"/>
    <x v="129"/>
    <x v="485"/>
    <x v="108"/>
    <x v="499"/>
    <x v="83"/>
    <x v="418"/>
    <x v="3"/>
  </r>
  <r>
    <x v="0"/>
    <x v="54"/>
    <x v="54"/>
    <x v="7"/>
    <x v="7"/>
    <x v="7"/>
    <x v="4"/>
    <x v="130"/>
    <x v="486"/>
    <x v="109"/>
    <x v="500"/>
    <x v="108"/>
    <x v="161"/>
    <x v="3"/>
  </r>
  <r>
    <x v="0"/>
    <x v="54"/>
    <x v="54"/>
    <x v="6"/>
    <x v="6"/>
    <x v="6"/>
    <x v="5"/>
    <x v="141"/>
    <x v="487"/>
    <x v="116"/>
    <x v="501"/>
    <x v="127"/>
    <x v="193"/>
    <x v="3"/>
  </r>
  <r>
    <x v="0"/>
    <x v="54"/>
    <x v="54"/>
    <x v="5"/>
    <x v="5"/>
    <x v="5"/>
    <x v="6"/>
    <x v="165"/>
    <x v="261"/>
    <x v="15"/>
    <x v="502"/>
    <x v="125"/>
    <x v="98"/>
    <x v="3"/>
  </r>
  <r>
    <x v="0"/>
    <x v="54"/>
    <x v="54"/>
    <x v="1"/>
    <x v="1"/>
    <x v="1"/>
    <x v="6"/>
    <x v="165"/>
    <x v="261"/>
    <x v="55"/>
    <x v="503"/>
    <x v="128"/>
    <x v="207"/>
    <x v="3"/>
  </r>
  <r>
    <x v="0"/>
    <x v="54"/>
    <x v="54"/>
    <x v="9"/>
    <x v="9"/>
    <x v="9"/>
    <x v="8"/>
    <x v="168"/>
    <x v="488"/>
    <x v="70"/>
    <x v="498"/>
    <x v="111"/>
    <x v="415"/>
    <x v="3"/>
  </r>
  <r>
    <x v="0"/>
    <x v="54"/>
    <x v="54"/>
    <x v="23"/>
    <x v="23"/>
    <x v="23"/>
    <x v="9"/>
    <x v="195"/>
    <x v="168"/>
    <x v="97"/>
    <x v="504"/>
    <x v="111"/>
    <x v="415"/>
    <x v="3"/>
  </r>
  <r>
    <x v="0"/>
    <x v="54"/>
    <x v="54"/>
    <x v="11"/>
    <x v="11"/>
    <x v="11"/>
    <x v="9"/>
    <x v="195"/>
    <x v="168"/>
    <x v="70"/>
    <x v="498"/>
    <x v="125"/>
    <x v="98"/>
    <x v="3"/>
  </r>
  <r>
    <x v="0"/>
    <x v="54"/>
    <x v="54"/>
    <x v="26"/>
    <x v="26"/>
    <x v="26"/>
    <x v="11"/>
    <x v="197"/>
    <x v="479"/>
    <x v="51"/>
    <x v="505"/>
    <x v="125"/>
    <x v="98"/>
    <x v="3"/>
  </r>
  <r>
    <x v="0"/>
    <x v="54"/>
    <x v="54"/>
    <x v="2"/>
    <x v="2"/>
    <x v="2"/>
    <x v="11"/>
    <x v="197"/>
    <x v="479"/>
    <x v="97"/>
    <x v="504"/>
    <x v="127"/>
    <x v="193"/>
    <x v="3"/>
  </r>
  <r>
    <x v="0"/>
    <x v="54"/>
    <x v="54"/>
    <x v="12"/>
    <x v="12"/>
    <x v="12"/>
    <x v="11"/>
    <x v="197"/>
    <x v="479"/>
    <x v="81"/>
    <x v="506"/>
    <x v="128"/>
    <x v="207"/>
    <x v="3"/>
  </r>
  <r>
    <x v="0"/>
    <x v="54"/>
    <x v="54"/>
    <x v="8"/>
    <x v="8"/>
    <x v="8"/>
    <x v="11"/>
    <x v="197"/>
    <x v="479"/>
    <x v="81"/>
    <x v="506"/>
    <x v="128"/>
    <x v="207"/>
    <x v="3"/>
  </r>
  <r>
    <x v="0"/>
    <x v="54"/>
    <x v="54"/>
    <x v="29"/>
    <x v="29"/>
    <x v="29"/>
    <x v="15"/>
    <x v="198"/>
    <x v="157"/>
    <x v="51"/>
    <x v="505"/>
    <x v="128"/>
    <x v="207"/>
    <x v="3"/>
  </r>
  <r>
    <x v="0"/>
    <x v="54"/>
    <x v="54"/>
    <x v="34"/>
    <x v="34"/>
    <x v="34"/>
    <x v="15"/>
    <x v="198"/>
    <x v="157"/>
    <x v="36"/>
    <x v="368"/>
    <x v="127"/>
    <x v="193"/>
    <x v="3"/>
  </r>
  <r>
    <x v="0"/>
    <x v="54"/>
    <x v="54"/>
    <x v="20"/>
    <x v="20"/>
    <x v="20"/>
    <x v="15"/>
    <x v="198"/>
    <x v="157"/>
    <x v="51"/>
    <x v="505"/>
    <x v="128"/>
    <x v="207"/>
    <x v="3"/>
  </r>
  <r>
    <x v="0"/>
    <x v="54"/>
    <x v="54"/>
    <x v="13"/>
    <x v="13"/>
    <x v="13"/>
    <x v="15"/>
    <x v="198"/>
    <x v="157"/>
    <x v="97"/>
    <x v="504"/>
    <x v="125"/>
    <x v="98"/>
    <x v="3"/>
  </r>
  <r>
    <x v="0"/>
    <x v="54"/>
    <x v="54"/>
    <x v="10"/>
    <x v="10"/>
    <x v="10"/>
    <x v="15"/>
    <x v="198"/>
    <x v="157"/>
    <x v="51"/>
    <x v="505"/>
    <x v="128"/>
    <x v="207"/>
    <x v="3"/>
  </r>
  <r>
    <x v="0"/>
    <x v="54"/>
    <x v="54"/>
    <x v="18"/>
    <x v="18"/>
    <x v="18"/>
    <x v="15"/>
    <x v="198"/>
    <x v="157"/>
    <x v="51"/>
    <x v="505"/>
    <x v="128"/>
    <x v="207"/>
    <x v="3"/>
  </r>
  <r>
    <x v="0"/>
    <x v="55"/>
    <x v="55"/>
    <x v="3"/>
    <x v="3"/>
    <x v="3"/>
    <x v="0"/>
    <x v="141"/>
    <x v="450"/>
    <x v="50"/>
    <x v="319"/>
    <x v="86"/>
    <x v="419"/>
    <x v="3"/>
  </r>
  <r>
    <x v="0"/>
    <x v="55"/>
    <x v="55"/>
    <x v="5"/>
    <x v="5"/>
    <x v="5"/>
    <x v="1"/>
    <x v="153"/>
    <x v="489"/>
    <x v="109"/>
    <x v="317"/>
    <x v="127"/>
    <x v="317"/>
    <x v="3"/>
  </r>
  <r>
    <x v="0"/>
    <x v="55"/>
    <x v="55"/>
    <x v="6"/>
    <x v="6"/>
    <x v="6"/>
    <x v="2"/>
    <x v="154"/>
    <x v="485"/>
    <x v="109"/>
    <x v="317"/>
    <x v="125"/>
    <x v="316"/>
    <x v="3"/>
  </r>
  <r>
    <x v="0"/>
    <x v="55"/>
    <x v="55"/>
    <x v="0"/>
    <x v="0"/>
    <x v="0"/>
    <x v="2"/>
    <x v="154"/>
    <x v="485"/>
    <x v="116"/>
    <x v="476"/>
    <x v="128"/>
    <x v="207"/>
    <x v="3"/>
  </r>
  <r>
    <x v="0"/>
    <x v="55"/>
    <x v="55"/>
    <x v="1"/>
    <x v="1"/>
    <x v="1"/>
    <x v="4"/>
    <x v="155"/>
    <x v="116"/>
    <x v="35"/>
    <x v="507"/>
    <x v="125"/>
    <x v="316"/>
    <x v="3"/>
  </r>
  <r>
    <x v="0"/>
    <x v="55"/>
    <x v="55"/>
    <x v="4"/>
    <x v="4"/>
    <x v="4"/>
    <x v="5"/>
    <x v="165"/>
    <x v="490"/>
    <x v="80"/>
    <x v="477"/>
    <x v="127"/>
    <x v="317"/>
    <x v="3"/>
  </r>
  <r>
    <x v="0"/>
    <x v="55"/>
    <x v="55"/>
    <x v="7"/>
    <x v="7"/>
    <x v="7"/>
    <x v="6"/>
    <x v="199"/>
    <x v="491"/>
    <x v="50"/>
    <x v="319"/>
    <x v="127"/>
    <x v="317"/>
    <x v="3"/>
  </r>
  <r>
    <x v="0"/>
    <x v="55"/>
    <x v="55"/>
    <x v="36"/>
    <x v="36"/>
    <x v="36"/>
    <x v="7"/>
    <x v="202"/>
    <x v="492"/>
    <x v="50"/>
    <x v="319"/>
    <x v="125"/>
    <x v="316"/>
    <x v="3"/>
  </r>
  <r>
    <x v="0"/>
    <x v="55"/>
    <x v="55"/>
    <x v="33"/>
    <x v="33"/>
    <x v="33"/>
    <x v="7"/>
    <x v="202"/>
    <x v="492"/>
    <x v="50"/>
    <x v="319"/>
    <x v="125"/>
    <x v="316"/>
    <x v="3"/>
  </r>
  <r>
    <x v="0"/>
    <x v="55"/>
    <x v="55"/>
    <x v="9"/>
    <x v="9"/>
    <x v="9"/>
    <x v="9"/>
    <x v="196"/>
    <x v="218"/>
    <x v="70"/>
    <x v="479"/>
    <x v="128"/>
    <x v="207"/>
    <x v="3"/>
  </r>
  <r>
    <x v="0"/>
    <x v="55"/>
    <x v="55"/>
    <x v="19"/>
    <x v="19"/>
    <x v="19"/>
    <x v="9"/>
    <x v="196"/>
    <x v="218"/>
    <x v="70"/>
    <x v="479"/>
    <x v="128"/>
    <x v="207"/>
    <x v="3"/>
  </r>
  <r>
    <x v="0"/>
    <x v="55"/>
    <x v="55"/>
    <x v="8"/>
    <x v="8"/>
    <x v="8"/>
    <x v="9"/>
    <x v="196"/>
    <x v="218"/>
    <x v="70"/>
    <x v="479"/>
    <x v="128"/>
    <x v="207"/>
    <x v="3"/>
  </r>
  <r>
    <x v="0"/>
    <x v="55"/>
    <x v="55"/>
    <x v="29"/>
    <x v="29"/>
    <x v="29"/>
    <x v="12"/>
    <x v="197"/>
    <x v="195"/>
    <x v="36"/>
    <x v="19"/>
    <x v="83"/>
    <x v="318"/>
    <x v="3"/>
  </r>
  <r>
    <x v="0"/>
    <x v="55"/>
    <x v="55"/>
    <x v="11"/>
    <x v="11"/>
    <x v="11"/>
    <x v="12"/>
    <x v="197"/>
    <x v="195"/>
    <x v="51"/>
    <x v="480"/>
    <x v="125"/>
    <x v="316"/>
    <x v="3"/>
  </r>
  <r>
    <x v="0"/>
    <x v="55"/>
    <x v="55"/>
    <x v="43"/>
    <x v="43"/>
    <x v="43"/>
    <x v="14"/>
    <x v="198"/>
    <x v="250"/>
    <x v="97"/>
    <x v="101"/>
    <x v="125"/>
    <x v="316"/>
    <x v="3"/>
  </r>
  <r>
    <x v="0"/>
    <x v="55"/>
    <x v="55"/>
    <x v="34"/>
    <x v="34"/>
    <x v="34"/>
    <x v="14"/>
    <x v="198"/>
    <x v="250"/>
    <x v="97"/>
    <x v="101"/>
    <x v="125"/>
    <x v="316"/>
    <x v="3"/>
  </r>
  <r>
    <x v="0"/>
    <x v="55"/>
    <x v="55"/>
    <x v="13"/>
    <x v="13"/>
    <x v="13"/>
    <x v="14"/>
    <x v="198"/>
    <x v="250"/>
    <x v="51"/>
    <x v="480"/>
    <x v="128"/>
    <x v="207"/>
    <x v="3"/>
  </r>
  <r>
    <x v="0"/>
    <x v="55"/>
    <x v="55"/>
    <x v="10"/>
    <x v="10"/>
    <x v="10"/>
    <x v="14"/>
    <x v="198"/>
    <x v="250"/>
    <x v="51"/>
    <x v="480"/>
    <x v="128"/>
    <x v="207"/>
    <x v="3"/>
  </r>
  <r>
    <x v="0"/>
    <x v="55"/>
    <x v="55"/>
    <x v="24"/>
    <x v="24"/>
    <x v="24"/>
    <x v="18"/>
    <x v="200"/>
    <x v="37"/>
    <x v="97"/>
    <x v="101"/>
    <x v="128"/>
    <x v="207"/>
    <x v="3"/>
  </r>
  <r>
    <x v="0"/>
    <x v="55"/>
    <x v="55"/>
    <x v="23"/>
    <x v="23"/>
    <x v="23"/>
    <x v="18"/>
    <x v="200"/>
    <x v="37"/>
    <x v="82"/>
    <x v="86"/>
    <x v="125"/>
    <x v="316"/>
    <x v="0"/>
  </r>
  <r>
    <x v="0"/>
    <x v="55"/>
    <x v="55"/>
    <x v="20"/>
    <x v="20"/>
    <x v="20"/>
    <x v="18"/>
    <x v="200"/>
    <x v="37"/>
    <x v="97"/>
    <x v="101"/>
    <x v="128"/>
    <x v="207"/>
    <x v="3"/>
  </r>
  <r>
    <x v="0"/>
    <x v="55"/>
    <x v="55"/>
    <x v="2"/>
    <x v="2"/>
    <x v="2"/>
    <x v="18"/>
    <x v="200"/>
    <x v="37"/>
    <x v="36"/>
    <x v="19"/>
    <x v="125"/>
    <x v="316"/>
    <x v="3"/>
  </r>
  <r>
    <x v="0"/>
    <x v="55"/>
    <x v="55"/>
    <x v="52"/>
    <x v="52"/>
    <x v="52"/>
    <x v="18"/>
    <x v="200"/>
    <x v="37"/>
    <x v="97"/>
    <x v="101"/>
    <x v="128"/>
    <x v="207"/>
    <x v="3"/>
  </r>
  <r>
    <x v="0"/>
    <x v="55"/>
    <x v="55"/>
    <x v="12"/>
    <x v="12"/>
    <x v="12"/>
    <x v="18"/>
    <x v="200"/>
    <x v="37"/>
    <x v="97"/>
    <x v="101"/>
    <x v="128"/>
    <x v="207"/>
    <x v="3"/>
  </r>
  <r>
    <x v="0"/>
    <x v="55"/>
    <x v="55"/>
    <x v="30"/>
    <x v="30"/>
    <x v="30"/>
    <x v="18"/>
    <x v="200"/>
    <x v="37"/>
    <x v="97"/>
    <x v="101"/>
    <x v="128"/>
    <x v="207"/>
    <x v="3"/>
  </r>
  <r>
    <x v="0"/>
    <x v="55"/>
    <x v="55"/>
    <x v="46"/>
    <x v="46"/>
    <x v="46"/>
    <x v="18"/>
    <x v="200"/>
    <x v="37"/>
    <x v="97"/>
    <x v="101"/>
    <x v="128"/>
    <x v="207"/>
    <x v="3"/>
  </r>
  <r>
    <x v="0"/>
    <x v="56"/>
    <x v="56"/>
    <x v="7"/>
    <x v="7"/>
    <x v="7"/>
    <x v="0"/>
    <x v="130"/>
    <x v="493"/>
    <x v="37"/>
    <x v="508"/>
    <x v="83"/>
    <x v="420"/>
    <x v="3"/>
  </r>
  <r>
    <x v="0"/>
    <x v="56"/>
    <x v="56"/>
    <x v="4"/>
    <x v="4"/>
    <x v="4"/>
    <x v="1"/>
    <x v="202"/>
    <x v="494"/>
    <x v="81"/>
    <x v="313"/>
    <x v="83"/>
    <x v="420"/>
    <x v="3"/>
  </r>
  <r>
    <x v="0"/>
    <x v="56"/>
    <x v="56"/>
    <x v="3"/>
    <x v="3"/>
    <x v="3"/>
    <x v="2"/>
    <x v="196"/>
    <x v="495"/>
    <x v="82"/>
    <x v="86"/>
    <x v="108"/>
    <x v="421"/>
    <x v="3"/>
  </r>
  <r>
    <x v="0"/>
    <x v="56"/>
    <x v="56"/>
    <x v="0"/>
    <x v="0"/>
    <x v="0"/>
    <x v="3"/>
    <x v="198"/>
    <x v="496"/>
    <x v="36"/>
    <x v="316"/>
    <x v="127"/>
    <x v="422"/>
    <x v="3"/>
  </r>
  <r>
    <x v="0"/>
    <x v="56"/>
    <x v="56"/>
    <x v="36"/>
    <x v="36"/>
    <x v="36"/>
    <x v="4"/>
    <x v="200"/>
    <x v="497"/>
    <x v="36"/>
    <x v="316"/>
    <x v="125"/>
    <x v="359"/>
    <x v="3"/>
  </r>
  <r>
    <x v="0"/>
    <x v="56"/>
    <x v="56"/>
    <x v="13"/>
    <x v="13"/>
    <x v="13"/>
    <x v="4"/>
    <x v="200"/>
    <x v="497"/>
    <x v="36"/>
    <x v="316"/>
    <x v="125"/>
    <x v="359"/>
    <x v="3"/>
  </r>
  <r>
    <x v="0"/>
    <x v="56"/>
    <x v="56"/>
    <x v="6"/>
    <x v="6"/>
    <x v="6"/>
    <x v="4"/>
    <x v="200"/>
    <x v="497"/>
    <x v="82"/>
    <x v="86"/>
    <x v="127"/>
    <x v="422"/>
    <x v="3"/>
  </r>
  <r>
    <x v="0"/>
    <x v="56"/>
    <x v="56"/>
    <x v="1"/>
    <x v="1"/>
    <x v="1"/>
    <x v="4"/>
    <x v="200"/>
    <x v="497"/>
    <x v="97"/>
    <x v="314"/>
    <x v="128"/>
    <x v="207"/>
    <x v="3"/>
  </r>
  <r>
    <x v="0"/>
    <x v="56"/>
    <x v="56"/>
    <x v="48"/>
    <x v="48"/>
    <x v="48"/>
    <x v="8"/>
    <x v="201"/>
    <x v="498"/>
    <x v="82"/>
    <x v="86"/>
    <x v="125"/>
    <x v="359"/>
    <x v="3"/>
  </r>
  <r>
    <x v="0"/>
    <x v="56"/>
    <x v="56"/>
    <x v="5"/>
    <x v="5"/>
    <x v="5"/>
    <x v="8"/>
    <x v="201"/>
    <x v="498"/>
    <x v="36"/>
    <x v="316"/>
    <x v="128"/>
    <x v="207"/>
    <x v="3"/>
  </r>
  <r>
    <x v="0"/>
    <x v="56"/>
    <x v="56"/>
    <x v="37"/>
    <x v="37"/>
    <x v="37"/>
    <x v="8"/>
    <x v="201"/>
    <x v="498"/>
    <x v="82"/>
    <x v="86"/>
    <x v="128"/>
    <x v="207"/>
    <x v="3"/>
  </r>
  <r>
    <x v="0"/>
    <x v="56"/>
    <x v="56"/>
    <x v="41"/>
    <x v="41"/>
    <x v="41"/>
    <x v="8"/>
    <x v="201"/>
    <x v="498"/>
    <x v="82"/>
    <x v="86"/>
    <x v="125"/>
    <x v="359"/>
    <x v="3"/>
  </r>
  <r>
    <x v="0"/>
    <x v="56"/>
    <x v="56"/>
    <x v="24"/>
    <x v="24"/>
    <x v="24"/>
    <x v="8"/>
    <x v="201"/>
    <x v="498"/>
    <x v="82"/>
    <x v="86"/>
    <x v="125"/>
    <x v="359"/>
    <x v="3"/>
  </r>
  <r>
    <x v="0"/>
    <x v="56"/>
    <x v="56"/>
    <x v="12"/>
    <x v="12"/>
    <x v="12"/>
    <x v="8"/>
    <x v="201"/>
    <x v="498"/>
    <x v="82"/>
    <x v="86"/>
    <x v="125"/>
    <x v="359"/>
    <x v="3"/>
  </r>
  <r>
    <x v="0"/>
    <x v="56"/>
    <x v="56"/>
    <x v="14"/>
    <x v="14"/>
    <x v="14"/>
    <x v="8"/>
    <x v="201"/>
    <x v="498"/>
    <x v="82"/>
    <x v="86"/>
    <x v="128"/>
    <x v="207"/>
    <x v="3"/>
  </r>
  <r>
    <x v="0"/>
    <x v="56"/>
    <x v="56"/>
    <x v="30"/>
    <x v="30"/>
    <x v="30"/>
    <x v="8"/>
    <x v="201"/>
    <x v="498"/>
    <x v="82"/>
    <x v="86"/>
    <x v="125"/>
    <x v="359"/>
    <x v="3"/>
  </r>
  <r>
    <x v="0"/>
    <x v="56"/>
    <x v="56"/>
    <x v="31"/>
    <x v="31"/>
    <x v="31"/>
    <x v="8"/>
    <x v="201"/>
    <x v="498"/>
    <x v="82"/>
    <x v="86"/>
    <x v="125"/>
    <x v="359"/>
    <x v="3"/>
  </r>
  <r>
    <x v="0"/>
    <x v="57"/>
    <x v="57"/>
    <x v="3"/>
    <x v="3"/>
    <x v="3"/>
    <x v="0"/>
    <x v="127"/>
    <x v="499"/>
    <x v="110"/>
    <x v="509"/>
    <x v="121"/>
    <x v="423"/>
    <x v="3"/>
  </r>
  <r>
    <x v="0"/>
    <x v="57"/>
    <x v="57"/>
    <x v="1"/>
    <x v="1"/>
    <x v="1"/>
    <x v="1"/>
    <x v="140"/>
    <x v="500"/>
    <x v="78"/>
    <x v="510"/>
    <x v="128"/>
    <x v="207"/>
    <x v="3"/>
  </r>
  <r>
    <x v="0"/>
    <x v="57"/>
    <x v="57"/>
    <x v="36"/>
    <x v="36"/>
    <x v="36"/>
    <x v="2"/>
    <x v="156"/>
    <x v="117"/>
    <x v="81"/>
    <x v="26"/>
    <x v="110"/>
    <x v="374"/>
    <x v="3"/>
  </r>
  <r>
    <x v="0"/>
    <x v="57"/>
    <x v="57"/>
    <x v="6"/>
    <x v="6"/>
    <x v="6"/>
    <x v="2"/>
    <x v="156"/>
    <x v="117"/>
    <x v="15"/>
    <x v="511"/>
    <x v="128"/>
    <x v="207"/>
    <x v="4"/>
  </r>
  <r>
    <x v="0"/>
    <x v="57"/>
    <x v="57"/>
    <x v="0"/>
    <x v="0"/>
    <x v="0"/>
    <x v="2"/>
    <x v="156"/>
    <x v="117"/>
    <x v="110"/>
    <x v="509"/>
    <x v="111"/>
    <x v="138"/>
    <x v="3"/>
  </r>
  <r>
    <x v="0"/>
    <x v="57"/>
    <x v="57"/>
    <x v="4"/>
    <x v="4"/>
    <x v="4"/>
    <x v="5"/>
    <x v="165"/>
    <x v="501"/>
    <x v="80"/>
    <x v="512"/>
    <x v="127"/>
    <x v="6"/>
    <x v="3"/>
  </r>
  <r>
    <x v="0"/>
    <x v="57"/>
    <x v="57"/>
    <x v="9"/>
    <x v="9"/>
    <x v="9"/>
    <x v="6"/>
    <x v="168"/>
    <x v="502"/>
    <x v="70"/>
    <x v="513"/>
    <x v="111"/>
    <x v="138"/>
    <x v="3"/>
  </r>
  <r>
    <x v="0"/>
    <x v="57"/>
    <x v="57"/>
    <x v="5"/>
    <x v="5"/>
    <x v="5"/>
    <x v="7"/>
    <x v="199"/>
    <x v="90"/>
    <x v="70"/>
    <x v="513"/>
    <x v="83"/>
    <x v="424"/>
    <x v="3"/>
  </r>
  <r>
    <x v="0"/>
    <x v="57"/>
    <x v="57"/>
    <x v="8"/>
    <x v="8"/>
    <x v="8"/>
    <x v="8"/>
    <x v="202"/>
    <x v="503"/>
    <x v="50"/>
    <x v="514"/>
    <x v="128"/>
    <x v="207"/>
    <x v="3"/>
  </r>
  <r>
    <x v="0"/>
    <x v="57"/>
    <x v="57"/>
    <x v="13"/>
    <x v="13"/>
    <x v="13"/>
    <x v="9"/>
    <x v="195"/>
    <x v="411"/>
    <x v="50"/>
    <x v="514"/>
    <x v="128"/>
    <x v="207"/>
    <x v="3"/>
  </r>
  <r>
    <x v="0"/>
    <x v="57"/>
    <x v="57"/>
    <x v="10"/>
    <x v="10"/>
    <x v="10"/>
    <x v="9"/>
    <x v="195"/>
    <x v="411"/>
    <x v="50"/>
    <x v="514"/>
    <x v="128"/>
    <x v="207"/>
    <x v="3"/>
  </r>
  <r>
    <x v="0"/>
    <x v="57"/>
    <x v="57"/>
    <x v="32"/>
    <x v="32"/>
    <x v="32"/>
    <x v="11"/>
    <x v="197"/>
    <x v="12"/>
    <x v="97"/>
    <x v="70"/>
    <x v="127"/>
    <x v="6"/>
    <x v="3"/>
  </r>
  <r>
    <x v="0"/>
    <x v="57"/>
    <x v="57"/>
    <x v="43"/>
    <x v="43"/>
    <x v="43"/>
    <x v="12"/>
    <x v="198"/>
    <x v="276"/>
    <x v="82"/>
    <x v="86"/>
    <x v="83"/>
    <x v="424"/>
    <x v="3"/>
  </r>
  <r>
    <x v="0"/>
    <x v="57"/>
    <x v="57"/>
    <x v="53"/>
    <x v="53"/>
    <x v="53"/>
    <x v="12"/>
    <x v="198"/>
    <x v="276"/>
    <x v="97"/>
    <x v="70"/>
    <x v="125"/>
    <x v="290"/>
    <x v="3"/>
  </r>
  <r>
    <x v="0"/>
    <x v="57"/>
    <x v="57"/>
    <x v="11"/>
    <x v="11"/>
    <x v="11"/>
    <x v="12"/>
    <x v="198"/>
    <x v="276"/>
    <x v="97"/>
    <x v="70"/>
    <x v="125"/>
    <x v="290"/>
    <x v="3"/>
  </r>
  <r>
    <x v="0"/>
    <x v="57"/>
    <x v="57"/>
    <x v="12"/>
    <x v="12"/>
    <x v="12"/>
    <x v="12"/>
    <x v="198"/>
    <x v="276"/>
    <x v="36"/>
    <x v="515"/>
    <x v="127"/>
    <x v="6"/>
    <x v="3"/>
  </r>
  <r>
    <x v="0"/>
    <x v="57"/>
    <x v="57"/>
    <x v="15"/>
    <x v="15"/>
    <x v="15"/>
    <x v="12"/>
    <x v="198"/>
    <x v="276"/>
    <x v="82"/>
    <x v="86"/>
    <x v="125"/>
    <x v="290"/>
    <x v="3"/>
  </r>
  <r>
    <x v="0"/>
    <x v="57"/>
    <x v="57"/>
    <x v="62"/>
    <x v="62"/>
    <x v="62"/>
    <x v="12"/>
    <x v="198"/>
    <x v="276"/>
    <x v="82"/>
    <x v="86"/>
    <x v="83"/>
    <x v="424"/>
    <x v="3"/>
  </r>
  <r>
    <x v="0"/>
    <x v="57"/>
    <x v="57"/>
    <x v="23"/>
    <x v="23"/>
    <x v="23"/>
    <x v="18"/>
    <x v="200"/>
    <x v="254"/>
    <x v="36"/>
    <x v="515"/>
    <x v="125"/>
    <x v="290"/>
    <x v="3"/>
  </r>
  <r>
    <x v="0"/>
    <x v="57"/>
    <x v="57"/>
    <x v="14"/>
    <x v="14"/>
    <x v="14"/>
    <x v="18"/>
    <x v="200"/>
    <x v="254"/>
    <x v="97"/>
    <x v="70"/>
    <x v="128"/>
    <x v="207"/>
    <x v="3"/>
  </r>
  <r>
    <x v="0"/>
    <x v="57"/>
    <x v="57"/>
    <x v="7"/>
    <x v="7"/>
    <x v="7"/>
    <x v="18"/>
    <x v="200"/>
    <x v="254"/>
    <x v="97"/>
    <x v="70"/>
    <x v="128"/>
    <x v="207"/>
    <x v="3"/>
  </r>
  <r>
    <x v="0"/>
    <x v="58"/>
    <x v="58"/>
    <x v="0"/>
    <x v="0"/>
    <x v="0"/>
    <x v="0"/>
    <x v="111"/>
    <x v="504"/>
    <x v="113"/>
    <x v="516"/>
    <x v="63"/>
    <x v="425"/>
    <x v="3"/>
  </r>
  <r>
    <x v="0"/>
    <x v="58"/>
    <x v="58"/>
    <x v="3"/>
    <x v="3"/>
    <x v="3"/>
    <x v="1"/>
    <x v="148"/>
    <x v="505"/>
    <x v="92"/>
    <x v="58"/>
    <x v="65"/>
    <x v="426"/>
    <x v="3"/>
  </r>
  <r>
    <x v="0"/>
    <x v="58"/>
    <x v="58"/>
    <x v="4"/>
    <x v="4"/>
    <x v="4"/>
    <x v="2"/>
    <x v="172"/>
    <x v="506"/>
    <x v="104"/>
    <x v="517"/>
    <x v="104"/>
    <x v="427"/>
    <x v="3"/>
  </r>
  <r>
    <x v="0"/>
    <x v="58"/>
    <x v="58"/>
    <x v="7"/>
    <x v="7"/>
    <x v="7"/>
    <x v="3"/>
    <x v="114"/>
    <x v="507"/>
    <x v="103"/>
    <x v="518"/>
    <x v="82"/>
    <x v="428"/>
    <x v="3"/>
  </r>
  <r>
    <x v="0"/>
    <x v="58"/>
    <x v="58"/>
    <x v="6"/>
    <x v="6"/>
    <x v="6"/>
    <x v="4"/>
    <x v="85"/>
    <x v="508"/>
    <x v="103"/>
    <x v="518"/>
    <x v="122"/>
    <x v="429"/>
    <x v="3"/>
  </r>
  <r>
    <x v="0"/>
    <x v="58"/>
    <x v="58"/>
    <x v="1"/>
    <x v="1"/>
    <x v="1"/>
    <x v="4"/>
    <x v="85"/>
    <x v="508"/>
    <x v="64"/>
    <x v="519"/>
    <x v="127"/>
    <x v="430"/>
    <x v="3"/>
  </r>
  <r>
    <x v="0"/>
    <x v="58"/>
    <x v="58"/>
    <x v="5"/>
    <x v="5"/>
    <x v="5"/>
    <x v="6"/>
    <x v="130"/>
    <x v="398"/>
    <x v="37"/>
    <x v="273"/>
    <x v="83"/>
    <x v="261"/>
    <x v="3"/>
  </r>
  <r>
    <x v="0"/>
    <x v="58"/>
    <x v="58"/>
    <x v="10"/>
    <x v="10"/>
    <x v="10"/>
    <x v="7"/>
    <x v="141"/>
    <x v="11"/>
    <x v="116"/>
    <x v="520"/>
    <x v="127"/>
    <x v="430"/>
    <x v="3"/>
  </r>
  <r>
    <x v="0"/>
    <x v="58"/>
    <x v="58"/>
    <x v="9"/>
    <x v="9"/>
    <x v="9"/>
    <x v="8"/>
    <x v="154"/>
    <x v="12"/>
    <x v="50"/>
    <x v="115"/>
    <x v="110"/>
    <x v="99"/>
    <x v="3"/>
  </r>
  <r>
    <x v="0"/>
    <x v="58"/>
    <x v="58"/>
    <x v="12"/>
    <x v="12"/>
    <x v="12"/>
    <x v="8"/>
    <x v="154"/>
    <x v="12"/>
    <x v="116"/>
    <x v="520"/>
    <x v="128"/>
    <x v="207"/>
    <x v="3"/>
  </r>
  <r>
    <x v="0"/>
    <x v="58"/>
    <x v="58"/>
    <x v="8"/>
    <x v="8"/>
    <x v="8"/>
    <x v="8"/>
    <x v="154"/>
    <x v="12"/>
    <x v="110"/>
    <x v="521"/>
    <x v="127"/>
    <x v="430"/>
    <x v="3"/>
  </r>
  <r>
    <x v="0"/>
    <x v="58"/>
    <x v="58"/>
    <x v="11"/>
    <x v="11"/>
    <x v="11"/>
    <x v="11"/>
    <x v="155"/>
    <x v="509"/>
    <x v="50"/>
    <x v="115"/>
    <x v="109"/>
    <x v="431"/>
    <x v="3"/>
  </r>
  <r>
    <x v="0"/>
    <x v="58"/>
    <x v="58"/>
    <x v="13"/>
    <x v="13"/>
    <x v="13"/>
    <x v="12"/>
    <x v="168"/>
    <x v="266"/>
    <x v="50"/>
    <x v="115"/>
    <x v="83"/>
    <x v="261"/>
    <x v="3"/>
  </r>
  <r>
    <x v="0"/>
    <x v="58"/>
    <x v="58"/>
    <x v="2"/>
    <x v="2"/>
    <x v="2"/>
    <x v="12"/>
    <x v="168"/>
    <x v="266"/>
    <x v="36"/>
    <x v="117"/>
    <x v="93"/>
    <x v="112"/>
    <x v="3"/>
  </r>
  <r>
    <x v="0"/>
    <x v="58"/>
    <x v="58"/>
    <x v="14"/>
    <x v="14"/>
    <x v="14"/>
    <x v="14"/>
    <x v="199"/>
    <x v="510"/>
    <x v="51"/>
    <x v="340"/>
    <x v="108"/>
    <x v="432"/>
    <x v="3"/>
  </r>
  <r>
    <x v="0"/>
    <x v="58"/>
    <x v="58"/>
    <x v="28"/>
    <x v="28"/>
    <x v="28"/>
    <x v="14"/>
    <x v="199"/>
    <x v="510"/>
    <x v="36"/>
    <x v="117"/>
    <x v="110"/>
    <x v="99"/>
    <x v="3"/>
  </r>
  <r>
    <x v="0"/>
    <x v="58"/>
    <x v="58"/>
    <x v="30"/>
    <x v="30"/>
    <x v="30"/>
    <x v="16"/>
    <x v="202"/>
    <x v="144"/>
    <x v="36"/>
    <x v="117"/>
    <x v="109"/>
    <x v="431"/>
    <x v="3"/>
  </r>
  <r>
    <x v="0"/>
    <x v="58"/>
    <x v="58"/>
    <x v="15"/>
    <x v="15"/>
    <x v="15"/>
    <x v="17"/>
    <x v="195"/>
    <x v="511"/>
    <x v="82"/>
    <x v="86"/>
    <x v="109"/>
    <x v="431"/>
    <x v="3"/>
  </r>
  <r>
    <x v="0"/>
    <x v="58"/>
    <x v="58"/>
    <x v="26"/>
    <x v="26"/>
    <x v="26"/>
    <x v="18"/>
    <x v="196"/>
    <x v="482"/>
    <x v="36"/>
    <x v="117"/>
    <x v="111"/>
    <x v="433"/>
    <x v="3"/>
  </r>
  <r>
    <x v="0"/>
    <x v="58"/>
    <x v="58"/>
    <x v="36"/>
    <x v="36"/>
    <x v="36"/>
    <x v="18"/>
    <x v="196"/>
    <x v="482"/>
    <x v="97"/>
    <x v="116"/>
    <x v="83"/>
    <x v="261"/>
    <x v="3"/>
  </r>
  <r>
    <x v="0"/>
    <x v="58"/>
    <x v="58"/>
    <x v="33"/>
    <x v="33"/>
    <x v="33"/>
    <x v="18"/>
    <x v="196"/>
    <x v="482"/>
    <x v="51"/>
    <x v="340"/>
    <x v="127"/>
    <x v="430"/>
    <x v="3"/>
  </r>
  <r>
    <x v="0"/>
    <x v="58"/>
    <x v="58"/>
    <x v="18"/>
    <x v="18"/>
    <x v="18"/>
    <x v="18"/>
    <x v="196"/>
    <x v="482"/>
    <x v="81"/>
    <x v="522"/>
    <x v="125"/>
    <x v="434"/>
    <x v="3"/>
  </r>
  <r>
    <x v="0"/>
    <x v="58"/>
    <x v="58"/>
    <x v="46"/>
    <x v="46"/>
    <x v="46"/>
    <x v="18"/>
    <x v="196"/>
    <x v="482"/>
    <x v="51"/>
    <x v="340"/>
    <x v="127"/>
    <x v="430"/>
    <x v="3"/>
  </r>
  <r>
    <x v="0"/>
    <x v="59"/>
    <x v="59"/>
    <x v="1"/>
    <x v="1"/>
    <x v="1"/>
    <x v="0"/>
    <x v="156"/>
    <x v="512"/>
    <x v="35"/>
    <x v="523"/>
    <x v="128"/>
    <x v="207"/>
    <x v="3"/>
  </r>
  <r>
    <x v="0"/>
    <x v="59"/>
    <x v="59"/>
    <x v="3"/>
    <x v="3"/>
    <x v="3"/>
    <x v="1"/>
    <x v="165"/>
    <x v="513"/>
    <x v="97"/>
    <x v="274"/>
    <x v="93"/>
    <x v="435"/>
    <x v="3"/>
  </r>
  <r>
    <x v="0"/>
    <x v="59"/>
    <x v="59"/>
    <x v="0"/>
    <x v="0"/>
    <x v="0"/>
    <x v="2"/>
    <x v="168"/>
    <x v="514"/>
    <x v="15"/>
    <x v="306"/>
    <x v="128"/>
    <x v="207"/>
    <x v="3"/>
  </r>
  <r>
    <x v="0"/>
    <x v="59"/>
    <x v="59"/>
    <x v="8"/>
    <x v="8"/>
    <x v="8"/>
    <x v="2"/>
    <x v="168"/>
    <x v="514"/>
    <x v="80"/>
    <x v="524"/>
    <x v="128"/>
    <x v="207"/>
    <x v="3"/>
  </r>
  <r>
    <x v="0"/>
    <x v="59"/>
    <x v="59"/>
    <x v="11"/>
    <x v="11"/>
    <x v="11"/>
    <x v="4"/>
    <x v="195"/>
    <x v="515"/>
    <x v="50"/>
    <x v="307"/>
    <x v="128"/>
    <x v="207"/>
    <x v="3"/>
  </r>
  <r>
    <x v="0"/>
    <x v="59"/>
    <x v="59"/>
    <x v="5"/>
    <x v="5"/>
    <x v="5"/>
    <x v="5"/>
    <x v="196"/>
    <x v="516"/>
    <x v="81"/>
    <x v="308"/>
    <x v="125"/>
    <x v="69"/>
    <x v="3"/>
  </r>
  <r>
    <x v="0"/>
    <x v="59"/>
    <x v="59"/>
    <x v="9"/>
    <x v="9"/>
    <x v="9"/>
    <x v="5"/>
    <x v="196"/>
    <x v="516"/>
    <x v="36"/>
    <x v="280"/>
    <x v="111"/>
    <x v="436"/>
    <x v="3"/>
  </r>
  <r>
    <x v="0"/>
    <x v="59"/>
    <x v="59"/>
    <x v="4"/>
    <x v="4"/>
    <x v="4"/>
    <x v="5"/>
    <x v="196"/>
    <x v="516"/>
    <x v="51"/>
    <x v="525"/>
    <x v="127"/>
    <x v="284"/>
    <x v="3"/>
  </r>
  <r>
    <x v="0"/>
    <x v="59"/>
    <x v="59"/>
    <x v="6"/>
    <x v="6"/>
    <x v="6"/>
    <x v="8"/>
    <x v="197"/>
    <x v="421"/>
    <x v="97"/>
    <x v="274"/>
    <x v="125"/>
    <x v="69"/>
    <x v="0"/>
  </r>
  <r>
    <x v="0"/>
    <x v="59"/>
    <x v="59"/>
    <x v="2"/>
    <x v="2"/>
    <x v="2"/>
    <x v="9"/>
    <x v="198"/>
    <x v="517"/>
    <x v="36"/>
    <x v="280"/>
    <x v="127"/>
    <x v="284"/>
    <x v="3"/>
  </r>
  <r>
    <x v="0"/>
    <x v="59"/>
    <x v="59"/>
    <x v="15"/>
    <x v="15"/>
    <x v="15"/>
    <x v="9"/>
    <x v="198"/>
    <x v="517"/>
    <x v="82"/>
    <x v="86"/>
    <x v="125"/>
    <x v="69"/>
    <x v="3"/>
  </r>
  <r>
    <x v="0"/>
    <x v="59"/>
    <x v="59"/>
    <x v="26"/>
    <x v="26"/>
    <x v="26"/>
    <x v="11"/>
    <x v="200"/>
    <x v="332"/>
    <x v="82"/>
    <x v="86"/>
    <x v="127"/>
    <x v="284"/>
    <x v="3"/>
  </r>
  <r>
    <x v="0"/>
    <x v="59"/>
    <x v="59"/>
    <x v="13"/>
    <x v="13"/>
    <x v="13"/>
    <x v="11"/>
    <x v="200"/>
    <x v="332"/>
    <x v="36"/>
    <x v="280"/>
    <x v="125"/>
    <x v="69"/>
    <x v="3"/>
  </r>
  <r>
    <x v="0"/>
    <x v="59"/>
    <x v="59"/>
    <x v="33"/>
    <x v="33"/>
    <x v="33"/>
    <x v="11"/>
    <x v="200"/>
    <x v="332"/>
    <x v="97"/>
    <x v="274"/>
    <x v="128"/>
    <x v="207"/>
    <x v="3"/>
  </r>
  <r>
    <x v="0"/>
    <x v="59"/>
    <x v="59"/>
    <x v="10"/>
    <x v="10"/>
    <x v="10"/>
    <x v="11"/>
    <x v="200"/>
    <x v="332"/>
    <x v="97"/>
    <x v="274"/>
    <x v="128"/>
    <x v="207"/>
    <x v="3"/>
  </r>
  <r>
    <x v="0"/>
    <x v="59"/>
    <x v="59"/>
    <x v="36"/>
    <x v="36"/>
    <x v="36"/>
    <x v="15"/>
    <x v="201"/>
    <x v="99"/>
    <x v="36"/>
    <x v="280"/>
    <x v="128"/>
    <x v="207"/>
    <x v="3"/>
  </r>
  <r>
    <x v="0"/>
    <x v="59"/>
    <x v="59"/>
    <x v="55"/>
    <x v="55"/>
    <x v="55"/>
    <x v="15"/>
    <x v="201"/>
    <x v="99"/>
    <x v="82"/>
    <x v="86"/>
    <x v="125"/>
    <x v="69"/>
    <x v="3"/>
  </r>
  <r>
    <x v="0"/>
    <x v="59"/>
    <x v="59"/>
    <x v="19"/>
    <x v="19"/>
    <x v="19"/>
    <x v="15"/>
    <x v="201"/>
    <x v="99"/>
    <x v="36"/>
    <x v="280"/>
    <x v="128"/>
    <x v="207"/>
    <x v="3"/>
  </r>
  <r>
    <x v="0"/>
    <x v="59"/>
    <x v="59"/>
    <x v="66"/>
    <x v="66"/>
    <x v="66"/>
    <x v="15"/>
    <x v="201"/>
    <x v="99"/>
    <x v="82"/>
    <x v="86"/>
    <x v="125"/>
    <x v="69"/>
    <x v="3"/>
  </r>
  <r>
    <x v="0"/>
    <x v="59"/>
    <x v="59"/>
    <x v="34"/>
    <x v="34"/>
    <x v="34"/>
    <x v="15"/>
    <x v="201"/>
    <x v="99"/>
    <x v="82"/>
    <x v="86"/>
    <x v="125"/>
    <x v="69"/>
    <x v="3"/>
  </r>
  <r>
    <x v="0"/>
    <x v="59"/>
    <x v="59"/>
    <x v="37"/>
    <x v="37"/>
    <x v="37"/>
    <x v="15"/>
    <x v="201"/>
    <x v="99"/>
    <x v="82"/>
    <x v="86"/>
    <x v="128"/>
    <x v="207"/>
    <x v="3"/>
  </r>
  <r>
    <x v="0"/>
    <x v="59"/>
    <x v="59"/>
    <x v="58"/>
    <x v="58"/>
    <x v="58"/>
    <x v="15"/>
    <x v="201"/>
    <x v="99"/>
    <x v="36"/>
    <x v="280"/>
    <x v="128"/>
    <x v="207"/>
    <x v="3"/>
  </r>
  <r>
    <x v="0"/>
    <x v="59"/>
    <x v="59"/>
    <x v="23"/>
    <x v="23"/>
    <x v="23"/>
    <x v="15"/>
    <x v="201"/>
    <x v="99"/>
    <x v="36"/>
    <x v="280"/>
    <x v="128"/>
    <x v="207"/>
    <x v="3"/>
  </r>
  <r>
    <x v="0"/>
    <x v="59"/>
    <x v="59"/>
    <x v="12"/>
    <x v="12"/>
    <x v="12"/>
    <x v="15"/>
    <x v="201"/>
    <x v="99"/>
    <x v="36"/>
    <x v="280"/>
    <x v="128"/>
    <x v="207"/>
    <x v="3"/>
  </r>
  <r>
    <x v="0"/>
    <x v="59"/>
    <x v="59"/>
    <x v="14"/>
    <x v="14"/>
    <x v="14"/>
    <x v="15"/>
    <x v="201"/>
    <x v="99"/>
    <x v="36"/>
    <x v="280"/>
    <x v="128"/>
    <x v="207"/>
    <x v="3"/>
  </r>
  <r>
    <x v="0"/>
    <x v="59"/>
    <x v="59"/>
    <x v="7"/>
    <x v="7"/>
    <x v="7"/>
    <x v="15"/>
    <x v="201"/>
    <x v="99"/>
    <x v="36"/>
    <x v="280"/>
    <x v="128"/>
    <x v="207"/>
    <x v="3"/>
  </r>
  <r>
    <x v="0"/>
    <x v="59"/>
    <x v="59"/>
    <x v="28"/>
    <x v="28"/>
    <x v="28"/>
    <x v="15"/>
    <x v="201"/>
    <x v="99"/>
    <x v="82"/>
    <x v="86"/>
    <x v="125"/>
    <x v="69"/>
    <x v="3"/>
  </r>
  <r>
    <x v="0"/>
    <x v="59"/>
    <x v="59"/>
    <x v="18"/>
    <x v="18"/>
    <x v="18"/>
    <x v="15"/>
    <x v="201"/>
    <x v="99"/>
    <x v="36"/>
    <x v="280"/>
    <x v="128"/>
    <x v="207"/>
    <x v="3"/>
  </r>
  <r>
    <x v="0"/>
    <x v="59"/>
    <x v="59"/>
    <x v="46"/>
    <x v="46"/>
    <x v="46"/>
    <x v="15"/>
    <x v="201"/>
    <x v="99"/>
    <x v="36"/>
    <x v="280"/>
    <x v="128"/>
    <x v="207"/>
    <x v="3"/>
  </r>
  <r>
    <x v="0"/>
    <x v="59"/>
    <x v="59"/>
    <x v="47"/>
    <x v="47"/>
    <x v="47"/>
    <x v="15"/>
    <x v="201"/>
    <x v="99"/>
    <x v="82"/>
    <x v="86"/>
    <x v="125"/>
    <x v="69"/>
    <x v="3"/>
  </r>
  <r>
    <x v="0"/>
    <x v="59"/>
    <x v="59"/>
    <x v="22"/>
    <x v="22"/>
    <x v="22"/>
    <x v="15"/>
    <x v="201"/>
    <x v="99"/>
    <x v="36"/>
    <x v="280"/>
    <x v="128"/>
    <x v="207"/>
    <x v="3"/>
  </r>
  <r>
    <x v="0"/>
    <x v="60"/>
    <x v="60"/>
    <x v="3"/>
    <x v="3"/>
    <x v="3"/>
    <x v="0"/>
    <x v="141"/>
    <x v="518"/>
    <x v="55"/>
    <x v="526"/>
    <x v="108"/>
    <x v="437"/>
    <x v="3"/>
  </r>
  <r>
    <x v="0"/>
    <x v="60"/>
    <x v="60"/>
    <x v="1"/>
    <x v="1"/>
    <x v="1"/>
    <x v="1"/>
    <x v="202"/>
    <x v="402"/>
    <x v="50"/>
    <x v="527"/>
    <x v="125"/>
    <x v="235"/>
    <x v="3"/>
  </r>
  <r>
    <x v="0"/>
    <x v="60"/>
    <x v="60"/>
    <x v="6"/>
    <x v="6"/>
    <x v="6"/>
    <x v="2"/>
    <x v="196"/>
    <x v="404"/>
    <x v="81"/>
    <x v="528"/>
    <x v="128"/>
    <x v="207"/>
    <x v="3"/>
  </r>
  <r>
    <x v="0"/>
    <x v="60"/>
    <x v="60"/>
    <x v="4"/>
    <x v="4"/>
    <x v="4"/>
    <x v="2"/>
    <x v="196"/>
    <x v="404"/>
    <x v="81"/>
    <x v="528"/>
    <x v="125"/>
    <x v="235"/>
    <x v="3"/>
  </r>
  <r>
    <x v="0"/>
    <x v="60"/>
    <x v="60"/>
    <x v="9"/>
    <x v="9"/>
    <x v="9"/>
    <x v="4"/>
    <x v="197"/>
    <x v="302"/>
    <x v="51"/>
    <x v="529"/>
    <x v="125"/>
    <x v="235"/>
    <x v="3"/>
  </r>
  <r>
    <x v="0"/>
    <x v="60"/>
    <x v="60"/>
    <x v="7"/>
    <x v="7"/>
    <x v="7"/>
    <x v="5"/>
    <x v="198"/>
    <x v="405"/>
    <x v="97"/>
    <x v="530"/>
    <x v="128"/>
    <x v="207"/>
    <x v="3"/>
  </r>
  <r>
    <x v="0"/>
    <x v="60"/>
    <x v="60"/>
    <x v="0"/>
    <x v="0"/>
    <x v="0"/>
    <x v="5"/>
    <x v="198"/>
    <x v="405"/>
    <x v="51"/>
    <x v="529"/>
    <x v="128"/>
    <x v="207"/>
    <x v="3"/>
  </r>
  <r>
    <x v="0"/>
    <x v="60"/>
    <x v="60"/>
    <x v="5"/>
    <x v="5"/>
    <x v="5"/>
    <x v="7"/>
    <x v="200"/>
    <x v="303"/>
    <x v="97"/>
    <x v="530"/>
    <x v="128"/>
    <x v="207"/>
    <x v="3"/>
  </r>
  <r>
    <x v="0"/>
    <x v="60"/>
    <x v="60"/>
    <x v="67"/>
    <x v="67"/>
    <x v="67"/>
    <x v="7"/>
    <x v="200"/>
    <x v="303"/>
    <x v="82"/>
    <x v="86"/>
    <x v="127"/>
    <x v="374"/>
    <x v="3"/>
  </r>
  <r>
    <x v="0"/>
    <x v="60"/>
    <x v="60"/>
    <x v="18"/>
    <x v="18"/>
    <x v="18"/>
    <x v="7"/>
    <x v="200"/>
    <x v="303"/>
    <x v="36"/>
    <x v="531"/>
    <x v="125"/>
    <x v="235"/>
    <x v="3"/>
  </r>
  <r>
    <x v="0"/>
    <x v="60"/>
    <x v="60"/>
    <x v="26"/>
    <x v="26"/>
    <x v="26"/>
    <x v="10"/>
    <x v="201"/>
    <x v="406"/>
    <x v="82"/>
    <x v="86"/>
    <x v="125"/>
    <x v="235"/>
    <x v="3"/>
  </r>
  <r>
    <x v="0"/>
    <x v="60"/>
    <x v="60"/>
    <x v="29"/>
    <x v="29"/>
    <x v="29"/>
    <x v="10"/>
    <x v="201"/>
    <x v="406"/>
    <x v="36"/>
    <x v="531"/>
    <x v="128"/>
    <x v="207"/>
    <x v="3"/>
  </r>
  <r>
    <x v="0"/>
    <x v="60"/>
    <x v="60"/>
    <x v="43"/>
    <x v="43"/>
    <x v="43"/>
    <x v="10"/>
    <x v="201"/>
    <x v="406"/>
    <x v="36"/>
    <x v="531"/>
    <x v="128"/>
    <x v="207"/>
    <x v="3"/>
  </r>
  <r>
    <x v="0"/>
    <x v="60"/>
    <x v="60"/>
    <x v="19"/>
    <x v="19"/>
    <x v="19"/>
    <x v="10"/>
    <x v="201"/>
    <x v="406"/>
    <x v="82"/>
    <x v="86"/>
    <x v="125"/>
    <x v="235"/>
    <x v="3"/>
  </r>
  <r>
    <x v="0"/>
    <x v="60"/>
    <x v="60"/>
    <x v="35"/>
    <x v="35"/>
    <x v="35"/>
    <x v="10"/>
    <x v="201"/>
    <x v="406"/>
    <x v="82"/>
    <x v="86"/>
    <x v="125"/>
    <x v="235"/>
    <x v="3"/>
  </r>
  <r>
    <x v="0"/>
    <x v="60"/>
    <x v="60"/>
    <x v="34"/>
    <x v="34"/>
    <x v="34"/>
    <x v="10"/>
    <x v="201"/>
    <x v="406"/>
    <x v="36"/>
    <x v="531"/>
    <x v="128"/>
    <x v="207"/>
    <x v="3"/>
  </r>
  <r>
    <x v="0"/>
    <x v="60"/>
    <x v="60"/>
    <x v="61"/>
    <x v="61"/>
    <x v="61"/>
    <x v="10"/>
    <x v="201"/>
    <x v="406"/>
    <x v="36"/>
    <x v="531"/>
    <x v="128"/>
    <x v="207"/>
    <x v="3"/>
  </r>
  <r>
    <x v="0"/>
    <x v="60"/>
    <x v="60"/>
    <x v="45"/>
    <x v="45"/>
    <x v="45"/>
    <x v="10"/>
    <x v="201"/>
    <x v="406"/>
    <x v="36"/>
    <x v="531"/>
    <x v="128"/>
    <x v="207"/>
    <x v="3"/>
  </r>
  <r>
    <x v="0"/>
    <x v="60"/>
    <x v="60"/>
    <x v="17"/>
    <x v="17"/>
    <x v="17"/>
    <x v="10"/>
    <x v="201"/>
    <x v="406"/>
    <x v="82"/>
    <x v="86"/>
    <x v="125"/>
    <x v="235"/>
    <x v="3"/>
  </r>
  <r>
    <x v="0"/>
    <x v="60"/>
    <x v="60"/>
    <x v="11"/>
    <x v="11"/>
    <x v="11"/>
    <x v="10"/>
    <x v="201"/>
    <x v="406"/>
    <x v="82"/>
    <x v="86"/>
    <x v="125"/>
    <x v="235"/>
    <x v="3"/>
  </r>
  <r>
    <x v="0"/>
    <x v="60"/>
    <x v="60"/>
    <x v="28"/>
    <x v="28"/>
    <x v="28"/>
    <x v="10"/>
    <x v="201"/>
    <x v="406"/>
    <x v="82"/>
    <x v="86"/>
    <x v="128"/>
    <x v="207"/>
    <x v="3"/>
  </r>
  <r>
    <x v="0"/>
    <x v="60"/>
    <x v="60"/>
    <x v="10"/>
    <x v="10"/>
    <x v="10"/>
    <x v="10"/>
    <x v="201"/>
    <x v="406"/>
    <x v="36"/>
    <x v="531"/>
    <x v="128"/>
    <x v="207"/>
    <x v="3"/>
  </r>
  <r>
    <x v="0"/>
    <x v="61"/>
    <x v="61"/>
    <x v="3"/>
    <x v="3"/>
    <x v="3"/>
    <x v="0"/>
    <x v="162"/>
    <x v="519"/>
    <x v="110"/>
    <x v="532"/>
    <x v="104"/>
    <x v="438"/>
    <x v="3"/>
  </r>
  <r>
    <x v="0"/>
    <x v="61"/>
    <x v="61"/>
    <x v="5"/>
    <x v="5"/>
    <x v="5"/>
    <x v="0"/>
    <x v="162"/>
    <x v="519"/>
    <x v="108"/>
    <x v="533"/>
    <x v="93"/>
    <x v="439"/>
    <x v="3"/>
  </r>
  <r>
    <x v="0"/>
    <x v="61"/>
    <x v="61"/>
    <x v="0"/>
    <x v="0"/>
    <x v="0"/>
    <x v="2"/>
    <x v="128"/>
    <x v="40"/>
    <x v="54"/>
    <x v="534"/>
    <x v="83"/>
    <x v="440"/>
    <x v="3"/>
  </r>
  <r>
    <x v="0"/>
    <x v="61"/>
    <x v="61"/>
    <x v="1"/>
    <x v="1"/>
    <x v="1"/>
    <x v="2"/>
    <x v="128"/>
    <x v="40"/>
    <x v="37"/>
    <x v="535"/>
    <x v="109"/>
    <x v="441"/>
    <x v="3"/>
  </r>
  <r>
    <x v="0"/>
    <x v="61"/>
    <x v="61"/>
    <x v="9"/>
    <x v="9"/>
    <x v="9"/>
    <x v="4"/>
    <x v="141"/>
    <x v="71"/>
    <x v="80"/>
    <x v="536"/>
    <x v="110"/>
    <x v="161"/>
    <x v="3"/>
  </r>
  <r>
    <x v="0"/>
    <x v="61"/>
    <x v="61"/>
    <x v="18"/>
    <x v="18"/>
    <x v="18"/>
    <x v="5"/>
    <x v="168"/>
    <x v="291"/>
    <x v="50"/>
    <x v="467"/>
    <x v="83"/>
    <x v="440"/>
    <x v="3"/>
  </r>
  <r>
    <x v="0"/>
    <x v="61"/>
    <x v="61"/>
    <x v="13"/>
    <x v="13"/>
    <x v="13"/>
    <x v="6"/>
    <x v="199"/>
    <x v="520"/>
    <x v="97"/>
    <x v="537"/>
    <x v="109"/>
    <x v="441"/>
    <x v="3"/>
  </r>
  <r>
    <x v="0"/>
    <x v="61"/>
    <x v="61"/>
    <x v="6"/>
    <x v="6"/>
    <x v="6"/>
    <x v="7"/>
    <x v="202"/>
    <x v="389"/>
    <x v="70"/>
    <x v="538"/>
    <x v="127"/>
    <x v="27"/>
    <x v="3"/>
  </r>
  <r>
    <x v="0"/>
    <x v="61"/>
    <x v="61"/>
    <x v="10"/>
    <x v="10"/>
    <x v="10"/>
    <x v="7"/>
    <x v="202"/>
    <x v="389"/>
    <x v="110"/>
    <x v="532"/>
    <x v="128"/>
    <x v="207"/>
    <x v="3"/>
  </r>
  <r>
    <x v="0"/>
    <x v="61"/>
    <x v="61"/>
    <x v="19"/>
    <x v="19"/>
    <x v="19"/>
    <x v="9"/>
    <x v="195"/>
    <x v="64"/>
    <x v="51"/>
    <x v="466"/>
    <x v="83"/>
    <x v="440"/>
    <x v="3"/>
  </r>
  <r>
    <x v="0"/>
    <x v="61"/>
    <x v="61"/>
    <x v="8"/>
    <x v="8"/>
    <x v="8"/>
    <x v="9"/>
    <x v="195"/>
    <x v="64"/>
    <x v="51"/>
    <x v="466"/>
    <x v="127"/>
    <x v="27"/>
    <x v="3"/>
  </r>
  <r>
    <x v="0"/>
    <x v="61"/>
    <x v="61"/>
    <x v="4"/>
    <x v="4"/>
    <x v="4"/>
    <x v="11"/>
    <x v="196"/>
    <x v="51"/>
    <x v="51"/>
    <x v="466"/>
    <x v="127"/>
    <x v="27"/>
    <x v="3"/>
  </r>
  <r>
    <x v="0"/>
    <x v="61"/>
    <x v="61"/>
    <x v="29"/>
    <x v="29"/>
    <x v="29"/>
    <x v="12"/>
    <x v="197"/>
    <x v="67"/>
    <x v="51"/>
    <x v="466"/>
    <x v="125"/>
    <x v="135"/>
    <x v="3"/>
  </r>
  <r>
    <x v="0"/>
    <x v="61"/>
    <x v="61"/>
    <x v="45"/>
    <x v="45"/>
    <x v="45"/>
    <x v="12"/>
    <x v="197"/>
    <x v="67"/>
    <x v="36"/>
    <x v="439"/>
    <x v="83"/>
    <x v="440"/>
    <x v="3"/>
  </r>
  <r>
    <x v="0"/>
    <x v="61"/>
    <x v="61"/>
    <x v="11"/>
    <x v="11"/>
    <x v="11"/>
    <x v="12"/>
    <x v="197"/>
    <x v="67"/>
    <x v="36"/>
    <x v="439"/>
    <x v="83"/>
    <x v="440"/>
    <x v="3"/>
  </r>
  <r>
    <x v="0"/>
    <x v="61"/>
    <x v="61"/>
    <x v="43"/>
    <x v="43"/>
    <x v="43"/>
    <x v="15"/>
    <x v="198"/>
    <x v="15"/>
    <x v="36"/>
    <x v="439"/>
    <x v="127"/>
    <x v="27"/>
    <x v="3"/>
  </r>
  <r>
    <x v="0"/>
    <x v="61"/>
    <x v="61"/>
    <x v="34"/>
    <x v="34"/>
    <x v="34"/>
    <x v="15"/>
    <x v="198"/>
    <x v="15"/>
    <x v="97"/>
    <x v="537"/>
    <x v="125"/>
    <x v="135"/>
    <x v="3"/>
  </r>
  <r>
    <x v="0"/>
    <x v="61"/>
    <x v="61"/>
    <x v="2"/>
    <x v="2"/>
    <x v="2"/>
    <x v="15"/>
    <x v="198"/>
    <x v="15"/>
    <x v="82"/>
    <x v="86"/>
    <x v="83"/>
    <x v="440"/>
    <x v="3"/>
  </r>
  <r>
    <x v="0"/>
    <x v="61"/>
    <x v="61"/>
    <x v="14"/>
    <x v="14"/>
    <x v="14"/>
    <x v="15"/>
    <x v="198"/>
    <x v="15"/>
    <x v="97"/>
    <x v="537"/>
    <x v="125"/>
    <x v="135"/>
    <x v="3"/>
  </r>
  <r>
    <x v="0"/>
    <x v="61"/>
    <x v="61"/>
    <x v="30"/>
    <x v="30"/>
    <x v="30"/>
    <x v="15"/>
    <x v="198"/>
    <x v="15"/>
    <x v="97"/>
    <x v="537"/>
    <x v="125"/>
    <x v="135"/>
    <x v="3"/>
  </r>
  <r>
    <x v="0"/>
    <x v="61"/>
    <x v="61"/>
    <x v="15"/>
    <x v="15"/>
    <x v="15"/>
    <x v="15"/>
    <x v="198"/>
    <x v="15"/>
    <x v="82"/>
    <x v="86"/>
    <x v="127"/>
    <x v="27"/>
    <x v="3"/>
  </r>
  <r>
    <x v="0"/>
    <x v="61"/>
    <x v="61"/>
    <x v="46"/>
    <x v="46"/>
    <x v="46"/>
    <x v="15"/>
    <x v="198"/>
    <x v="15"/>
    <x v="97"/>
    <x v="537"/>
    <x v="125"/>
    <x v="135"/>
    <x v="3"/>
  </r>
  <r>
    <x v="0"/>
    <x v="62"/>
    <x v="62"/>
    <x v="5"/>
    <x v="5"/>
    <x v="5"/>
    <x v="0"/>
    <x v="202"/>
    <x v="70"/>
    <x v="50"/>
    <x v="539"/>
    <x v="125"/>
    <x v="275"/>
    <x v="3"/>
  </r>
  <r>
    <x v="0"/>
    <x v="62"/>
    <x v="62"/>
    <x v="29"/>
    <x v="29"/>
    <x v="29"/>
    <x v="0"/>
    <x v="202"/>
    <x v="70"/>
    <x v="50"/>
    <x v="539"/>
    <x v="125"/>
    <x v="275"/>
    <x v="3"/>
  </r>
  <r>
    <x v="0"/>
    <x v="62"/>
    <x v="62"/>
    <x v="0"/>
    <x v="0"/>
    <x v="0"/>
    <x v="2"/>
    <x v="195"/>
    <x v="521"/>
    <x v="81"/>
    <x v="372"/>
    <x v="127"/>
    <x v="277"/>
    <x v="3"/>
  </r>
  <r>
    <x v="0"/>
    <x v="62"/>
    <x v="62"/>
    <x v="8"/>
    <x v="8"/>
    <x v="8"/>
    <x v="2"/>
    <x v="195"/>
    <x v="521"/>
    <x v="51"/>
    <x v="171"/>
    <x v="125"/>
    <x v="275"/>
    <x v="3"/>
  </r>
  <r>
    <x v="0"/>
    <x v="62"/>
    <x v="62"/>
    <x v="3"/>
    <x v="3"/>
    <x v="3"/>
    <x v="4"/>
    <x v="197"/>
    <x v="405"/>
    <x v="97"/>
    <x v="172"/>
    <x v="127"/>
    <x v="277"/>
    <x v="3"/>
  </r>
  <r>
    <x v="0"/>
    <x v="62"/>
    <x v="62"/>
    <x v="20"/>
    <x v="20"/>
    <x v="20"/>
    <x v="4"/>
    <x v="197"/>
    <x v="405"/>
    <x v="82"/>
    <x v="86"/>
    <x v="111"/>
    <x v="442"/>
    <x v="3"/>
  </r>
  <r>
    <x v="0"/>
    <x v="62"/>
    <x v="62"/>
    <x v="6"/>
    <x v="6"/>
    <x v="6"/>
    <x v="4"/>
    <x v="197"/>
    <x v="405"/>
    <x v="51"/>
    <x v="171"/>
    <x v="125"/>
    <x v="275"/>
    <x v="3"/>
  </r>
  <r>
    <x v="0"/>
    <x v="62"/>
    <x v="62"/>
    <x v="11"/>
    <x v="11"/>
    <x v="11"/>
    <x v="4"/>
    <x v="197"/>
    <x v="405"/>
    <x v="97"/>
    <x v="172"/>
    <x v="127"/>
    <x v="277"/>
    <x v="3"/>
  </r>
  <r>
    <x v="0"/>
    <x v="62"/>
    <x v="62"/>
    <x v="4"/>
    <x v="4"/>
    <x v="4"/>
    <x v="4"/>
    <x v="197"/>
    <x v="405"/>
    <x v="51"/>
    <x v="171"/>
    <x v="125"/>
    <x v="275"/>
    <x v="3"/>
  </r>
  <r>
    <x v="0"/>
    <x v="62"/>
    <x v="62"/>
    <x v="1"/>
    <x v="1"/>
    <x v="1"/>
    <x v="9"/>
    <x v="198"/>
    <x v="216"/>
    <x v="51"/>
    <x v="171"/>
    <x v="128"/>
    <x v="207"/>
    <x v="3"/>
  </r>
  <r>
    <x v="0"/>
    <x v="62"/>
    <x v="62"/>
    <x v="10"/>
    <x v="10"/>
    <x v="10"/>
    <x v="9"/>
    <x v="198"/>
    <x v="216"/>
    <x v="51"/>
    <x v="171"/>
    <x v="128"/>
    <x v="207"/>
    <x v="3"/>
  </r>
  <r>
    <x v="0"/>
    <x v="62"/>
    <x v="62"/>
    <x v="9"/>
    <x v="9"/>
    <x v="9"/>
    <x v="11"/>
    <x v="200"/>
    <x v="249"/>
    <x v="97"/>
    <x v="172"/>
    <x v="128"/>
    <x v="207"/>
    <x v="3"/>
  </r>
  <r>
    <x v="0"/>
    <x v="62"/>
    <x v="62"/>
    <x v="19"/>
    <x v="19"/>
    <x v="19"/>
    <x v="11"/>
    <x v="200"/>
    <x v="249"/>
    <x v="36"/>
    <x v="13"/>
    <x v="125"/>
    <x v="275"/>
    <x v="3"/>
  </r>
  <r>
    <x v="0"/>
    <x v="62"/>
    <x v="62"/>
    <x v="34"/>
    <x v="34"/>
    <x v="34"/>
    <x v="11"/>
    <x v="200"/>
    <x v="249"/>
    <x v="36"/>
    <x v="13"/>
    <x v="125"/>
    <x v="275"/>
    <x v="3"/>
  </r>
  <r>
    <x v="0"/>
    <x v="62"/>
    <x v="62"/>
    <x v="45"/>
    <x v="45"/>
    <x v="45"/>
    <x v="11"/>
    <x v="200"/>
    <x v="249"/>
    <x v="36"/>
    <x v="13"/>
    <x v="125"/>
    <x v="275"/>
    <x v="3"/>
  </r>
  <r>
    <x v="0"/>
    <x v="62"/>
    <x v="62"/>
    <x v="14"/>
    <x v="14"/>
    <x v="14"/>
    <x v="11"/>
    <x v="200"/>
    <x v="249"/>
    <x v="97"/>
    <x v="172"/>
    <x v="128"/>
    <x v="207"/>
    <x v="3"/>
  </r>
  <r>
    <x v="0"/>
    <x v="62"/>
    <x v="62"/>
    <x v="28"/>
    <x v="28"/>
    <x v="28"/>
    <x v="11"/>
    <x v="200"/>
    <x v="249"/>
    <x v="36"/>
    <x v="13"/>
    <x v="125"/>
    <x v="275"/>
    <x v="3"/>
  </r>
  <r>
    <x v="0"/>
    <x v="62"/>
    <x v="62"/>
    <x v="18"/>
    <x v="18"/>
    <x v="18"/>
    <x v="11"/>
    <x v="200"/>
    <x v="249"/>
    <x v="97"/>
    <x v="172"/>
    <x v="128"/>
    <x v="207"/>
    <x v="3"/>
  </r>
  <r>
    <x v="0"/>
    <x v="62"/>
    <x v="62"/>
    <x v="26"/>
    <x v="26"/>
    <x v="26"/>
    <x v="18"/>
    <x v="201"/>
    <x v="522"/>
    <x v="36"/>
    <x v="13"/>
    <x v="128"/>
    <x v="207"/>
    <x v="3"/>
  </r>
  <r>
    <x v="0"/>
    <x v="62"/>
    <x v="62"/>
    <x v="36"/>
    <x v="36"/>
    <x v="36"/>
    <x v="18"/>
    <x v="201"/>
    <x v="522"/>
    <x v="36"/>
    <x v="13"/>
    <x v="128"/>
    <x v="207"/>
    <x v="3"/>
  </r>
  <r>
    <x v="0"/>
    <x v="62"/>
    <x v="62"/>
    <x v="54"/>
    <x v="54"/>
    <x v="54"/>
    <x v="18"/>
    <x v="201"/>
    <x v="522"/>
    <x v="82"/>
    <x v="86"/>
    <x v="125"/>
    <x v="275"/>
    <x v="3"/>
  </r>
  <r>
    <x v="0"/>
    <x v="62"/>
    <x v="62"/>
    <x v="55"/>
    <x v="55"/>
    <x v="55"/>
    <x v="18"/>
    <x v="201"/>
    <x v="522"/>
    <x v="36"/>
    <x v="13"/>
    <x v="128"/>
    <x v="207"/>
    <x v="3"/>
  </r>
  <r>
    <x v="0"/>
    <x v="62"/>
    <x v="62"/>
    <x v="43"/>
    <x v="43"/>
    <x v="43"/>
    <x v="18"/>
    <x v="201"/>
    <x v="522"/>
    <x v="82"/>
    <x v="86"/>
    <x v="125"/>
    <x v="275"/>
    <x v="3"/>
  </r>
  <r>
    <x v="0"/>
    <x v="62"/>
    <x v="62"/>
    <x v="60"/>
    <x v="60"/>
    <x v="60"/>
    <x v="18"/>
    <x v="201"/>
    <x v="522"/>
    <x v="82"/>
    <x v="86"/>
    <x v="125"/>
    <x v="275"/>
    <x v="3"/>
  </r>
  <r>
    <x v="0"/>
    <x v="62"/>
    <x v="62"/>
    <x v="25"/>
    <x v="25"/>
    <x v="25"/>
    <x v="18"/>
    <x v="201"/>
    <x v="522"/>
    <x v="36"/>
    <x v="13"/>
    <x v="128"/>
    <x v="207"/>
    <x v="3"/>
  </r>
  <r>
    <x v="0"/>
    <x v="62"/>
    <x v="62"/>
    <x v="51"/>
    <x v="51"/>
    <x v="51"/>
    <x v="18"/>
    <x v="201"/>
    <x v="522"/>
    <x v="36"/>
    <x v="13"/>
    <x v="128"/>
    <x v="207"/>
    <x v="3"/>
  </r>
  <r>
    <x v="0"/>
    <x v="62"/>
    <x v="62"/>
    <x v="37"/>
    <x v="37"/>
    <x v="37"/>
    <x v="18"/>
    <x v="201"/>
    <x v="522"/>
    <x v="82"/>
    <x v="86"/>
    <x v="128"/>
    <x v="207"/>
    <x v="3"/>
  </r>
  <r>
    <x v="0"/>
    <x v="62"/>
    <x v="62"/>
    <x v="68"/>
    <x v="68"/>
    <x v="68"/>
    <x v="18"/>
    <x v="201"/>
    <x v="522"/>
    <x v="82"/>
    <x v="86"/>
    <x v="125"/>
    <x v="275"/>
    <x v="3"/>
  </r>
  <r>
    <x v="0"/>
    <x v="62"/>
    <x v="62"/>
    <x v="23"/>
    <x v="23"/>
    <x v="23"/>
    <x v="18"/>
    <x v="201"/>
    <x v="522"/>
    <x v="82"/>
    <x v="86"/>
    <x v="125"/>
    <x v="275"/>
    <x v="3"/>
  </r>
  <r>
    <x v="0"/>
    <x v="62"/>
    <x v="62"/>
    <x v="13"/>
    <x v="13"/>
    <x v="13"/>
    <x v="18"/>
    <x v="201"/>
    <x v="522"/>
    <x v="36"/>
    <x v="13"/>
    <x v="128"/>
    <x v="207"/>
    <x v="3"/>
  </r>
  <r>
    <x v="0"/>
    <x v="62"/>
    <x v="62"/>
    <x v="21"/>
    <x v="21"/>
    <x v="21"/>
    <x v="18"/>
    <x v="201"/>
    <x v="522"/>
    <x v="82"/>
    <x v="86"/>
    <x v="125"/>
    <x v="275"/>
    <x v="3"/>
  </r>
  <r>
    <x v="0"/>
    <x v="62"/>
    <x v="62"/>
    <x v="12"/>
    <x v="12"/>
    <x v="12"/>
    <x v="18"/>
    <x v="201"/>
    <x v="522"/>
    <x v="36"/>
    <x v="13"/>
    <x v="128"/>
    <x v="207"/>
    <x v="3"/>
  </r>
  <r>
    <x v="0"/>
    <x v="63"/>
    <x v="63"/>
    <x v="5"/>
    <x v="5"/>
    <x v="5"/>
    <x v="0"/>
    <x v="154"/>
    <x v="480"/>
    <x v="116"/>
    <x v="540"/>
    <x v="128"/>
    <x v="207"/>
    <x v="3"/>
  </r>
  <r>
    <x v="0"/>
    <x v="63"/>
    <x v="63"/>
    <x v="6"/>
    <x v="6"/>
    <x v="6"/>
    <x v="0"/>
    <x v="154"/>
    <x v="480"/>
    <x v="109"/>
    <x v="424"/>
    <x v="125"/>
    <x v="411"/>
    <x v="3"/>
  </r>
  <r>
    <x v="0"/>
    <x v="63"/>
    <x v="63"/>
    <x v="3"/>
    <x v="3"/>
    <x v="3"/>
    <x v="2"/>
    <x v="155"/>
    <x v="523"/>
    <x v="50"/>
    <x v="427"/>
    <x v="109"/>
    <x v="288"/>
    <x v="3"/>
  </r>
  <r>
    <x v="0"/>
    <x v="63"/>
    <x v="63"/>
    <x v="4"/>
    <x v="4"/>
    <x v="4"/>
    <x v="3"/>
    <x v="165"/>
    <x v="524"/>
    <x v="110"/>
    <x v="541"/>
    <x v="83"/>
    <x v="322"/>
    <x v="3"/>
  </r>
  <r>
    <x v="0"/>
    <x v="63"/>
    <x v="63"/>
    <x v="9"/>
    <x v="9"/>
    <x v="9"/>
    <x v="4"/>
    <x v="168"/>
    <x v="525"/>
    <x v="70"/>
    <x v="456"/>
    <x v="111"/>
    <x v="443"/>
    <x v="3"/>
  </r>
  <r>
    <x v="0"/>
    <x v="63"/>
    <x v="63"/>
    <x v="1"/>
    <x v="1"/>
    <x v="1"/>
    <x v="4"/>
    <x v="168"/>
    <x v="525"/>
    <x v="15"/>
    <x v="449"/>
    <x v="128"/>
    <x v="207"/>
    <x v="3"/>
  </r>
  <r>
    <x v="0"/>
    <x v="63"/>
    <x v="63"/>
    <x v="0"/>
    <x v="0"/>
    <x v="0"/>
    <x v="6"/>
    <x v="199"/>
    <x v="526"/>
    <x v="80"/>
    <x v="542"/>
    <x v="128"/>
    <x v="207"/>
    <x v="3"/>
  </r>
  <r>
    <x v="0"/>
    <x v="63"/>
    <x v="63"/>
    <x v="11"/>
    <x v="11"/>
    <x v="11"/>
    <x v="7"/>
    <x v="195"/>
    <x v="452"/>
    <x v="70"/>
    <x v="456"/>
    <x v="125"/>
    <x v="411"/>
    <x v="3"/>
  </r>
  <r>
    <x v="0"/>
    <x v="63"/>
    <x v="63"/>
    <x v="45"/>
    <x v="45"/>
    <x v="45"/>
    <x v="8"/>
    <x v="196"/>
    <x v="527"/>
    <x v="81"/>
    <x v="373"/>
    <x v="125"/>
    <x v="411"/>
    <x v="3"/>
  </r>
  <r>
    <x v="0"/>
    <x v="63"/>
    <x v="63"/>
    <x v="17"/>
    <x v="17"/>
    <x v="17"/>
    <x v="9"/>
    <x v="197"/>
    <x v="528"/>
    <x v="82"/>
    <x v="86"/>
    <x v="111"/>
    <x v="443"/>
    <x v="3"/>
  </r>
  <r>
    <x v="0"/>
    <x v="63"/>
    <x v="63"/>
    <x v="41"/>
    <x v="41"/>
    <x v="41"/>
    <x v="10"/>
    <x v="198"/>
    <x v="509"/>
    <x v="82"/>
    <x v="86"/>
    <x v="128"/>
    <x v="207"/>
    <x v="3"/>
  </r>
  <r>
    <x v="0"/>
    <x v="63"/>
    <x v="63"/>
    <x v="23"/>
    <x v="23"/>
    <x v="23"/>
    <x v="10"/>
    <x v="198"/>
    <x v="509"/>
    <x v="97"/>
    <x v="543"/>
    <x v="125"/>
    <x v="411"/>
    <x v="3"/>
  </r>
  <r>
    <x v="0"/>
    <x v="63"/>
    <x v="63"/>
    <x v="20"/>
    <x v="20"/>
    <x v="20"/>
    <x v="10"/>
    <x v="198"/>
    <x v="509"/>
    <x v="97"/>
    <x v="543"/>
    <x v="125"/>
    <x v="411"/>
    <x v="3"/>
  </r>
  <r>
    <x v="0"/>
    <x v="63"/>
    <x v="63"/>
    <x v="10"/>
    <x v="10"/>
    <x v="10"/>
    <x v="10"/>
    <x v="198"/>
    <x v="509"/>
    <x v="97"/>
    <x v="543"/>
    <x v="125"/>
    <x v="411"/>
    <x v="3"/>
  </r>
  <r>
    <x v="0"/>
    <x v="63"/>
    <x v="63"/>
    <x v="54"/>
    <x v="54"/>
    <x v="54"/>
    <x v="14"/>
    <x v="200"/>
    <x v="510"/>
    <x v="97"/>
    <x v="543"/>
    <x v="128"/>
    <x v="207"/>
    <x v="3"/>
  </r>
  <r>
    <x v="0"/>
    <x v="63"/>
    <x v="63"/>
    <x v="2"/>
    <x v="2"/>
    <x v="2"/>
    <x v="14"/>
    <x v="200"/>
    <x v="510"/>
    <x v="97"/>
    <x v="543"/>
    <x v="128"/>
    <x v="207"/>
    <x v="3"/>
  </r>
  <r>
    <x v="0"/>
    <x v="63"/>
    <x v="63"/>
    <x v="14"/>
    <x v="14"/>
    <x v="14"/>
    <x v="14"/>
    <x v="200"/>
    <x v="510"/>
    <x v="82"/>
    <x v="86"/>
    <x v="127"/>
    <x v="283"/>
    <x v="3"/>
  </r>
  <r>
    <x v="0"/>
    <x v="63"/>
    <x v="63"/>
    <x v="30"/>
    <x v="30"/>
    <x v="30"/>
    <x v="14"/>
    <x v="200"/>
    <x v="510"/>
    <x v="97"/>
    <x v="543"/>
    <x v="128"/>
    <x v="207"/>
    <x v="3"/>
  </r>
  <r>
    <x v="0"/>
    <x v="63"/>
    <x v="63"/>
    <x v="8"/>
    <x v="8"/>
    <x v="8"/>
    <x v="14"/>
    <x v="200"/>
    <x v="510"/>
    <x v="82"/>
    <x v="86"/>
    <x v="125"/>
    <x v="411"/>
    <x v="3"/>
  </r>
  <r>
    <x v="0"/>
    <x v="63"/>
    <x v="63"/>
    <x v="15"/>
    <x v="15"/>
    <x v="15"/>
    <x v="14"/>
    <x v="200"/>
    <x v="510"/>
    <x v="82"/>
    <x v="86"/>
    <x v="128"/>
    <x v="207"/>
    <x v="3"/>
  </r>
  <r>
    <x v="0"/>
    <x v="63"/>
    <x v="63"/>
    <x v="46"/>
    <x v="46"/>
    <x v="46"/>
    <x v="14"/>
    <x v="200"/>
    <x v="510"/>
    <x v="36"/>
    <x v="148"/>
    <x v="125"/>
    <x v="411"/>
    <x v="3"/>
  </r>
  <r>
    <x v="0"/>
    <x v="64"/>
    <x v="64"/>
    <x v="1"/>
    <x v="1"/>
    <x v="1"/>
    <x v="0"/>
    <x v="87"/>
    <x v="513"/>
    <x v="104"/>
    <x v="544"/>
    <x v="109"/>
    <x v="162"/>
    <x v="3"/>
  </r>
  <r>
    <x v="0"/>
    <x v="64"/>
    <x v="64"/>
    <x v="4"/>
    <x v="4"/>
    <x v="4"/>
    <x v="1"/>
    <x v="167"/>
    <x v="489"/>
    <x v="78"/>
    <x v="545"/>
    <x v="63"/>
    <x v="444"/>
    <x v="3"/>
  </r>
  <r>
    <x v="0"/>
    <x v="64"/>
    <x v="64"/>
    <x v="3"/>
    <x v="3"/>
    <x v="3"/>
    <x v="2"/>
    <x v="90"/>
    <x v="529"/>
    <x v="116"/>
    <x v="405"/>
    <x v="82"/>
    <x v="445"/>
    <x v="3"/>
  </r>
  <r>
    <x v="0"/>
    <x v="64"/>
    <x v="64"/>
    <x v="5"/>
    <x v="5"/>
    <x v="5"/>
    <x v="3"/>
    <x v="125"/>
    <x v="530"/>
    <x v="47"/>
    <x v="546"/>
    <x v="109"/>
    <x v="162"/>
    <x v="3"/>
  </r>
  <r>
    <x v="0"/>
    <x v="64"/>
    <x v="64"/>
    <x v="9"/>
    <x v="9"/>
    <x v="9"/>
    <x v="4"/>
    <x v="129"/>
    <x v="531"/>
    <x v="55"/>
    <x v="547"/>
    <x v="93"/>
    <x v="343"/>
    <x v="3"/>
  </r>
  <r>
    <x v="0"/>
    <x v="64"/>
    <x v="64"/>
    <x v="0"/>
    <x v="0"/>
    <x v="0"/>
    <x v="4"/>
    <x v="129"/>
    <x v="531"/>
    <x v="53"/>
    <x v="548"/>
    <x v="128"/>
    <x v="207"/>
    <x v="3"/>
  </r>
  <r>
    <x v="0"/>
    <x v="64"/>
    <x v="64"/>
    <x v="8"/>
    <x v="8"/>
    <x v="8"/>
    <x v="4"/>
    <x v="129"/>
    <x v="531"/>
    <x v="37"/>
    <x v="549"/>
    <x v="127"/>
    <x v="48"/>
    <x v="3"/>
  </r>
  <r>
    <x v="0"/>
    <x v="64"/>
    <x v="64"/>
    <x v="6"/>
    <x v="6"/>
    <x v="6"/>
    <x v="7"/>
    <x v="140"/>
    <x v="532"/>
    <x v="116"/>
    <x v="405"/>
    <x v="83"/>
    <x v="173"/>
    <x v="3"/>
  </r>
  <r>
    <x v="0"/>
    <x v="64"/>
    <x v="64"/>
    <x v="10"/>
    <x v="10"/>
    <x v="10"/>
    <x v="8"/>
    <x v="154"/>
    <x v="473"/>
    <x v="35"/>
    <x v="550"/>
    <x v="127"/>
    <x v="48"/>
    <x v="3"/>
  </r>
  <r>
    <x v="0"/>
    <x v="64"/>
    <x v="64"/>
    <x v="12"/>
    <x v="12"/>
    <x v="12"/>
    <x v="9"/>
    <x v="165"/>
    <x v="533"/>
    <x v="80"/>
    <x v="551"/>
    <x v="127"/>
    <x v="48"/>
    <x v="3"/>
  </r>
  <r>
    <x v="0"/>
    <x v="64"/>
    <x v="64"/>
    <x v="13"/>
    <x v="13"/>
    <x v="13"/>
    <x v="10"/>
    <x v="199"/>
    <x v="534"/>
    <x v="51"/>
    <x v="552"/>
    <x v="108"/>
    <x v="345"/>
    <x v="3"/>
  </r>
  <r>
    <x v="0"/>
    <x v="64"/>
    <x v="64"/>
    <x v="11"/>
    <x v="11"/>
    <x v="11"/>
    <x v="10"/>
    <x v="199"/>
    <x v="534"/>
    <x v="70"/>
    <x v="553"/>
    <x v="83"/>
    <x v="173"/>
    <x v="3"/>
  </r>
  <r>
    <x v="0"/>
    <x v="64"/>
    <x v="64"/>
    <x v="2"/>
    <x v="2"/>
    <x v="2"/>
    <x v="10"/>
    <x v="199"/>
    <x v="534"/>
    <x v="51"/>
    <x v="552"/>
    <x v="108"/>
    <x v="345"/>
    <x v="3"/>
  </r>
  <r>
    <x v="0"/>
    <x v="64"/>
    <x v="64"/>
    <x v="14"/>
    <x v="14"/>
    <x v="14"/>
    <x v="13"/>
    <x v="202"/>
    <x v="332"/>
    <x v="81"/>
    <x v="554"/>
    <x v="127"/>
    <x v="48"/>
    <x v="0"/>
  </r>
  <r>
    <x v="0"/>
    <x v="64"/>
    <x v="64"/>
    <x v="16"/>
    <x v="16"/>
    <x v="16"/>
    <x v="14"/>
    <x v="195"/>
    <x v="479"/>
    <x v="97"/>
    <x v="213"/>
    <x v="111"/>
    <x v="216"/>
    <x v="3"/>
  </r>
  <r>
    <x v="0"/>
    <x v="64"/>
    <x v="64"/>
    <x v="45"/>
    <x v="45"/>
    <x v="45"/>
    <x v="15"/>
    <x v="196"/>
    <x v="267"/>
    <x v="81"/>
    <x v="554"/>
    <x v="125"/>
    <x v="271"/>
    <x v="3"/>
  </r>
  <r>
    <x v="0"/>
    <x v="64"/>
    <x v="64"/>
    <x v="7"/>
    <x v="7"/>
    <x v="7"/>
    <x v="15"/>
    <x v="196"/>
    <x v="267"/>
    <x v="81"/>
    <x v="554"/>
    <x v="125"/>
    <x v="271"/>
    <x v="3"/>
  </r>
  <r>
    <x v="0"/>
    <x v="64"/>
    <x v="64"/>
    <x v="30"/>
    <x v="30"/>
    <x v="30"/>
    <x v="15"/>
    <x v="196"/>
    <x v="267"/>
    <x v="81"/>
    <x v="554"/>
    <x v="125"/>
    <x v="271"/>
    <x v="3"/>
  </r>
  <r>
    <x v="0"/>
    <x v="64"/>
    <x v="64"/>
    <x v="33"/>
    <x v="33"/>
    <x v="33"/>
    <x v="18"/>
    <x v="197"/>
    <x v="56"/>
    <x v="97"/>
    <x v="213"/>
    <x v="127"/>
    <x v="48"/>
    <x v="3"/>
  </r>
  <r>
    <x v="0"/>
    <x v="64"/>
    <x v="64"/>
    <x v="31"/>
    <x v="31"/>
    <x v="31"/>
    <x v="18"/>
    <x v="197"/>
    <x v="56"/>
    <x v="36"/>
    <x v="278"/>
    <x v="125"/>
    <x v="271"/>
    <x v="0"/>
  </r>
  <r>
    <x v="0"/>
    <x v="64"/>
    <x v="64"/>
    <x v="15"/>
    <x v="15"/>
    <x v="15"/>
    <x v="18"/>
    <x v="197"/>
    <x v="56"/>
    <x v="36"/>
    <x v="278"/>
    <x v="83"/>
    <x v="173"/>
    <x v="3"/>
  </r>
  <r>
    <x v="0"/>
    <x v="64"/>
    <x v="64"/>
    <x v="46"/>
    <x v="46"/>
    <x v="46"/>
    <x v="18"/>
    <x v="197"/>
    <x v="56"/>
    <x v="97"/>
    <x v="213"/>
    <x v="127"/>
    <x v="48"/>
    <x v="3"/>
  </r>
  <r>
    <x v="0"/>
    <x v="65"/>
    <x v="65"/>
    <x v="3"/>
    <x v="3"/>
    <x v="3"/>
    <x v="0"/>
    <x v="107"/>
    <x v="535"/>
    <x v="108"/>
    <x v="311"/>
    <x v="85"/>
    <x v="446"/>
    <x v="3"/>
  </r>
  <r>
    <x v="0"/>
    <x v="65"/>
    <x v="65"/>
    <x v="0"/>
    <x v="0"/>
    <x v="0"/>
    <x v="1"/>
    <x v="138"/>
    <x v="536"/>
    <x v="69"/>
    <x v="310"/>
    <x v="128"/>
    <x v="207"/>
    <x v="3"/>
  </r>
  <r>
    <x v="0"/>
    <x v="65"/>
    <x v="65"/>
    <x v="1"/>
    <x v="1"/>
    <x v="1"/>
    <x v="2"/>
    <x v="167"/>
    <x v="305"/>
    <x v="76"/>
    <x v="555"/>
    <x v="109"/>
    <x v="447"/>
    <x v="3"/>
  </r>
  <r>
    <x v="0"/>
    <x v="65"/>
    <x v="65"/>
    <x v="5"/>
    <x v="5"/>
    <x v="5"/>
    <x v="3"/>
    <x v="139"/>
    <x v="537"/>
    <x v="108"/>
    <x v="311"/>
    <x v="111"/>
    <x v="448"/>
    <x v="3"/>
  </r>
  <r>
    <x v="0"/>
    <x v="65"/>
    <x v="65"/>
    <x v="6"/>
    <x v="6"/>
    <x v="6"/>
    <x v="4"/>
    <x v="129"/>
    <x v="226"/>
    <x v="78"/>
    <x v="556"/>
    <x v="127"/>
    <x v="273"/>
    <x v="3"/>
  </r>
  <r>
    <x v="0"/>
    <x v="65"/>
    <x v="65"/>
    <x v="4"/>
    <x v="4"/>
    <x v="4"/>
    <x v="5"/>
    <x v="140"/>
    <x v="538"/>
    <x v="80"/>
    <x v="47"/>
    <x v="93"/>
    <x v="449"/>
    <x v="3"/>
  </r>
  <r>
    <x v="0"/>
    <x v="65"/>
    <x v="65"/>
    <x v="9"/>
    <x v="9"/>
    <x v="9"/>
    <x v="6"/>
    <x v="154"/>
    <x v="178"/>
    <x v="50"/>
    <x v="557"/>
    <x v="110"/>
    <x v="450"/>
    <x v="3"/>
  </r>
  <r>
    <x v="0"/>
    <x v="65"/>
    <x v="65"/>
    <x v="11"/>
    <x v="11"/>
    <x v="11"/>
    <x v="6"/>
    <x v="154"/>
    <x v="178"/>
    <x v="15"/>
    <x v="558"/>
    <x v="111"/>
    <x v="448"/>
    <x v="3"/>
  </r>
  <r>
    <x v="0"/>
    <x v="65"/>
    <x v="65"/>
    <x v="10"/>
    <x v="10"/>
    <x v="10"/>
    <x v="8"/>
    <x v="156"/>
    <x v="539"/>
    <x v="35"/>
    <x v="559"/>
    <x v="128"/>
    <x v="207"/>
    <x v="3"/>
  </r>
  <r>
    <x v="0"/>
    <x v="65"/>
    <x v="65"/>
    <x v="12"/>
    <x v="12"/>
    <x v="12"/>
    <x v="9"/>
    <x v="165"/>
    <x v="26"/>
    <x v="55"/>
    <x v="312"/>
    <x v="128"/>
    <x v="207"/>
    <x v="3"/>
  </r>
  <r>
    <x v="0"/>
    <x v="65"/>
    <x v="65"/>
    <x v="8"/>
    <x v="8"/>
    <x v="8"/>
    <x v="10"/>
    <x v="168"/>
    <x v="123"/>
    <x v="110"/>
    <x v="123"/>
    <x v="127"/>
    <x v="273"/>
    <x v="3"/>
  </r>
  <r>
    <x v="0"/>
    <x v="65"/>
    <x v="65"/>
    <x v="16"/>
    <x v="16"/>
    <x v="16"/>
    <x v="11"/>
    <x v="199"/>
    <x v="340"/>
    <x v="82"/>
    <x v="86"/>
    <x v="93"/>
    <x v="449"/>
    <x v="3"/>
  </r>
  <r>
    <x v="0"/>
    <x v="65"/>
    <x v="65"/>
    <x v="14"/>
    <x v="14"/>
    <x v="14"/>
    <x v="12"/>
    <x v="195"/>
    <x v="110"/>
    <x v="81"/>
    <x v="560"/>
    <x v="127"/>
    <x v="273"/>
    <x v="3"/>
  </r>
  <r>
    <x v="0"/>
    <x v="65"/>
    <x v="65"/>
    <x v="15"/>
    <x v="15"/>
    <x v="15"/>
    <x v="12"/>
    <x v="195"/>
    <x v="110"/>
    <x v="82"/>
    <x v="86"/>
    <x v="109"/>
    <x v="447"/>
    <x v="3"/>
  </r>
  <r>
    <x v="0"/>
    <x v="65"/>
    <x v="65"/>
    <x v="19"/>
    <x v="19"/>
    <x v="19"/>
    <x v="14"/>
    <x v="197"/>
    <x v="16"/>
    <x v="82"/>
    <x v="86"/>
    <x v="111"/>
    <x v="448"/>
    <x v="3"/>
  </r>
  <r>
    <x v="0"/>
    <x v="65"/>
    <x v="65"/>
    <x v="24"/>
    <x v="24"/>
    <x v="24"/>
    <x v="14"/>
    <x v="197"/>
    <x v="16"/>
    <x v="97"/>
    <x v="53"/>
    <x v="127"/>
    <x v="273"/>
    <x v="3"/>
  </r>
  <r>
    <x v="0"/>
    <x v="65"/>
    <x v="65"/>
    <x v="33"/>
    <x v="33"/>
    <x v="33"/>
    <x v="14"/>
    <x v="197"/>
    <x v="16"/>
    <x v="36"/>
    <x v="561"/>
    <x v="83"/>
    <x v="136"/>
    <x v="3"/>
  </r>
  <r>
    <x v="0"/>
    <x v="65"/>
    <x v="65"/>
    <x v="29"/>
    <x v="29"/>
    <x v="29"/>
    <x v="17"/>
    <x v="198"/>
    <x v="324"/>
    <x v="97"/>
    <x v="53"/>
    <x v="125"/>
    <x v="451"/>
    <x v="3"/>
  </r>
  <r>
    <x v="0"/>
    <x v="65"/>
    <x v="65"/>
    <x v="57"/>
    <x v="57"/>
    <x v="57"/>
    <x v="17"/>
    <x v="198"/>
    <x v="324"/>
    <x v="97"/>
    <x v="53"/>
    <x v="125"/>
    <x v="451"/>
    <x v="3"/>
  </r>
  <r>
    <x v="0"/>
    <x v="65"/>
    <x v="65"/>
    <x v="23"/>
    <x v="23"/>
    <x v="23"/>
    <x v="17"/>
    <x v="198"/>
    <x v="324"/>
    <x v="97"/>
    <x v="53"/>
    <x v="125"/>
    <x v="451"/>
    <x v="3"/>
  </r>
  <r>
    <x v="0"/>
    <x v="65"/>
    <x v="65"/>
    <x v="32"/>
    <x v="32"/>
    <x v="32"/>
    <x v="17"/>
    <x v="198"/>
    <x v="324"/>
    <x v="97"/>
    <x v="53"/>
    <x v="125"/>
    <x v="451"/>
    <x v="3"/>
  </r>
  <r>
    <x v="0"/>
    <x v="65"/>
    <x v="65"/>
    <x v="21"/>
    <x v="21"/>
    <x v="21"/>
    <x v="17"/>
    <x v="198"/>
    <x v="324"/>
    <x v="36"/>
    <x v="561"/>
    <x v="127"/>
    <x v="273"/>
    <x v="3"/>
  </r>
  <r>
    <x v="0"/>
    <x v="65"/>
    <x v="65"/>
    <x v="18"/>
    <x v="18"/>
    <x v="18"/>
    <x v="17"/>
    <x v="198"/>
    <x v="324"/>
    <x v="51"/>
    <x v="562"/>
    <x v="128"/>
    <x v="207"/>
    <x v="3"/>
  </r>
  <r>
    <x v="0"/>
    <x v="66"/>
    <x v="66"/>
    <x v="7"/>
    <x v="7"/>
    <x v="7"/>
    <x v="0"/>
    <x v="205"/>
    <x v="540"/>
    <x v="147"/>
    <x v="563"/>
    <x v="139"/>
    <x v="452"/>
    <x v="3"/>
  </r>
  <r>
    <x v="0"/>
    <x v="66"/>
    <x v="66"/>
    <x v="0"/>
    <x v="0"/>
    <x v="0"/>
    <x v="1"/>
    <x v="69"/>
    <x v="541"/>
    <x v="148"/>
    <x v="564"/>
    <x v="47"/>
    <x v="138"/>
    <x v="3"/>
  </r>
  <r>
    <x v="0"/>
    <x v="66"/>
    <x v="66"/>
    <x v="2"/>
    <x v="2"/>
    <x v="2"/>
    <x v="2"/>
    <x v="115"/>
    <x v="355"/>
    <x v="106"/>
    <x v="565"/>
    <x v="63"/>
    <x v="453"/>
    <x v="3"/>
  </r>
  <r>
    <x v="0"/>
    <x v="66"/>
    <x v="66"/>
    <x v="4"/>
    <x v="4"/>
    <x v="4"/>
    <x v="3"/>
    <x v="89"/>
    <x v="542"/>
    <x v="116"/>
    <x v="221"/>
    <x v="85"/>
    <x v="454"/>
    <x v="3"/>
  </r>
  <r>
    <x v="0"/>
    <x v="66"/>
    <x v="66"/>
    <x v="3"/>
    <x v="3"/>
    <x v="3"/>
    <x v="4"/>
    <x v="90"/>
    <x v="122"/>
    <x v="80"/>
    <x v="200"/>
    <x v="84"/>
    <x v="455"/>
    <x v="3"/>
  </r>
  <r>
    <x v="0"/>
    <x v="66"/>
    <x v="66"/>
    <x v="1"/>
    <x v="1"/>
    <x v="1"/>
    <x v="4"/>
    <x v="90"/>
    <x v="122"/>
    <x v="98"/>
    <x v="8"/>
    <x v="110"/>
    <x v="456"/>
    <x v="3"/>
  </r>
  <r>
    <x v="0"/>
    <x v="66"/>
    <x v="66"/>
    <x v="6"/>
    <x v="6"/>
    <x v="6"/>
    <x v="6"/>
    <x v="152"/>
    <x v="543"/>
    <x v="116"/>
    <x v="221"/>
    <x v="86"/>
    <x v="6"/>
    <x v="3"/>
  </r>
  <r>
    <x v="0"/>
    <x v="66"/>
    <x v="66"/>
    <x v="9"/>
    <x v="9"/>
    <x v="9"/>
    <x v="7"/>
    <x v="141"/>
    <x v="392"/>
    <x v="50"/>
    <x v="243"/>
    <x v="86"/>
    <x v="6"/>
    <x v="3"/>
  </r>
  <r>
    <x v="0"/>
    <x v="66"/>
    <x v="66"/>
    <x v="5"/>
    <x v="5"/>
    <x v="5"/>
    <x v="8"/>
    <x v="155"/>
    <x v="128"/>
    <x v="50"/>
    <x v="243"/>
    <x v="109"/>
    <x v="226"/>
    <x v="3"/>
  </r>
  <r>
    <x v="0"/>
    <x v="66"/>
    <x v="66"/>
    <x v="8"/>
    <x v="8"/>
    <x v="8"/>
    <x v="8"/>
    <x v="155"/>
    <x v="128"/>
    <x v="51"/>
    <x v="350"/>
    <x v="93"/>
    <x v="169"/>
    <x v="3"/>
  </r>
  <r>
    <x v="0"/>
    <x v="66"/>
    <x v="66"/>
    <x v="10"/>
    <x v="10"/>
    <x v="10"/>
    <x v="10"/>
    <x v="165"/>
    <x v="37"/>
    <x v="55"/>
    <x v="566"/>
    <x v="128"/>
    <x v="207"/>
    <x v="3"/>
  </r>
  <r>
    <x v="0"/>
    <x v="66"/>
    <x v="66"/>
    <x v="21"/>
    <x v="21"/>
    <x v="21"/>
    <x v="11"/>
    <x v="168"/>
    <x v="19"/>
    <x v="36"/>
    <x v="36"/>
    <x v="93"/>
    <x v="169"/>
    <x v="3"/>
  </r>
  <r>
    <x v="0"/>
    <x v="66"/>
    <x v="66"/>
    <x v="14"/>
    <x v="14"/>
    <x v="14"/>
    <x v="11"/>
    <x v="168"/>
    <x v="19"/>
    <x v="81"/>
    <x v="16"/>
    <x v="127"/>
    <x v="272"/>
    <x v="3"/>
  </r>
  <r>
    <x v="0"/>
    <x v="66"/>
    <x v="66"/>
    <x v="13"/>
    <x v="13"/>
    <x v="13"/>
    <x v="13"/>
    <x v="199"/>
    <x v="544"/>
    <x v="50"/>
    <x v="243"/>
    <x v="127"/>
    <x v="272"/>
    <x v="3"/>
  </r>
  <r>
    <x v="0"/>
    <x v="66"/>
    <x v="66"/>
    <x v="52"/>
    <x v="52"/>
    <x v="52"/>
    <x v="13"/>
    <x v="199"/>
    <x v="544"/>
    <x v="51"/>
    <x v="350"/>
    <x v="108"/>
    <x v="114"/>
    <x v="3"/>
  </r>
  <r>
    <x v="0"/>
    <x v="66"/>
    <x v="66"/>
    <x v="31"/>
    <x v="31"/>
    <x v="31"/>
    <x v="13"/>
    <x v="199"/>
    <x v="544"/>
    <x v="36"/>
    <x v="36"/>
    <x v="109"/>
    <x v="226"/>
    <x v="3"/>
  </r>
  <r>
    <x v="0"/>
    <x v="66"/>
    <x v="66"/>
    <x v="15"/>
    <x v="15"/>
    <x v="15"/>
    <x v="16"/>
    <x v="195"/>
    <x v="545"/>
    <x v="36"/>
    <x v="36"/>
    <x v="111"/>
    <x v="457"/>
    <x v="3"/>
  </r>
  <r>
    <x v="0"/>
    <x v="66"/>
    <x v="66"/>
    <x v="12"/>
    <x v="12"/>
    <x v="12"/>
    <x v="17"/>
    <x v="196"/>
    <x v="546"/>
    <x v="51"/>
    <x v="350"/>
    <x v="127"/>
    <x v="272"/>
    <x v="3"/>
  </r>
  <r>
    <x v="0"/>
    <x v="66"/>
    <x v="66"/>
    <x v="26"/>
    <x v="26"/>
    <x v="26"/>
    <x v="18"/>
    <x v="197"/>
    <x v="547"/>
    <x v="51"/>
    <x v="350"/>
    <x v="125"/>
    <x v="458"/>
    <x v="3"/>
  </r>
  <r>
    <x v="0"/>
    <x v="66"/>
    <x v="66"/>
    <x v="20"/>
    <x v="20"/>
    <x v="20"/>
    <x v="18"/>
    <x v="197"/>
    <x v="547"/>
    <x v="97"/>
    <x v="567"/>
    <x v="127"/>
    <x v="272"/>
    <x v="3"/>
  </r>
  <r>
    <x v="0"/>
    <x v="66"/>
    <x v="66"/>
    <x v="22"/>
    <x v="22"/>
    <x v="22"/>
    <x v="18"/>
    <x v="197"/>
    <x v="547"/>
    <x v="82"/>
    <x v="86"/>
    <x v="111"/>
    <x v="457"/>
    <x v="3"/>
  </r>
  <r>
    <x v="0"/>
    <x v="67"/>
    <x v="67"/>
    <x v="7"/>
    <x v="7"/>
    <x v="7"/>
    <x v="0"/>
    <x v="206"/>
    <x v="548"/>
    <x v="148"/>
    <x v="568"/>
    <x v="79"/>
    <x v="459"/>
    <x v="0"/>
  </r>
  <r>
    <x v="0"/>
    <x v="67"/>
    <x v="67"/>
    <x v="0"/>
    <x v="0"/>
    <x v="0"/>
    <x v="1"/>
    <x v="130"/>
    <x v="175"/>
    <x v="37"/>
    <x v="317"/>
    <x v="83"/>
    <x v="359"/>
    <x v="3"/>
  </r>
  <r>
    <x v="0"/>
    <x v="67"/>
    <x v="67"/>
    <x v="6"/>
    <x v="6"/>
    <x v="6"/>
    <x v="2"/>
    <x v="153"/>
    <x v="549"/>
    <x v="80"/>
    <x v="285"/>
    <x v="108"/>
    <x v="460"/>
    <x v="0"/>
  </r>
  <r>
    <x v="0"/>
    <x v="67"/>
    <x v="67"/>
    <x v="3"/>
    <x v="3"/>
    <x v="3"/>
    <x v="3"/>
    <x v="155"/>
    <x v="176"/>
    <x v="70"/>
    <x v="208"/>
    <x v="110"/>
    <x v="461"/>
    <x v="3"/>
  </r>
  <r>
    <x v="0"/>
    <x v="67"/>
    <x v="67"/>
    <x v="1"/>
    <x v="1"/>
    <x v="1"/>
    <x v="4"/>
    <x v="156"/>
    <x v="550"/>
    <x v="15"/>
    <x v="168"/>
    <x v="127"/>
    <x v="145"/>
    <x v="3"/>
  </r>
  <r>
    <x v="0"/>
    <x v="67"/>
    <x v="67"/>
    <x v="4"/>
    <x v="4"/>
    <x v="4"/>
    <x v="5"/>
    <x v="168"/>
    <x v="379"/>
    <x v="51"/>
    <x v="209"/>
    <x v="109"/>
    <x v="422"/>
    <x v="3"/>
  </r>
  <r>
    <x v="0"/>
    <x v="67"/>
    <x v="67"/>
    <x v="5"/>
    <x v="5"/>
    <x v="5"/>
    <x v="6"/>
    <x v="202"/>
    <x v="218"/>
    <x v="81"/>
    <x v="210"/>
    <x v="83"/>
    <x v="359"/>
    <x v="3"/>
  </r>
  <r>
    <x v="0"/>
    <x v="67"/>
    <x v="67"/>
    <x v="8"/>
    <x v="8"/>
    <x v="8"/>
    <x v="6"/>
    <x v="202"/>
    <x v="218"/>
    <x v="97"/>
    <x v="71"/>
    <x v="127"/>
    <x v="145"/>
    <x v="3"/>
  </r>
  <r>
    <x v="0"/>
    <x v="67"/>
    <x v="67"/>
    <x v="9"/>
    <x v="9"/>
    <x v="9"/>
    <x v="8"/>
    <x v="196"/>
    <x v="13"/>
    <x v="81"/>
    <x v="210"/>
    <x v="125"/>
    <x v="462"/>
    <x v="3"/>
  </r>
  <r>
    <x v="0"/>
    <x v="67"/>
    <x v="67"/>
    <x v="11"/>
    <x v="11"/>
    <x v="11"/>
    <x v="9"/>
    <x v="197"/>
    <x v="461"/>
    <x v="51"/>
    <x v="209"/>
    <x v="125"/>
    <x v="462"/>
    <x v="3"/>
  </r>
  <r>
    <x v="0"/>
    <x v="67"/>
    <x v="67"/>
    <x v="52"/>
    <x v="52"/>
    <x v="52"/>
    <x v="10"/>
    <x v="198"/>
    <x v="436"/>
    <x v="36"/>
    <x v="212"/>
    <x v="127"/>
    <x v="145"/>
    <x v="3"/>
  </r>
  <r>
    <x v="0"/>
    <x v="67"/>
    <x v="67"/>
    <x v="26"/>
    <x v="26"/>
    <x v="26"/>
    <x v="11"/>
    <x v="200"/>
    <x v="551"/>
    <x v="36"/>
    <x v="212"/>
    <x v="125"/>
    <x v="462"/>
    <x v="3"/>
  </r>
  <r>
    <x v="0"/>
    <x v="67"/>
    <x v="67"/>
    <x v="2"/>
    <x v="2"/>
    <x v="2"/>
    <x v="11"/>
    <x v="200"/>
    <x v="551"/>
    <x v="36"/>
    <x v="212"/>
    <x v="125"/>
    <x v="462"/>
    <x v="3"/>
  </r>
  <r>
    <x v="0"/>
    <x v="67"/>
    <x v="67"/>
    <x v="12"/>
    <x v="12"/>
    <x v="12"/>
    <x v="11"/>
    <x v="200"/>
    <x v="551"/>
    <x v="36"/>
    <x v="212"/>
    <x v="125"/>
    <x v="462"/>
    <x v="3"/>
  </r>
  <r>
    <x v="0"/>
    <x v="67"/>
    <x v="67"/>
    <x v="14"/>
    <x v="14"/>
    <x v="14"/>
    <x v="11"/>
    <x v="200"/>
    <x v="551"/>
    <x v="82"/>
    <x v="86"/>
    <x v="127"/>
    <x v="145"/>
    <x v="3"/>
  </r>
  <r>
    <x v="0"/>
    <x v="67"/>
    <x v="67"/>
    <x v="30"/>
    <x v="30"/>
    <x v="30"/>
    <x v="11"/>
    <x v="200"/>
    <x v="551"/>
    <x v="36"/>
    <x v="212"/>
    <x v="125"/>
    <x v="462"/>
    <x v="3"/>
  </r>
  <r>
    <x v="0"/>
    <x v="67"/>
    <x v="67"/>
    <x v="10"/>
    <x v="10"/>
    <x v="10"/>
    <x v="11"/>
    <x v="200"/>
    <x v="551"/>
    <x v="97"/>
    <x v="71"/>
    <x v="128"/>
    <x v="207"/>
    <x v="3"/>
  </r>
  <r>
    <x v="0"/>
    <x v="67"/>
    <x v="67"/>
    <x v="62"/>
    <x v="62"/>
    <x v="62"/>
    <x v="11"/>
    <x v="200"/>
    <x v="551"/>
    <x v="82"/>
    <x v="86"/>
    <x v="125"/>
    <x v="462"/>
    <x v="3"/>
  </r>
  <r>
    <x v="0"/>
    <x v="67"/>
    <x v="67"/>
    <x v="48"/>
    <x v="48"/>
    <x v="48"/>
    <x v="18"/>
    <x v="201"/>
    <x v="552"/>
    <x v="36"/>
    <x v="212"/>
    <x v="128"/>
    <x v="207"/>
    <x v="3"/>
  </r>
  <r>
    <x v="0"/>
    <x v="67"/>
    <x v="67"/>
    <x v="36"/>
    <x v="36"/>
    <x v="36"/>
    <x v="18"/>
    <x v="201"/>
    <x v="552"/>
    <x v="82"/>
    <x v="86"/>
    <x v="125"/>
    <x v="462"/>
    <x v="3"/>
  </r>
  <r>
    <x v="0"/>
    <x v="67"/>
    <x v="67"/>
    <x v="50"/>
    <x v="50"/>
    <x v="50"/>
    <x v="18"/>
    <x v="201"/>
    <x v="552"/>
    <x v="36"/>
    <x v="212"/>
    <x v="128"/>
    <x v="207"/>
    <x v="3"/>
  </r>
  <r>
    <x v="0"/>
    <x v="67"/>
    <x v="67"/>
    <x v="44"/>
    <x v="44"/>
    <x v="44"/>
    <x v="18"/>
    <x v="201"/>
    <x v="552"/>
    <x v="82"/>
    <x v="86"/>
    <x v="125"/>
    <x v="462"/>
    <x v="3"/>
  </r>
  <r>
    <x v="0"/>
    <x v="67"/>
    <x v="67"/>
    <x v="37"/>
    <x v="37"/>
    <x v="37"/>
    <x v="18"/>
    <x v="201"/>
    <x v="552"/>
    <x v="82"/>
    <x v="86"/>
    <x v="128"/>
    <x v="207"/>
    <x v="3"/>
  </r>
  <r>
    <x v="0"/>
    <x v="67"/>
    <x v="67"/>
    <x v="69"/>
    <x v="69"/>
    <x v="69"/>
    <x v="18"/>
    <x v="201"/>
    <x v="552"/>
    <x v="82"/>
    <x v="86"/>
    <x v="125"/>
    <x v="462"/>
    <x v="3"/>
  </r>
  <r>
    <x v="0"/>
    <x v="67"/>
    <x v="67"/>
    <x v="38"/>
    <x v="38"/>
    <x v="38"/>
    <x v="18"/>
    <x v="201"/>
    <x v="552"/>
    <x v="36"/>
    <x v="212"/>
    <x v="128"/>
    <x v="207"/>
    <x v="3"/>
  </r>
  <r>
    <x v="0"/>
    <x v="67"/>
    <x v="67"/>
    <x v="45"/>
    <x v="45"/>
    <x v="45"/>
    <x v="18"/>
    <x v="201"/>
    <x v="552"/>
    <x v="36"/>
    <x v="212"/>
    <x v="128"/>
    <x v="207"/>
    <x v="3"/>
  </r>
  <r>
    <x v="0"/>
    <x v="67"/>
    <x v="67"/>
    <x v="23"/>
    <x v="23"/>
    <x v="23"/>
    <x v="18"/>
    <x v="201"/>
    <x v="552"/>
    <x v="82"/>
    <x v="86"/>
    <x v="125"/>
    <x v="462"/>
    <x v="3"/>
  </r>
  <r>
    <x v="0"/>
    <x v="67"/>
    <x v="67"/>
    <x v="32"/>
    <x v="32"/>
    <x v="32"/>
    <x v="18"/>
    <x v="201"/>
    <x v="552"/>
    <x v="82"/>
    <x v="86"/>
    <x v="125"/>
    <x v="462"/>
    <x v="3"/>
  </r>
  <r>
    <x v="0"/>
    <x v="67"/>
    <x v="67"/>
    <x v="28"/>
    <x v="28"/>
    <x v="28"/>
    <x v="18"/>
    <x v="201"/>
    <x v="552"/>
    <x v="36"/>
    <x v="212"/>
    <x v="128"/>
    <x v="207"/>
    <x v="3"/>
  </r>
  <r>
    <x v="0"/>
    <x v="67"/>
    <x v="67"/>
    <x v="31"/>
    <x v="31"/>
    <x v="31"/>
    <x v="18"/>
    <x v="201"/>
    <x v="552"/>
    <x v="82"/>
    <x v="86"/>
    <x v="125"/>
    <x v="462"/>
    <x v="3"/>
  </r>
  <r>
    <x v="0"/>
    <x v="67"/>
    <x v="67"/>
    <x v="18"/>
    <x v="18"/>
    <x v="18"/>
    <x v="18"/>
    <x v="201"/>
    <x v="552"/>
    <x v="36"/>
    <x v="212"/>
    <x v="128"/>
    <x v="207"/>
    <x v="3"/>
  </r>
  <r>
    <x v="0"/>
    <x v="67"/>
    <x v="67"/>
    <x v="22"/>
    <x v="22"/>
    <x v="22"/>
    <x v="18"/>
    <x v="201"/>
    <x v="552"/>
    <x v="36"/>
    <x v="212"/>
    <x v="128"/>
    <x v="207"/>
    <x v="3"/>
  </r>
  <r>
    <x v="0"/>
    <x v="68"/>
    <x v="68"/>
    <x v="16"/>
    <x v="16"/>
    <x v="16"/>
    <x v="0"/>
    <x v="166"/>
    <x v="553"/>
    <x v="34"/>
    <x v="569"/>
    <x v="81"/>
    <x v="463"/>
    <x v="3"/>
  </r>
  <r>
    <x v="0"/>
    <x v="68"/>
    <x v="68"/>
    <x v="1"/>
    <x v="1"/>
    <x v="1"/>
    <x v="1"/>
    <x v="89"/>
    <x v="554"/>
    <x v="103"/>
    <x v="570"/>
    <x v="108"/>
    <x v="464"/>
    <x v="3"/>
  </r>
  <r>
    <x v="0"/>
    <x v="68"/>
    <x v="68"/>
    <x v="5"/>
    <x v="5"/>
    <x v="5"/>
    <x v="2"/>
    <x v="167"/>
    <x v="555"/>
    <x v="98"/>
    <x v="307"/>
    <x v="93"/>
    <x v="465"/>
    <x v="3"/>
  </r>
  <r>
    <x v="0"/>
    <x v="68"/>
    <x v="68"/>
    <x v="0"/>
    <x v="0"/>
    <x v="0"/>
    <x v="2"/>
    <x v="167"/>
    <x v="555"/>
    <x v="120"/>
    <x v="571"/>
    <x v="111"/>
    <x v="466"/>
    <x v="3"/>
  </r>
  <r>
    <x v="0"/>
    <x v="68"/>
    <x v="68"/>
    <x v="3"/>
    <x v="3"/>
    <x v="3"/>
    <x v="4"/>
    <x v="127"/>
    <x v="556"/>
    <x v="50"/>
    <x v="277"/>
    <x v="82"/>
    <x v="467"/>
    <x v="3"/>
  </r>
  <r>
    <x v="0"/>
    <x v="68"/>
    <x v="68"/>
    <x v="4"/>
    <x v="4"/>
    <x v="4"/>
    <x v="5"/>
    <x v="128"/>
    <x v="557"/>
    <x v="15"/>
    <x v="276"/>
    <x v="122"/>
    <x v="130"/>
    <x v="3"/>
  </r>
  <r>
    <x v="0"/>
    <x v="68"/>
    <x v="68"/>
    <x v="19"/>
    <x v="19"/>
    <x v="19"/>
    <x v="6"/>
    <x v="129"/>
    <x v="558"/>
    <x v="50"/>
    <x v="277"/>
    <x v="112"/>
    <x v="468"/>
    <x v="3"/>
  </r>
  <r>
    <x v="0"/>
    <x v="68"/>
    <x v="68"/>
    <x v="9"/>
    <x v="9"/>
    <x v="9"/>
    <x v="7"/>
    <x v="140"/>
    <x v="559"/>
    <x v="81"/>
    <x v="279"/>
    <x v="112"/>
    <x v="468"/>
    <x v="3"/>
  </r>
  <r>
    <x v="0"/>
    <x v="68"/>
    <x v="68"/>
    <x v="55"/>
    <x v="55"/>
    <x v="55"/>
    <x v="8"/>
    <x v="153"/>
    <x v="26"/>
    <x v="70"/>
    <x v="521"/>
    <x v="86"/>
    <x v="469"/>
    <x v="3"/>
  </r>
  <r>
    <x v="0"/>
    <x v="68"/>
    <x v="68"/>
    <x v="8"/>
    <x v="8"/>
    <x v="8"/>
    <x v="9"/>
    <x v="155"/>
    <x v="11"/>
    <x v="55"/>
    <x v="273"/>
    <x v="125"/>
    <x v="97"/>
    <x v="3"/>
  </r>
  <r>
    <x v="0"/>
    <x v="68"/>
    <x v="68"/>
    <x v="11"/>
    <x v="11"/>
    <x v="11"/>
    <x v="10"/>
    <x v="156"/>
    <x v="434"/>
    <x v="70"/>
    <x v="521"/>
    <x v="109"/>
    <x v="470"/>
    <x v="3"/>
  </r>
  <r>
    <x v="0"/>
    <x v="68"/>
    <x v="68"/>
    <x v="10"/>
    <x v="10"/>
    <x v="10"/>
    <x v="10"/>
    <x v="156"/>
    <x v="434"/>
    <x v="35"/>
    <x v="43"/>
    <x v="128"/>
    <x v="207"/>
    <x v="3"/>
  </r>
  <r>
    <x v="0"/>
    <x v="68"/>
    <x v="68"/>
    <x v="25"/>
    <x v="25"/>
    <x v="25"/>
    <x v="12"/>
    <x v="165"/>
    <x v="79"/>
    <x v="81"/>
    <x v="279"/>
    <x v="109"/>
    <x v="470"/>
    <x v="3"/>
  </r>
  <r>
    <x v="0"/>
    <x v="68"/>
    <x v="68"/>
    <x v="6"/>
    <x v="6"/>
    <x v="6"/>
    <x v="12"/>
    <x v="165"/>
    <x v="79"/>
    <x v="80"/>
    <x v="272"/>
    <x v="127"/>
    <x v="471"/>
    <x v="3"/>
  </r>
  <r>
    <x v="0"/>
    <x v="68"/>
    <x v="68"/>
    <x v="2"/>
    <x v="2"/>
    <x v="2"/>
    <x v="12"/>
    <x v="165"/>
    <x v="79"/>
    <x v="50"/>
    <x v="277"/>
    <x v="111"/>
    <x v="466"/>
    <x v="3"/>
  </r>
  <r>
    <x v="0"/>
    <x v="68"/>
    <x v="68"/>
    <x v="13"/>
    <x v="13"/>
    <x v="13"/>
    <x v="15"/>
    <x v="168"/>
    <x v="109"/>
    <x v="50"/>
    <x v="277"/>
    <x v="83"/>
    <x v="472"/>
    <x v="3"/>
  </r>
  <r>
    <x v="0"/>
    <x v="68"/>
    <x v="68"/>
    <x v="12"/>
    <x v="12"/>
    <x v="12"/>
    <x v="15"/>
    <x v="168"/>
    <x v="109"/>
    <x v="110"/>
    <x v="274"/>
    <x v="127"/>
    <x v="471"/>
    <x v="3"/>
  </r>
  <r>
    <x v="0"/>
    <x v="68"/>
    <x v="68"/>
    <x v="14"/>
    <x v="14"/>
    <x v="14"/>
    <x v="15"/>
    <x v="168"/>
    <x v="109"/>
    <x v="70"/>
    <x v="521"/>
    <x v="111"/>
    <x v="466"/>
    <x v="3"/>
  </r>
  <r>
    <x v="0"/>
    <x v="68"/>
    <x v="68"/>
    <x v="51"/>
    <x v="51"/>
    <x v="51"/>
    <x v="18"/>
    <x v="202"/>
    <x v="198"/>
    <x v="36"/>
    <x v="278"/>
    <x v="109"/>
    <x v="470"/>
    <x v="3"/>
  </r>
  <r>
    <x v="0"/>
    <x v="68"/>
    <x v="68"/>
    <x v="35"/>
    <x v="35"/>
    <x v="35"/>
    <x v="19"/>
    <x v="195"/>
    <x v="143"/>
    <x v="81"/>
    <x v="279"/>
    <x v="127"/>
    <x v="471"/>
    <x v="3"/>
  </r>
  <r>
    <x v="0"/>
    <x v="68"/>
    <x v="68"/>
    <x v="28"/>
    <x v="28"/>
    <x v="28"/>
    <x v="19"/>
    <x v="195"/>
    <x v="143"/>
    <x v="51"/>
    <x v="292"/>
    <x v="127"/>
    <x v="471"/>
    <x v="3"/>
  </r>
  <r>
    <x v="0"/>
    <x v="69"/>
    <x v="69"/>
    <x v="0"/>
    <x v="0"/>
    <x v="0"/>
    <x v="0"/>
    <x v="88"/>
    <x v="560"/>
    <x v="69"/>
    <x v="572"/>
    <x v="83"/>
    <x v="473"/>
    <x v="3"/>
  </r>
  <r>
    <x v="0"/>
    <x v="69"/>
    <x v="69"/>
    <x v="3"/>
    <x v="3"/>
    <x v="3"/>
    <x v="1"/>
    <x v="167"/>
    <x v="561"/>
    <x v="54"/>
    <x v="358"/>
    <x v="112"/>
    <x v="474"/>
    <x v="3"/>
  </r>
  <r>
    <x v="0"/>
    <x v="69"/>
    <x v="69"/>
    <x v="1"/>
    <x v="1"/>
    <x v="1"/>
    <x v="2"/>
    <x v="90"/>
    <x v="562"/>
    <x v="145"/>
    <x v="573"/>
    <x v="111"/>
    <x v="58"/>
    <x v="3"/>
  </r>
  <r>
    <x v="0"/>
    <x v="69"/>
    <x v="69"/>
    <x v="6"/>
    <x v="6"/>
    <x v="6"/>
    <x v="3"/>
    <x v="173"/>
    <x v="563"/>
    <x v="109"/>
    <x v="574"/>
    <x v="63"/>
    <x v="475"/>
    <x v="3"/>
  </r>
  <r>
    <x v="0"/>
    <x v="69"/>
    <x v="69"/>
    <x v="4"/>
    <x v="4"/>
    <x v="4"/>
    <x v="4"/>
    <x v="139"/>
    <x v="564"/>
    <x v="35"/>
    <x v="502"/>
    <x v="93"/>
    <x v="476"/>
    <x v="3"/>
  </r>
  <r>
    <x v="0"/>
    <x v="69"/>
    <x v="69"/>
    <x v="5"/>
    <x v="5"/>
    <x v="5"/>
    <x v="5"/>
    <x v="129"/>
    <x v="565"/>
    <x v="78"/>
    <x v="575"/>
    <x v="127"/>
    <x v="477"/>
    <x v="3"/>
  </r>
  <r>
    <x v="0"/>
    <x v="69"/>
    <x v="69"/>
    <x v="11"/>
    <x v="11"/>
    <x v="11"/>
    <x v="6"/>
    <x v="153"/>
    <x v="566"/>
    <x v="15"/>
    <x v="234"/>
    <x v="108"/>
    <x v="192"/>
    <x v="3"/>
  </r>
  <r>
    <x v="0"/>
    <x v="69"/>
    <x v="69"/>
    <x v="10"/>
    <x v="10"/>
    <x v="10"/>
    <x v="7"/>
    <x v="156"/>
    <x v="567"/>
    <x v="55"/>
    <x v="576"/>
    <x v="125"/>
    <x v="478"/>
    <x v="3"/>
  </r>
  <r>
    <x v="0"/>
    <x v="69"/>
    <x v="69"/>
    <x v="9"/>
    <x v="9"/>
    <x v="9"/>
    <x v="8"/>
    <x v="168"/>
    <x v="568"/>
    <x v="70"/>
    <x v="429"/>
    <x v="111"/>
    <x v="58"/>
    <x v="3"/>
  </r>
  <r>
    <x v="0"/>
    <x v="69"/>
    <x v="69"/>
    <x v="26"/>
    <x v="26"/>
    <x v="26"/>
    <x v="8"/>
    <x v="168"/>
    <x v="568"/>
    <x v="97"/>
    <x v="577"/>
    <x v="110"/>
    <x v="479"/>
    <x v="3"/>
  </r>
  <r>
    <x v="0"/>
    <x v="69"/>
    <x v="69"/>
    <x v="13"/>
    <x v="13"/>
    <x v="13"/>
    <x v="8"/>
    <x v="168"/>
    <x v="568"/>
    <x v="110"/>
    <x v="578"/>
    <x v="127"/>
    <x v="477"/>
    <x v="3"/>
  </r>
  <r>
    <x v="0"/>
    <x v="69"/>
    <x v="69"/>
    <x v="2"/>
    <x v="2"/>
    <x v="2"/>
    <x v="8"/>
    <x v="168"/>
    <x v="568"/>
    <x v="70"/>
    <x v="429"/>
    <x v="111"/>
    <x v="58"/>
    <x v="3"/>
  </r>
  <r>
    <x v="0"/>
    <x v="69"/>
    <x v="69"/>
    <x v="8"/>
    <x v="8"/>
    <x v="8"/>
    <x v="8"/>
    <x v="168"/>
    <x v="568"/>
    <x v="81"/>
    <x v="579"/>
    <x v="127"/>
    <x v="477"/>
    <x v="3"/>
  </r>
  <r>
    <x v="0"/>
    <x v="69"/>
    <x v="69"/>
    <x v="12"/>
    <x v="12"/>
    <x v="12"/>
    <x v="13"/>
    <x v="199"/>
    <x v="140"/>
    <x v="50"/>
    <x v="580"/>
    <x v="127"/>
    <x v="477"/>
    <x v="3"/>
  </r>
  <r>
    <x v="0"/>
    <x v="69"/>
    <x v="69"/>
    <x v="29"/>
    <x v="29"/>
    <x v="29"/>
    <x v="14"/>
    <x v="202"/>
    <x v="81"/>
    <x v="81"/>
    <x v="579"/>
    <x v="83"/>
    <x v="473"/>
    <x v="3"/>
  </r>
  <r>
    <x v="0"/>
    <x v="69"/>
    <x v="69"/>
    <x v="54"/>
    <x v="54"/>
    <x v="54"/>
    <x v="15"/>
    <x v="196"/>
    <x v="34"/>
    <x v="70"/>
    <x v="429"/>
    <x v="128"/>
    <x v="207"/>
    <x v="3"/>
  </r>
  <r>
    <x v="0"/>
    <x v="69"/>
    <x v="69"/>
    <x v="15"/>
    <x v="15"/>
    <x v="15"/>
    <x v="15"/>
    <x v="196"/>
    <x v="34"/>
    <x v="82"/>
    <x v="86"/>
    <x v="111"/>
    <x v="58"/>
    <x v="3"/>
  </r>
  <r>
    <x v="0"/>
    <x v="69"/>
    <x v="69"/>
    <x v="16"/>
    <x v="16"/>
    <x v="16"/>
    <x v="17"/>
    <x v="197"/>
    <x v="130"/>
    <x v="36"/>
    <x v="561"/>
    <x v="83"/>
    <x v="473"/>
    <x v="3"/>
  </r>
  <r>
    <x v="0"/>
    <x v="69"/>
    <x v="69"/>
    <x v="17"/>
    <x v="17"/>
    <x v="17"/>
    <x v="17"/>
    <x v="197"/>
    <x v="130"/>
    <x v="82"/>
    <x v="86"/>
    <x v="111"/>
    <x v="58"/>
    <x v="3"/>
  </r>
  <r>
    <x v="0"/>
    <x v="69"/>
    <x v="69"/>
    <x v="43"/>
    <x v="43"/>
    <x v="43"/>
    <x v="19"/>
    <x v="198"/>
    <x v="569"/>
    <x v="36"/>
    <x v="561"/>
    <x v="127"/>
    <x v="477"/>
    <x v="3"/>
  </r>
  <r>
    <x v="0"/>
    <x v="69"/>
    <x v="69"/>
    <x v="19"/>
    <x v="19"/>
    <x v="19"/>
    <x v="19"/>
    <x v="198"/>
    <x v="569"/>
    <x v="97"/>
    <x v="577"/>
    <x v="125"/>
    <x v="478"/>
    <x v="3"/>
  </r>
  <r>
    <x v="0"/>
    <x v="69"/>
    <x v="69"/>
    <x v="34"/>
    <x v="34"/>
    <x v="34"/>
    <x v="19"/>
    <x v="198"/>
    <x v="569"/>
    <x v="36"/>
    <x v="561"/>
    <x v="127"/>
    <x v="477"/>
    <x v="3"/>
  </r>
  <r>
    <x v="0"/>
    <x v="69"/>
    <x v="69"/>
    <x v="24"/>
    <x v="24"/>
    <x v="24"/>
    <x v="19"/>
    <x v="198"/>
    <x v="569"/>
    <x v="36"/>
    <x v="561"/>
    <x v="127"/>
    <x v="477"/>
    <x v="3"/>
  </r>
  <r>
    <x v="0"/>
    <x v="69"/>
    <x v="69"/>
    <x v="20"/>
    <x v="20"/>
    <x v="20"/>
    <x v="19"/>
    <x v="198"/>
    <x v="569"/>
    <x v="82"/>
    <x v="86"/>
    <x v="83"/>
    <x v="473"/>
    <x v="3"/>
  </r>
  <r>
    <x v="0"/>
    <x v="69"/>
    <x v="69"/>
    <x v="14"/>
    <x v="14"/>
    <x v="14"/>
    <x v="19"/>
    <x v="198"/>
    <x v="569"/>
    <x v="36"/>
    <x v="561"/>
    <x v="127"/>
    <x v="477"/>
    <x v="3"/>
  </r>
  <r>
    <x v="0"/>
    <x v="69"/>
    <x v="69"/>
    <x v="7"/>
    <x v="7"/>
    <x v="7"/>
    <x v="19"/>
    <x v="198"/>
    <x v="569"/>
    <x v="36"/>
    <x v="561"/>
    <x v="127"/>
    <x v="477"/>
    <x v="3"/>
  </r>
  <r>
    <x v="0"/>
    <x v="70"/>
    <x v="70"/>
    <x v="3"/>
    <x v="3"/>
    <x v="3"/>
    <x v="0"/>
    <x v="127"/>
    <x v="570"/>
    <x v="110"/>
    <x v="287"/>
    <x v="121"/>
    <x v="480"/>
    <x v="3"/>
  </r>
  <r>
    <x v="0"/>
    <x v="70"/>
    <x v="70"/>
    <x v="5"/>
    <x v="5"/>
    <x v="5"/>
    <x v="1"/>
    <x v="128"/>
    <x v="500"/>
    <x v="78"/>
    <x v="581"/>
    <x v="111"/>
    <x v="481"/>
    <x v="3"/>
  </r>
  <r>
    <x v="0"/>
    <x v="70"/>
    <x v="70"/>
    <x v="1"/>
    <x v="1"/>
    <x v="1"/>
    <x v="2"/>
    <x v="141"/>
    <x v="409"/>
    <x v="37"/>
    <x v="582"/>
    <x v="125"/>
    <x v="385"/>
    <x v="3"/>
  </r>
  <r>
    <x v="0"/>
    <x v="70"/>
    <x v="70"/>
    <x v="9"/>
    <x v="9"/>
    <x v="9"/>
    <x v="3"/>
    <x v="154"/>
    <x v="302"/>
    <x v="80"/>
    <x v="583"/>
    <x v="108"/>
    <x v="482"/>
    <x v="3"/>
  </r>
  <r>
    <x v="0"/>
    <x v="70"/>
    <x v="70"/>
    <x v="7"/>
    <x v="7"/>
    <x v="7"/>
    <x v="3"/>
    <x v="154"/>
    <x v="302"/>
    <x v="81"/>
    <x v="584"/>
    <x v="86"/>
    <x v="483"/>
    <x v="3"/>
  </r>
  <r>
    <x v="0"/>
    <x v="70"/>
    <x v="70"/>
    <x v="6"/>
    <x v="6"/>
    <x v="6"/>
    <x v="5"/>
    <x v="155"/>
    <x v="564"/>
    <x v="81"/>
    <x v="584"/>
    <x v="109"/>
    <x v="484"/>
    <x v="4"/>
  </r>
  <r>
    <x v="0"/>
    <x v="70"/>
    <x v="70"/>
    <x v="19"/>
    <x v="19"/>
    <x v="19"/>
    <x v="6"/>
    <x v="165"/>
    <x v="90"/>
    <x v="70"/>
    <x v="7"/>
    <x v="108"/>
    <x v="482"/>
    <x v="3"/>
  </r>
  <r>
    <x v="0"/>
    <x v="70"/>
    <x v="70"/>
    <x v="11"/>
    <x v="11"/>
    <x v="11"/>
    <x v="7"/>
    <x v="168"/>
    <x v="571"/>
    <x v="50"/>
    <x v="456"/>
    <x v="83"/>
    <x v="0"/>
    <x v="3"/>
  </r>
  <r>
    <x v="0"/>
    <x v="70"/>
    <x v="70"/>
    <x v="0"/>
    <x v="0"/>
    <x v="0"/>
    <x v="8"/>
    <x v="199"/>
    <x v="120"/>
    <x v="80"/>
    <x v="583"/>
    <x v="128"/>
    <x v="207"/>
    <x v="3"/>
  </r>
  <r>
    <x v="0"/>
    <x v="70"/>
    <x v="70"/>
    <x v="16"/>
    <x v="16"/>
    <x v="16"/>
    <x v="9"/>
    <x v="202"/>
    <x v="229"/>
    <x v="81"/>
    <x v="584"/>
    <x v="83"/>
    <x v="0"/>
    <x v="3"/>
  </r>
  <r>
    <x v="0"/>
    <x v="70"/>
    <x v="70"/>
    <x v="8"/>
    <x v="8"/>
    <x v="8"/>
    <x v="10"/>
    <x v="195"/>
    <x v="9"/>
    <x v="70"/>
    <x v="7"/>
    <x v="128"/>
    <x v="207"/>
    <x v="3"/>
  </r>
  <r>
    <x v="0"/>
    <x v="70"/>
    <x v="70"/>
    <x v="26"/>
    <x v="26"/>
    <x v="26"/>
    <x v="11"/>
    <x v="197"/>
    <x v="321"/>
    <x v="97"/>
    <x v="253"/>
    <x v="127"/>
    <x v="74"/>
    <x v="3"/>
  </r>
  <r>
    <x v="0"/>
    <x v="70"/>
    <x v="70"/>
    <x v="29"/>
    <x v="29"/>
    <x v="29"/>
    <x v="11"/>
    <x v="197"/>
    <x v="321"/>
    <x v="81"/>
    <x v="584"/>
    <x v="128"/>
    <x v="207"/>
    <x v="3"/>
  </r>
  <r>
    <x v="0"/>
    <x v="70"/>
    <x v="70"/>
    <x v="57"/>
    <x v="57"/>
    <x v="57"/>
    <x v="11"/>
    <x v="197"/>
    <x v="321"/>
    <x v="36"/>
    <x v="585"/>
    <x v="83"/>
    <x v="0"/>
    <x v="3"/>
  </r>
  <r>
    <x v="0"/>
    <x v="70"/>
    <x v="70"/>
    <x v="14"/>
    <x v="14"/>
    <x v="14"/>
    <x v="11"/>
    <x v="197"/>
    <x v="321"/>
    <x v="51"/>
    <x v="586"/>
    <x v="125"/>
    <x v="385"/>
    <x v="3"/>
  </r>
  <r>
    <x v="0"/>
    <x v="70"/>
    <x v="70"/>
    <x v="55"/>
    <x v="55"/>
    <x v="55"/>
    <x v="15"/>
    <x v="198"/>
    <x v="413"/>
    <x v="36"/>
    <x v="585"/>
    <x v="127"/>
    <x v="74"/>
    <x v="3"/>
  </r>
  <r>
    <x v="0"/>
    <x v="70"/>
    <x v="70"/>
    <x v="25"/>
    <x v="25"/>
    <x v="25"/>
    <x v="15"/>
    <x v="198"/>
    <x v="413"/>
    <x v="36"/>
    <x v="585"/>
    <x v="127"/>
    <x v="74"/>
    <x v="3"/>
  </r>
  <r>
    <x v="0"/>
    <x v="70"/>
    <x v="70"/>
    <x v="4"/>
    <x v="4"/>
    <x v="4"/>
    <x v="15"/>
    <x v="198"/>
    <x v="413"/>
    <x v="36"/>
    <x v="585"/>
    <x v="127"/>
    <x v="74"/>
    <x v="3"/>
  </r>
  <r>
    <x v="0"/>
    <x v="70"/>
    <x v="70"/>
    <x v="15"/>
    <x v="15"/>
    <x v="15"/>
    <x v="15"/>
    <x v="198"/>
    <x v="413"/>
    <x v="82"/>
    <x v="86"/>
    <x v="125"/>
    <x v="385"/>
    <x v="3"/>
  </r>
  <r>
    <x v="0"/>
    <x v="70"/>
    <x v="70"/>
    <x v="42"/>
    <x v="42"/>
    <x v="42"/>
    <x v="19"/>
    <x v="200"/>
    <x v="324"/>
    <x v="82"/>
    <x v="86"/>
    <x v="125"/>
    <x v="385"/>
    <x v="3"/>
  </r>
  <r>
    <x v="0"/>
    <x v="70"/>
    <x v="70"/>
    <x v="27"/>
    <x v="27"/>
    <x v="27"/>
    <x v="19"/>
    <x v="200"/>
    <x v="324"/>
    <x v="97"/>
    <x v="253"/>
    <x v="128"/>
    <x v="207"/>
    <x v="3"/>
  </r>
  <r>
    <x v="0"/>
    <x v="70"/>
    <x v="70"/>
    <x v="67"/>
    <x v="67"/>
    <x v="67"/>
    <x v="19"/>
    <x v="200"/>
    <x v="324"/>
    <x v="36"/>
    <x v="585"/>
    <x v="125"/>
    <x v="385"/>
    <x v="3"/>
  </r>
  <r>
    <x v="0"/>
    <x v="70"/>
    <x v="70"/>
    <x v="43"/>
    <x v="43"/>
    <x v="43"/>
    <x v="19"/>
    <x v="200"/>
    <x v="324"/>
    <x v="82"/>
    <x v="86"/>
    <x v="127"/>
    <x v="74"/>
    <x v="3"/>
  </r>
  <r>
    <x v="0"/>
    <x v="70"/>
    <x v="70"/>
    <x v="35"/>
    <x v="35"/>
    <x v="35"/>
    <x v="19"/>
    <x v="200"/>
    <x v="324"/>
    <x v="36"/>
    <x v="585"/>
    <x v="125"/>
    <x v="385"/>
    <x v="3"/>
  </r>
  <r>
    <x v="0"/>
    <x v="70"/>
    <x v="70"/>
    <x v="45"/>
    <x v="45"/>
    <x v="45"/>
    <x v="19"/>
    <x v="200"/>
    <x v="324"/>
    <x v="36"/>
    <x v="585"/>
    <x v="125"/>
    <x v="385"/>
    <x v="3"/>
  </r>
  <r>
    <x v="0"/>
    <x v="70"/>
    <x v="70"/>
    <x v="10"/>
    <x v="10"/>
    <x v="10"/>
    <x v="19"/>
    <x v="200"/>
    <x v="324"/>
    <x v="97"/>
    <x v="253"/>
    <x v="128"/>
    <x v="207"/>
    <x v="3"/>
  </r>
  <r>
    <x v="0"/>
    <x v="70"/>
    <x v="70"/>
    <x v="18"/>
    <x v="18"/>
    <x v="18"/>
    <x v="19"/>
    <x v="200"/>
    <x v="324"/>
    <x v="36"/>
    <x v="585"/>
    <x v="125"/>
    <x v="385"/>
    <x v="3"/>
  </r>
  <r>
    <x v="0"/>
    <x v="71"/>
    <x v="71"/>
    <x v="7"/>
    <x v="7"/>
    <x v="7"/>
    <x v="0"/>
    <x v="207"/>
    <x v="572"/>
    <x v="34"/>
    <x v="587"/>
    <x v="131"/>
    <x v="485"/>
    <x v="0"/>
  </r>
  <r>
    <x v="0"/>
    <x v="71"/>
    <x v="71"/>
    <x v="0"/>
    <x v="0"/>
    <x v="0"/>
    <x v="1"/>
    <x v="84"/>
    <x v="573"/>
    <x v="140"/>
    <x v="588"/>
    <x v="83"/>
    <x v="247"/>
    <x v="3"/>
  </r>
  <r>
    <x v="0"/>
    <x v="71"/>
    <x v="71"/>
    <x v="6"/>
    <x v="6"/>
    <x v="6"/>
    <x v="2"/>
    <x v="85"/>
    <x v="574"/>
    <x v="47"/>
    <x v="546"/>
    <x v="47"/>
    <x v="486"/>
    <x v="3"/>
  </r>
  <r>
    <x v="0"/>
    <x v="71"/>
    <x v="71"/>
    <x v="1"/>
    <x v="1"/>
    <x v="1"/>
    <x v="2"/>
    <x v="85"/>
    <x v="574"/>
    <x v="92"/>
    <x v="589"/>
    <x v="109"/>
    <x v="487"/>
    <x v="3"/>
  </r>
  <r>
    <x v="0"/>
    <x v="71"/>
    <x v="71"/>
    <x v="3"/>
    <x v="3"/>
    <x v="3"/>
    <x v="4"/>
    <x v="138"/>
    <x v="271"/>
    <x v="55"/>
    <x v="547"/>
    <x v="84"/>
    <x v="488"/>
    <x v="3"/>
  </r>
  <r>
    <x v="0"/>
    <x v="71"/>
    <x v="71"/>
    <x v="4"/>
    <x v="4"/>
    <x v="4"/>
    <x v="5"/>
    <x v="125"/>
    <x v="575"/>
    <x v="116"/>
    <x v="405"/>
    <x v="63"/>
    <x v="199"/>
    <x v="3"/>
  </r>
  <r>
    <x v="0"/>
    <x v="71"/>
    <x v="71"/>
    <x v="5"/>
    <x v="5"/>
    <x v="5"/>
    <x v="6"/>
    <x v="162"/>
    <x v="74"/>
    <x v="53"/>
    <x v="548"/>
    <x v="108"/>
    <x v="489"/>
    <x v="3"/>
  </r>
  <r>
    <x v="0"/>
    <x v="71"/>
    <x v="71"/>
    <x v="9"/>
    <x v="9"/>
    <x v="9"/>
    <x v="7"/>
    <x v="152"/>
    <x v="387"/>
    <x v="15"/>
    <x v="590"/>
    <x v="63"/>
    <x v="199"/>
    <x v="3"/>
  </r>
  <r>
    <x v="0"/>
    <x v="71"/>
    <x v="71"/>
    <x v="2"/>
    <x v="2"/>
    <x v="2"/>
    <x v="8"/>
    <x v="130"/>
    <x v="576"/>
    <x v="55"/>
    <x v="547"/>
    <x v="109"/>
    <x v="487"/>
    <x v="0"/>
  </r>
  <r>
    <x v="0"/>
    <x v="71"/>
    <x v="71"/>
    <x v="8"/>
    <x v="8"/>
    <x v="8"/>
    <x v="9"/>
    <x v="156"/>
    <x v="577"/>
    <x v="97"/>
    <x v="213"/>
    <x v="83"/>
    <x v="247"/>
    <x v="3"/>
  </r>
  <r>
    <x v="0"/>
    <x v="71"/>
    <x v="71"/>
    <x v="31"/>
    <x v="31"/>
    <x v="31"/>
    <x v="10"/>
    <x v="202"/>
    <x v="35"/>
    <x v="97"/>
    <x v="213"/>
    <x v="111"/>
    <x v="490"/>
    <x v="3"/>
  </r>
  <r>
    <x v="0"/>
    <x v="71"/>
    <x v="71"/>
    <x v="13"/>
    <x v="13"/>
    <x v="13"/>
    <x v="11"/>
    <x v="195"/>
    <x v="436"/>
    <x v="70"/>
    <x v="553"/>
    <x v="125"/>
    <x v="131"/>
    <x v="3"/>
  </r>
  <r>
    <x v="0"/>
    <x v="71"/>
    <x v="71"/>
    <x v="28"/>
    <x v="28"/>
    <x v="28"/>
    <x v="12"/>
    <x v="196"/>
    <x v="19"/>
    <x v="81"/>
    <x v="554"/>
    <x v="125"/>
    <x v="131"/>
    <x v="3"/>
  </r>
  <r>
    <x v="0"/>
    <x v="71"/>
    <x v="71"/>
    <x v="10"/>
    <x v="10"/>
    <x v="10"/>
    <x v="12"/>
    <x v="196"/>
    <x v="19"/>
    <x v="70"/>
    <x v="553"/>
    <x v="128"/>
    <x v="207"/>
    <x v="3"/>
  </r>
  <r>
    <x v="0"/>
    <x v="71"/>
    <x v="71"/>
    <x v="22"/>
    <x v="22"/>
    <x v="22"/>
    <x v="12"/>
    <x v="196"/>
    <x v="19"/>
    <x v="36"/>
    <x v="278"/>
    <x v="111"/>
    <x v="490"/>
    <x v="3"/>
  </r>
  <r>
    <x v="0"/>
    <x v="71"/>
    <x v="71"/>
    <x v="24"/>
    <x v="24"/>
    <x v="24"/>
    <x v="15"/>
    <x v="197"/>
    <x v="551"/>
    <x v="36"/>
    <x v="278"/>
    <x v="83"/>
    <x v="247"/>
    <x v="3"/>
  </r>
  <r>
    <x v="0"/>
    <x v="71"/>
    <x v="71"/>
    <x v="11"/>
    <x v="11"/>
    <x v="11"/>
    <x v="15"/>
    <x v="197"/>
    <x v="551"/>
    <x v="51"/>
    <x v="552"/>
    <x v="125"/>
    <x v="131"/>
    <x v="3"/>
  </r>
  <r>
    <x v="0"/>
    <x v="71"/>
    <x v="71"/>
    <x v="12"/>
    <x v="12"/>
    <x v="12"/>
    <x v="15"/>
    <x v="197"/>
    <x v="551"/>
    <x v="51"/>
    <x v="552"/>
    <x v="125"/>
    <x v="131"/>
    <x v="3"/>
  </r>
  <r>
    <x v="0"/>
    <x v="71"/>
    <x v="71"/>
    <x v="15"/>
    <x v="15"/>
    <x v="15"/>
    <x v="15"/>
    <x v="197"/>
    <x v="551"/>
    <x v="82"/>
    <x v="86"/>
    <x v="127"/>
    <x v="491"/>
    <x v="3"/>
  </r>
  <r>
    <x v="0"/>
    <x v="71"/>
    <x v="71"/>
    <x v="29"/>
    <x v="29"/>
    <x v="29"/>
    <x v="19"/>
    <x v="198"/>
    <x v="578"/>
    <x v="97"/>
    <x v="213"/>
    <x v="125"/>
    <x v="131"/>
    <x v="3"/>
  </r>
  <r>
    <x v="0"/>
    <x v="71"/>
    <x v="71"/>
    <x v="37"/>
    <x v="37"/>
    <x v="37"/>
    <x v="19"/>
    <x v="198"/>
    <x v="578"/>
    <x v="82"/>
    <x v="86"/>
    <x v="83"/>
    <x v="247"/>
    <x v="3"/>
  </r>
  <r>
    <x v="0"/>
    <x v="71"/>
    <x v="71"/>
    <x v="38"/>
    <x v="38"/>
    <x v="38"/>
    <x v="19"/>
    <x v="198"/>
    <x v="578"/>
    <x v="82"/>
    <x v="86"/>
    <x v="83"/>
    <x v="247"/>
    <x v="3"/>
  </r>
  <r>
    <x v="0"/>
    <x v="71"/>
    <x v="71"/>
    <x v="33"/>
    <x v="33"/>
    <x v="33"/>
    <x v="19"/>
    <x v="198"/>
    <x v="578"/>
    <x v="82"/>
    <x v="86"/>
    <x v="83"/>
    <x v="247"/>
    <x v="3"/>
  </r>
  <r>
    <x v="0"/>
    <x v="71"/>
    <x v="71"/>
    <x v="52"/>
    <x v="52"/>
    <x v="52"/>
    <x v="19"/>
    <x v="198"/>
    <x v="578"/>
    <x v="82"/>
    <x v="86"/>
    <x v="83"/>
    <x v="247"/>
    <x v="3"/>
  </r>
  <r>
    <x v="0"/>
    <x v="71"/>
    <x v="71"/>
    <x v="14"/>
    <x v="14"/>
    <x v="14"/>
    <x v="19"/>
    <x v="198"/>
    <x v="578"/>
    <x v="97"/>
    <x v="213"/>
    <x v="125"/>
    <x v="131"/>
    <x v="3"/>
  </r>
  <r>
    <x v="0"/>
    <x v="71"/>
    <x v="71"/>
    <x v="30"/>
    <x v="30"/>
    <x v="30"/>
    <x v="19"/>
    <x v="198"/>
    <x v="578"/>
    <x v="82"/>
    <x v="86"/>
    <x v="127"/>
    <x v="491"/>
    <x v="0"/>
  </r>
  <r>
    <x v="0"/>
    <x v="72"/>
    <x v="72"/>
    <x v="7"/>
    <x v="7"/>
    <x v="7"/>
    <x v="0"/>
    <x v="162"/>
    <x v="579"/>
    <x v="47"/>
    <x v="488"/>
    <x v="83"/>
    <x v="492"/>
    <x v="3"/>
  </r>
  <r>
    <x v="0"/>
    <x v="72"/>
    <x v="72"/>
    <x v="3"/>
    <x v="3"/>
    <x v="3"/>
    <x v="1"/>
    <x v="130"/>
    <x v="408"/>
    <x v="70"/>
    <x v="207"/>
    <x v="112"/>
    <x v="493"/>
    <x v="3"/>
  </r>
  <r>
    <x v="0"/>
    <x v="72"/>
    <x v="72"/>
    <x v="6"/>
    <x v="6"/>
    <x v="6"/>
    <x v="2"/>
    <x v="154"/>
    <x v="580"/>
    <x v="80"/>
    <x v="58"/>
    <x v="111"/>
    <x v="494"/>
    <x v="3"/>
  </r>
  <r>
    <x v="0"/>
    <x v="72"/>
    <x v="72"/>
    <x v="4"/>
    <x v="4"/>
    <x v="4"/>
    <x v="3"/>
    <x v="155"/>
    <x v="581"/>
    <x v="110"/>
    <x v="591"/>
    <x v="111"/>
    <x v="494"/>
    <x v="0"/>
  </r>
  <r>
    <x v="0"/>
    <x v="72"/>
    <x v="72"/>
    <x v="0"/>
    <x v="0"/>
    <x v="0"/>
    <x v="3"/>
    <x v="155"/>
    <x v="581"/>
    <x v="15"/>
    <x v="519"/>
    <x v="83"/>
    <x v="492"/>
    <x v="3"/>
  </r>
  <r>
    <x v="0"/>
    <x v="72"/>
    <x v="72"/>
    <x v="1"/>
    <x v="1"/>
    <x v="1"/>
    <x v="5"/>
    <x v="156"/>
    <x v="582"/>
    <x v="35"/>
    <x v="592"/>
    <x v="128"/>
    <x v="207"/>
    <x v="3"/>
  </r>
  <r>
    <x v="0"/>
    <x v="72"/>
    <x v="72"/>
    <x v="9"/>
    <x v="9"/>
    <x v="9"/>
    <x v="6"/>
    <x v="168"/>
    <x v="583"/>
    <x v="97"/>
    <x v="45"/>
    <x v="110"/>
    <x v="495"/>
    <x v="3"/>
  </r>
  <r>
    <x v="0"/>
    <x v="72"/>
    <x v="72"/>
    <x v="5"/>
    <x v="5"/>
    <x v="5"/>
    <x v="7"/>
    <x v="195"/>
    <x v="42"/>
    <x v="81"/>
    <x v="312"/>
    <x v="127"/>
    <x v="84"/>
    <x v="3"/>
  </r>
  <r>
    <x v="0"/>
    <x v="72"/>
    <x v="72"/>
    <x v="11"/>
    <x v="11"/>
    <x v="11"/>
    <x v="7"/>
    <x v="195"/>
    <x v="42"/>
    <x v="51"/>
    <x v="124"/>
    <x v="83"/>
    <x v="492"/>
    <x v="3"/>
  </r>
  <r>
    <x v="0"/>
    <x v="72"/>
    <x v="72"/>
    <x v="8"/>
    <x v="8"/>
    <x v="8"/>
    <x v="9"/>
    <x v="198"/>
    <x v="13"/>
    <x v="36"/>
    <x v="522"/>
    <x v="125"/>
    <x v="496"/>
    <x v="3"/>
  </r>
  <r>
    <x v="0"/>
    <x v="72"/>
    <x v="72"/>
    <x v="42"/>
    <x v="42"/>
    <x v="42"/>
    <x v="10"/>
    <x v="200"/>
    <x v="183"/>
    <x v="82"/>
    <x v="86"/>
    <x v="127"/>
    <x v="84"/>
    <x v="3"/>
  </r>
  <r>
    <x v="0"/>
    <x v="72"/>
    <x v="72"/>
    <x v="37"/>
    <x v="37"/>
    <x v="37"/>
    <x v="10"/>
    <x v="200"/>
    <x v="183"/>
    <x v="82"/>
    <x v="86"/>
    <x v="128"/>
    <x v="207"/>
    <x v="3"/>
  </r>
  <r>
    <x v="0"/>
    <x v="72"/>
    <x v="72"/>
    <x v="2"/>
    <x v="2"/>
    <x v="2"/>
    <x v="10"/>
    <x v="200"/>
    <x v="183"/>
    <x v="36"/>
    <x v="522"/>
    <x v="125"/>
    <x v="496"/>
    <x v="3"/>
  </r>
  <r>
    <x v="0"/>
    <x v="72"/>
    <x v="72"/>
    <x v="12"/>
    <x v="12"/>
    <x v="12"/>
    <x v="10"/>
    <x v="200"/>
    <x v="183"/>
    <x v="36"/>
    <x v="522"/>
    <x v="125"/>
    <x v="496"/>
    <x v="3"/>
  </r>
  <r>
    <x v="0"/>
    <x v="72"/>
    <x v="72"/>
    <x v="14"/>
    <x v="14"/>
    <x v="14"/>
    <x v="10"/>
    <x v="200"/>
    <x v="183"/>
    <x v="97"/>
    <x v="45"/>
    <x v="128"/>
    <x v="207"/>
    <x v="3"/>
  </r>
  <r>
    <x v="0"/>
    <x v="72"/>
    <x v="72"/>
    <x v="26"/>
    <x v="26"/>
    <x v="26"/>
    <x v="15"/>
    <x v="201"/>
    <x v="545"/>
    <x v="82"/>
    <x v="86"/>
    <x v="125"/>
    <x v="496"/>
    <x v="3"/>
  </r>
  <r>
    <x v="0"/>
    <x v="72"/>
    <x v="72"/>
    <x v="36"/>
    <x v="36"/>
    <x v="36"/>
    <x v="15"/>
    <x v="201"/>
    <x v="545"/>
    <x v="82"/>
    <x v="86"/>
    <x v="125"/>
    <x v="496"/>
    <x v="3"/>
  </r>
  <r>
    <x v="0"/>
    <x v="72"/>
    <x v="72"/>
    <x v="60"/>
    <x v="60"/>
    <x v="60"/>
    <x v="15"/>
    <x v="201"/>
    <x v="545"/>
    <x v="82"/>
    <x v="86"/>
    <x v="125"/>
    <x v="496"/>
    <x v="3"/>
  </r>
  <r>
    <x v="0"/>
    <x v="72"/>
    <x v="72"/>
    <x v="34"/>
    <x v="34"/>
    <x v="34"/>
    <x v="15"/>
    <x v="201"/>
    <x v="545"/>
    <x v="82"/>
    <x v="86"/>
    <x v="125"/>
    <x v="496"/>
    <x v="3"/>
  </r>
  <r>
    <x v="0"/>
    <x v="72"/>
    <x v="72"/>
    <x v="41"/>
    <x v="41"/>
    <x v="41"/>
    <x v="15"/>
    <x v="201"/>
    <x v="545"/>
    <x v="82"/>
    <x v="86"/>
    <x v="125"/>
    <x v="496"/>
    <x v="3"/>
  </r>
  <r>
    <x v="0"/>
    <x v="72"/>
    <x v="72"/>
    <x v="70"/>
    <x v="70"/>
    <x v="70"/>
    <x v="15"/>
    <x v="201"/>
    <x v="545"/>
    <x v="82"/>
    <x v="86"/>
    <x v="125"/>
    <x v="496"/>
    <x v="3"/>
  </r>
  <r>
    <x v="0"/>
    <x v="72"/>
    <x v="72"/>
    <x v="24"/>
    <x v="24"/>
    <x v="24"/>
    <x v="15"/>
    <x v="201"/>
    <x v="545"/>
    <x v="82"/>
    <x v="86"/>
    <x v="125"/>
    <x v="496"/>
    <x v="3"/>
  </r>
  <r>
    <x v="0"/>
    <x v="72"/>
    <x v="72"/>
    <x v="20"/>
    <x v="20"/>
    <x v="20"/>
    <x v="15"/>
    <x v="201"/>
    <x v="545"/>
    <x v="82"/>
    <x v="86"/>
    <x v="125"/>
    <x v="496"/>
    <x v="3"/>
  </r>
  <r>
    <x v="0"/>
    <x v="72"/>
    <x v="72"/>
    <x v="33"/>
    <x v="33"/>
    <x v="33"/>
    <x v="15"/>
    <x v="201"/>
    <x v="545"/>
    <x v="36"/>
    <x v="522"/>
    <x v="128"/>
    <x v="207"/>
    <x v="3"/>
  </r>
  <r>
    <x v="0"/>
    <x v="72"/>
    <x v="72"/>
    <x v="21"/>
    <x v="21"/>
    <x v="21"/>
    <x v="15"/>
    <x v="201"/>
    <x v="545"/>
    <x v="82"/>
    <x v="86"/>
    <x v="125"/>
    <x v="496"/>
    <x v="3"/>
  </r>
  <r>
    <x v="0"/>
    <x v="72"/>
    <x v="72"/>
    <x v="10"/>
    <x v="10"/>
    <x v="10"/>
    <x v="15"/>
    <x v="201"/>
    <x v="545"/>
    <x v="36"/>
    <x v="522"/>
    <x v="128"/>
    <x v="207"/>
    <x v="3"/>
  </r>
  <r>
    <x v="0"/>
    <x v="72"/>
    <x v="72"/>
    <x v="18"/>
    <x v="18"/>
    <x v="18"/>
    <x v="15"/>
    <x v="201"/>
    <x v="545"/>
    <x v="82"/>
    <x v="86"/>
    <x v="125"/>
    <x v="496"/>
    <x v="3"/>
  </r>
  <r>
    <x v="0"/>
    <x v="73"/>
    <x v="73"/>
    <x v="7"/>
    <x v="7"/>
    <x v="7"/>
    <x v="0"/>
    <x v="203"/>
    <x v="584"/>
    <x v="149"/>
    <x v="593"/>
    <x v="71"/>
    <x v="497"/>
    <x v="3"/>
  </r>
  <r>
    <x v="0"/>
    <x v="73"/>
    <x v="73"/>
    <x v="0"/>
    <x v="0"/>
    <x v="0"/>
    <x v="1"/>
    <x v="115"/>
    <x v="146"/>
    <x v="75"/>
    <x v="594"/>
    <x v="109"/>
    <x v="441"/>
    <x v="3"/>
  </r>
  <r>
    <x v="0"/>
    <x v="73"/>
    <x v="73"/>
    <x v="4"/>
    <x v="4"/>
    <x v="4"/>
    <x v="2"/>
    <x v="162"/>
    <x v="585"/>
    <x v="80"/>
    <x v="595"/>
    <x v="82"/>
    <x v="498"/>
    <x v="3"/>
  </r>
  <r>
    <x v="0"/>
    <x v="73"/>
    <x v="73"/>
    <x v="6"/>
    <x v="6"/>
    <x v="6"/>
    <x v="3"/>
    <x v="156"/>
    <x v="586"/>
    <x v="81"/>
    <x v="289"/>
    <x v="109"/>
    <x v="441"/>
    <x v="0"/>
  </r>
  <r>
    <x v="0"/>
    <x v="73"/>
    <x v="73"/>
    <x v="3"/>
    <x v="3"/>
    <x v="3"/>
    <x v="4"/>
    <x v="168"/>
    <x v="94"/>
    <x v="51"/>
    <x v="71"/>
    <x v="109"/>
    <x v="441"/>
    <x v="3"/>
  </r>
  <r>
    <x v="0"/>
    <x v="73"/>
    <x v="73"/>
    <x v="1"/>
    <x v="1"/>
    <x v="1"/>
    <x v="4"/>
    <x v="168"/>
    <x v="94"/>
    <x v="15"/>
    <x v="437"/>
    <x v="128"/>
    <x v="207"/>
    <x v="3"/>
  </r>
  <r>
    <x v="0"/>
    <x v="73"/>
    <x v="73"/>
    <x v="5"/>
    <x v="5"/>
    <x v="5"/>
    <x v="6"/>
    <x v="199"/>
    <x v="577"/>
    <x v="70"/>
    <x v="347"/>
    <x v="83"/>
    <x v="440"/>
    <x v="3"/>
  </r>
  <r>
    <x v="0"/>
    <x v="73"/>
    <x v="73"/>
    <x v="8"/>
    <x v="8"/>
    <x v="8"/>
    <x v="7"/>
    <x v="195"/>
    <x v="54"/>
    <x v="97"/>
    <x v="439"/>
    <x v="127"/>
    <x v="27"/>
    <x v="3"/>
  </r>
  <r>
    <x v="0"/>
    <x v="73"/>
    <x v="73"/>
    <x v="24"/>
    <x v="24"/>
    <x v="24"/>
    <x v="8"/>
    <x v="196"/>
    <x v="587"/>
    <x v="36"/>
    <x v="102"/>
    <x v="111"/>
    <x v="499"/>
    <x v="3"/>
  </r>
  <r>
    <x v="0"/>
    <x v="73"/>
    <x v="73"/>
    <x v="9"/>
    <x v="9"/>
    <x v="9"/>
    <x v="9"/>
    <x v="197"/>
    <x v="184"/>
    <x v="36"/>
    <x v="102"/>
    <x v="83"/>
    <x v="440"/>
    <x v="3"/>
  </r>
  <r>
    <x v="0"/>
    <x v="73"/>
    <x v="73"/>
    <x v="13"/>
    <x v="13"/>
    <x v="13"/>
    <x v="9"/>
    <x v="197"/>
    <x v="184"/>
    <x v="51"/>
    <x v="71"/>
    <x v="125"/>
    <x v="135"/>
    <x v="3"/>
  </r>
  <r>
    <x v="0"/>
    <x v="73"/>
    <x v="73"/>
    <x v="52"/>
    <x v="52"/>
    <x v="52"/>
    <x v="9"/>
    <x v="197"/>
    <x v="184"/>
    <x v="36"/>
    <x v="102"/>
    <x v="83"/>
    <x v="440"/>
    <x v="3"/>
  </r>
  <r>
    <x v="0"/>
    <x v="73"/>
    <x v="73"/>
    <x v="26"/>
    <x v="26"/>
    <x v="26"/>
    <x v="12"/>
    <x v="198"/>
    <x v="588"/>
    <x v="82"/>
    <x v="86"/>
    <x v="127"/>
    <x v="27"/>
    <x v="0"/>
  </r>
  <r>
    <x v="0"/>
    <x v="73"/>
    <x v="73"/>
    <x v="2"/>
    <x v="2"/>
    <x v="2"/>
    <x v="12"/>
    <x v="198"/>
    <x v="588"/>
    <x v="82"/>
    <x v="86"/>
    <x v="127"/>
    <x v="27"/>
    <x v="3"/>
  </r>
  <r>
    <x v="0"/>
    <x v="73"/>
    <x v="73"/>
    <x v="14"/>
    <x v="14"/>
    <x v="14"/>
    <x v="12"/>
    <x v="198"/>
    <x v="588"/>
    <x v="97"/>
    <x v="439"/>
    <x v="125"/>
    <x v="135"/>
    <x v="3"/>
  </r>
  <r>
    <x v="0"/>
    <x v="73"/>
    <x v="73"/>
    <x v="31"/>
    <x v="31"/>
    <x v="31"/>
    <x v="12"/>
    <x v="198"/>
    <x v="588"/>
    <x v="97"/>
    <x v="439"/>
    <x v="125"/>
    <x v="135"/>
    <x v="3"/>
  </r>
  <r>
    <x v="0"/>
    <x v="73"/>
    <x v="73"/>
    <x v="15"/>
    <x v="15"/>
    <x v="15"/>
    <x v="12"/>
    <x v="198"/>
    <x v="588"/>
    <x v="82"/>
    <x v="86"/>
    <x v="127"/>
    <x v="27"/>
    <x v="3"/>
  </r>
  <r>
    <x v="0"/>
    <x v="73"/>
    <x v="73"/>
    <x v="36"/>
    <x v="36"/>
    <x v="36"/>
    <x v="17"/>
    <x v="200"/>
    <x v="589"/>
    <x v="97"/>
    <x v="439"/>
    <x v="128"/>
    <x v="207"/>
    <x v="3"/>
  </r>
  <r>
    <x v="0"/>
    <x v="73"/>
    <x v="73"/>
    <x v="55"/>
    <x v="55"/>
    <x v="55"/>
    <x v="17"/>
    <x v="200"/>
    <x v="589"/>
    <x v="82"/>
    <x v="86"/>
    <x v="127"/>
    <x v="27"/>
    <x v="3"/>
  </r>
  <r>
    <x v="0"/>
    <x v="73"/>
    <x v="73"/>
    <x v="37"/>
    <x v="37"/>
    <x v="37"/>
    <x v="17"/>
    <x v="200"/>
    <x v="589"/>
    <x v="82"/>
    <x v="86"/>
    <x v="128"/>
    <x v="207"/>
    <x v="3"/>
  </r>
  <r>
    <x v="0"/>
    <x v="73"/>
    <x v="73"/>
    <x v="38"/>
    <x v="38"/>
    <x v="38"/>
    <x v="17"/>
    <x v="200"/>
    <x v="589"/>
    <x v="82"/>
    <x v="86"/>
    <x v="127"/>
    <x v="27"/>
    <x v="3"/>
  </r>
  <r>
    <x v="0"/>
    <x v="73"/>
    <x v="73"/>
    <x v="11"/>
    <x v="11"/>
    <x v="11"/>
    <x v="17"/>
    <x v="200"/>
    <x v="589"/>
    <x v="97"/>
    <x v="439"/>
    <x v="128"/>
    <x v="207"/>
    <x v="3"/>
  </r>
  <r>
    <x v="0"/>
    <x v="73"/>
    <x v="73"/>
    <x v="28"/>
    <x v="28"/>
    <x v="28"/>
    <x v="17"/>
    <x v="200"/>
    <x v="589"/>
    <x v="36"/>
    <x v="102"/>
    <x v="125"/>
    <x v="135"/>
    <x v="3"/>
  </r>
  <r>
    <x v="0"/>
    <x v="74"/>
    <x v="74"/>
    <x v="7"/>
    <x v="7"/>
    <x v="7"/>
    <x v="0"/>
    <x v="172"/>
    <x v="590"/>
    <x v="64"/>
    <x v="596"/>
    <x v="86"/>
    <x v="139"/>
    <x v="3"/>
  </r>
  <r>
    <x v="0"/>
    <x v="74"/>
    <x v="74"/>
    <x v="0"/>
    <x v="0"/>
    <x v="0"/>
    <x v="1"/>
    <x v="89"/>
    <x v="591"/>
    <x v="145"/>
    <x v="597"/>
    <x v="93"/>
    <x v="494"/>
    <x v="3"/>
  </r>
  <r>
    <x v="0"/>
    <x v="74"/>
    <x v="74"/>
    <x v="3"/>
    <x v="3"/>
    <x v="3"/>
    <x v="2"/>
    <x v="90"/>
    <x v="500"/>
    <x v="70"/>
    <x v="237"/>
    <x v="94"/>
    <x v="500"/>
    <x v="3"/>
  </r>
  <r>
    <x v="0"/>
    <x v="74"/>
    <x v="74"/>
    <x v="4"/>
    <x v="4"/>
    <x v="4"/>
    <x v="3"/>
    <x v="139"/>
    <x v="244"/>
    <x v="37"/>
    <x v="598"/>
    <x v="108"/>
    <x v="501"/>
    <x v="3"/>
  </r>
  <r>
    <x v="0"/>
    <x v="74"/>
    <x v="74"/>
    <x v="1"/>
    <x v="1"/>
    <x v="1"/>
    <x v="4"/>
    <x v="129"/>
    <x v="592"/>
    <x v="37"/>
    <x v="598"/>
    <x v="111"/>
    <x v="84"/>
    <x v="3"/>
  </r>
  <r>
    <x v="0"/>
    <x v="74"/>
    <x v="74"/>
    <x v="6"/>
    <x v="6"/>
    <x v="6"/>
    <x v="5"/>
    <x v="153"/>
    <x v="90"/>
    <x v="55"/>
    <x v="470"/>
    <x v="111"/>
    <x v="84"/>
    <x v="3"/>
  </r>
  <r>
    <x v="0"/>
    <x v="74"/>
    <x v="74"/>
    <x v="5"/>
    <x v="5"/>
    <x v="5"/>
    <x v="6"/>
    <x v="154"/>
    <x v="320"/>
    <x v="35"/>
    <x v="599"/>
    <x v="127"/>
    <x v="496"/>
    <x v="3"/>
  </r>
  <r>
    <x v="0"/>
    <x v="74"/>
    <x v="74"/>
    <x v="19"/>
    <x v="19"/>
    <x v="19"/>
    <x v="7"/>
    <x v="168"/>
    <x v="593"/>
    <x v="110"/>
    <x v="600"/>
    <x v="127"/>
    <x v="496"/>
    <x v="3"/>
  </r>
  <r>
    <x v="0"/>
    <x v="74"/>
    <x v="74"/>
    <x v="11"/>
    <x v="11"/>
    <x v="11"/>
    <x v="7"/>
    <x v="168"/>
    <x v="593"/>
    <x v="50"/>
    <x v="601"/>
    <x v="83"/>
    <x v="219"/>
    <x v="3"/>
  </r>
  <r>
    <x v="0"/>
    <x v="74"/>
    <x v="74"/>
    <x v="8"/>
    <x v="8"/>
    <x v="8"/>
    <x v="7"/>
    <x v="168"/>
    <x v="593"/>
    <x v="81"/>
    <x v="602"/>
    <x v="127"/>
    <x v="496"/>
    <x v="3"/>
  </r>
  <r>
    <x v="0"/>
    <x v="74"/>
    <x v="74"/>
    <x v="9"/>
    <x v="9"/>
    <x v="9"/>
    <x v="10"/>
    <x v="199"/>
    <x v="64"/>
    <x v="51"/>
    <x v="603"/>
    <x v="108"/>
    <x v="501"/>
    <x v="3"/>
  </r>
  <r>
    <x v="0"/>
    <x v="74"/>
    <x v="74"/>
    <x v="14"/>
    <x v="14"/>
    <x v="14"/>
    <x v="10"/>
    <x v="199"/>
    <x v="64"/>
    <x v="51"/>
    <x v="603"/>
    <x v="108"/>
    <x v="501"/>
    <x v="3"/>
  </r>
  <r>
    <x v="0"/>
    <x v="74"/>
    <x v="74"/>
    <x v="13"/>
    <x v="13"/>
    <x v="13"/>
    <x v="12"/>
    <x v="202"/>
    <x v="12"/>
    <x v="70"/>
    <x v="237"/>
    <x v="127"/>
    <x v="496"/>
    <x v="3"/>
  </r>
  <r>
    <x v="0"/>
    <x v="74"/>
    <x v="74"/>
    <x v="12"/>
    <x v="12"/>
    <x v="12"/>
    <x v="13"/>
    <x v="195"/>
    <x v="52"/>
    <x v="81"/>
    <x v="602"/>
    <x v="127"/>
    <x v="496"/>
    <x v="3"/>
  </r>
  <r>
    <x v="0"/>
    <x v="74"/>
    <x v="74"/>
    <x v="10"/>
    <x v="10"/>
    <x v="10"/>
    <x v="14"/>
    <x v="196"/>
    <x v="251"/>
    <x v="81"/>
    <x v="602"/>
    <x v="125"/>
    <x v="116"/>
    <x v="3"/>
  </r>
  <r>
    <x v="0"/>
    <x v="74"/>
    <x v="74"/>
    <x v="26"/>
    <x v="26"/>
    <x v="26"/>
    <x v="15"/>
    <x v="197"/>
    <x v="143"/>
    <x v="36"/>
    <x v="387"/>
    <x v="83"/>
    <x v="219"/>
    <x v="3"/>
  </r>
  <r>
    <x v="0"/>
    <x v="74"/>
    <x v="74"/>
    <x v="20"/>
    <x v="20"/>
    <x v="20"/>
    <x v="15"/>
    <x v="197"/>
    <x v="143"/>
    <x v="82"/>
    <x v="86"/>
    <x v="111"/>
    <x v="84"/>
    <x v="3"/>
  </r>
  <r>
    <x v="0"/>
    <x v="74"/>
    <x v="74"/>
    <x v="36"/>
    <x v="36"/>
    <x v="36"/>
    <x v="17"/>
    <x v="198"/>
    <x v="158"/>
    <x v="36"/>
    <x v="387"/>
    <x v="127"/>
    <x v="496"/>
    <x v="3"/>
  </r>
  <r>
    <x v="0"/>
    <x v="74"/>
    <x v="74"/>
    <x v="2"/>
    <x v="2"/>
    <x v="2"/>
    <x v="17"/>
    <x v="198"/>
    <x v="158"/>
    <x v="82"/>
    <x v="86"/>
    <x v="83"/>
    <x v="219"/>
    <x v="3"/>
  </r>
  <r>
    <x v="0"/>
    <x v="74"/>
    <x v="74"/>
    <x v="31"/>
    <x v="31"/>
    <x v="31"/>
    <x v="17"/>
    <x v="198"/>
    <x v="158"/>
    <x v="97"/>
    <x v="187"/>
    <x v="125"/>
    <x v="116"/>
    <x v="3"/>
  </r>
  <r>
    <x v="0"/>
    <x v="74"/>
    <x v="74"/>
    <x v="15"/>
    <x v="15"/>
    <x v="15"/>
    <x v="17"/>
    <x v="198"/>
    <x v="158"/>
    <x v="82"/>
    <x v="86"/>
    <x v="125"/>
    <x v="116"/>
    <x v="3"/>
  </r>
  <r>
    <x v="0"/>
    <x v="74"/>
    <x v="74"/>
    <x v="18"/>
    <x v="18"/>
    <x v="18"/>
    <x v="17"/>
    <x v="198"/>
    <x v="158"/>
    <x v="97"/>
    <x v="187"/>
    <x v="125"/>
    <x v="116"/>
    <x v="3"/>
  </r>
  <r>
    <x v="0"/>
    <x v="75"/>
    <x v="75"/>
    <x v="3"/>
    <x v="3"/>
    <x v="3"/>
    <x v="0"/>
    <x v="153"/>
    <x v="594"/>
    <x v="51"/>
    <x v="77"/>
    <x v="122"/>
    <x v="502"/>
    <x v="3"/>
  </r>
  <r>
    <x v="0"/>
    <x v="75"/>
    <x v="75"/>
    <x v="4"/>
    <x v="4"/>
    <x v="4"/>
    <x v="1"/>
    <x v="156"/>
    <x v="595"/>
    <x v="80"/>
    <x v="271"/>
    <x v="83"/>
    <x v="503"/>
    <x v="3"/>
  </r>
  <r>
    <x v="0"/>
    <x v="75"/>
    <x v="75"/>
    <x v="5"/>
    <x v="5"/>
    <x v="5"/>
    <x v="2"/>
    <x v="168"/>
    <x v="596"/>
    <x v="80"/>
    <x v="271"/>
    <x v="125"/>
    <x v="6"/>
    <x v="3"/>
  </r>
  <r>
    <x v="0"/>
    <x v="75"/>
    <x v="75"/>
    <x v="6"/>
    <x v="6"/>
    <x v="6"/>
    <x v="2"/>
    <x v="168"/>
    <x v="596"/>
    <x v="110"/>
    <x v="315"/>
    <x v="127"/>
    <x v="138"/>
    <x v="3"/>
  </r>
  <r>
    <x v="0"/>
    <x v="75"/>
    <x v="75"/>
    <x v="1"/>
    <x v="1"/>
    <x v="1"/>
    <x v="4"/>
    <x v="199"/>
    <x v="597"/>
    <x v="80"/>
    <x v="271"/>
    <x v="128"/>
    <x v="207"/>
    <x v="3"/>
  </r>
  <r>
    <x v="0"/>
    <x v="75"/>
    <x v="75"/>
    <x v="7"/>
    <x v="7"/>
    <x v="7"/>
    <x v="5"/>
    <x v="196"/>
    <x v="598"/>
    <x v="51"/>
    <x v="77"/>
    <x v="125"/>
    <x v="6"/>
    <x v="3"/>
  </r>
  <r>
    <x v="0"/>
    <x v="75"/>
    <x v="75"/>
    <x v="13"/>
    <x v="13"/>
    <x v="13"/>
    <x v="6"/>
    <x v="198"/>
    <x v="303"/>
    <x v="36"/>
    <x v="9"/>
    <x v="127"/>
    <x v="138"/>
    <x v="3"/>
  </r>
  <r>
    <x v="0"/>
    <x v="75"/>
    <x v="75"/>
    <x v="14"/>
    <x v="14"/>
    <x v="14"/>
    <x v="6"/>
    <x v="198"/>
    <x v="303"/>
    <x v="51"/>
    <x v="77"/>
    <x v="128"/>
    <x v="207"/>
    <x v="3"/>
  </r>
  <r>
    <x v="0"/>
    <x v="75"/>
    <x v="75"/>
    <x v="15"/>
    <x v="15"/>
    <x v="15"/>
    <x v="6"/>
    <x v="198"/>
    <x v="303"/>
    <x v="82"/>
    <x v="86"/>
    <x v="128"/>
    <x v="207"/>
    <x v="3"/>
  </r>
  <r>
    <x v="0"/>
    <x v="75"/>
    <x v="75"/>
    <x v="9"/>
    <x v="9"/>
    <x v="9"/>
    <x v="9"/>
    <x v="200"/>
    <x v="391"/>
    <x v="97"/>
    <x v="325"/>
    <x v="128"/>
    <x v="207"/>
    <x v="3"/>
  </r>
  <r>
    <x v="0"/>
    <x v="75"/>
    <x v="75"/>
    <x v="29"/>
    <x v="29"/>
    <x v="29"/>
    <x v="9"/>
    <x v="200"/>
    <x v="391"/>
    <x v="97"/>
    <x v="325"/>
    <x v="128"/>
    <x v="207"/>
    <x v="3"/>
  </r>
  <r>
    <x v="0"/>
    <x v="75"/>
    <x v="75"/>
    <x v="0"/>
    <x v="0"/>
    <x v="0"/>
    <x v="9"/>
    <x v="200"/>
    <x v="391"/>
    <x v="97"/>
    <x v="325"/>
    <x v="128"/>
    <x v="207"/>
    <x v="3"/>
  </r>
  <r>
    <x v="0"/>
    <x v="75"/>
    <x v="75"/>
    <x v="10"/>
    <x v="10"/>
    <x v="10"/>
    <x v="9"/>
    <x v="200"/>
    <x v="391"/>
    <x v="97"/>
    <x v="325"/>
    <x v="128"/>
    <x v="207"/>
    <x v="3"/>
  </r>
  <r>
    <x v="0"/>
    <x v="75"/>
    <x v="75"/>
    <x v="26"/>
    <x v="26"/>
    <x v="26"/>
    <x v="13"/>
    <x v="201"/>
    <x v="599"/>
    <x v="82"/>
    <x v="86"/>
    <x v="125"/>
    <x v="6"/>
    <x v="3"/>
  </r>
  <r>
    <x v="0"/>
    <x v="75"/>
    <x v="75"/>
    <x v="36"/>
    <x v="36"/>
    <x v="36"/>
    <x v="13"/>
    <x v="201"/>
    <x v="599"/>
    <x v="82"/>
    <x v="86"/>
    <x v="125"/>
    <x v="6"/>
    <x v="3"/>
  </r>
  <r>
    <x v="0"/>
    <x v="75"/>
    <x v="75"/>
    <x v="54"/>
    <x v="54"/>
    <x v="54"/>
    <x v="13"/>
    <x v="201"/>
    <x v="599"/>
    <x v="82"/>
    <x v="86"/>
    <x v="125"/>
    <x v="6"/>
    <x v="3"/>
  </r>
  <r>
    <x v="0"/>
    <x v="75"/>
    <x v="75"/>
    <x v="50"/>
    <x v="50"/>
    <x v="50"/>
    <x v="13"/>
    <x v="201"/>
    <x v="599"/>
    <x v="36"/>
    <x v="9"/>
    <x v="128"/>
    <x v="207"/>
    <x v="3"/>
  </r>
  <r>
    <x v="0"/>
    <x v="75"/>
    <x v="75"/>
    <x v="35"/>
    <x v="35"/>
    <x v="35"/>
    <x v="13"/>
    <x v="201"/>
    <x v="599"/>
    <x v="82"/>
    <x v="86"/>
    <x v="125"/>
    <x v="6"/>
    <x v="3"/>
  </r>
  <r>
    <x v="0"/>
    <x v="75"/>
    <x v="75"/>
    <x v="37"/>
    <x v="37"/>
    <x v="37"/>
    <x v="13"/>
    <x v="201"/>
    <x v="599"/>
    <x v="82"/>
    <x v="86"/>
    <x v="128"/>
    <x v="207"/>
    <x v="3"/>
  </r>
  <r>
    <x v="0"/>
    <x v="75"/>
    <x v="75"/>
    <x v="41"/>
    <x v="41"/>
    <x v="41"/>
    <x v="13"/>
    <x v="201"/>
    <x v="599"/>
    <x v="36"/>
    <x v="9"/>
    <x v="128"/>
    <x v="207"/>
    <x v="3"/>
  </r>
  <r>
    <x v="0"/>
    <x v="75"/>
    <x v="75"/>
    <x v="24"/>
    <x v="24"/>
    <x v="24"/>
    <x v="13"/>
    <x v="201"/>
    <x v="599"/>
    <x v="82"/>
    <x v="86"/>
    <x v="125"/>
    <x v="6"/>
    <x v="3"/>
  </r>
  <r>
    <x v="0"/>
    <x v="75"/>
    <x v="75"/>
    <x v="23"/>
    <x v="23"/>
    <x v="23"/>
    <x v="13"/>
    <x v="201"/>
    <x v="599"/>
    <x v="82"/>
    <x v="86"/>
    <x v="125"/>
    <x v="6"/>
    <x v="3"/>
  </r>
  <r>
    <x v="0"/>
    <x v="75"/>
    <x v="75"/>
    <x v="20"/>
    <x v="20"/>
    <x v="20"/>
    <x v="13"/>
    <x v="201"/>
    <x v="599"/>
    <x v="36"/>
    <x v="9"/>
    <x v="128"/>
    <x v="207"/>
    <x v="3"/>
  </r>
  <r>
    <x v="0"/>
    <x v="75"/>
    <x v="75"/>
    <x v="11"/>
    <x v="11"/>
    <x v="11"/>
    <x v="13"/>
    <x v="201"/>
    <x v="599"/>
    <x v="36"/>
    <x v="9"/>
    <x v="128"/>
    <x v="207"/>
    <x v="3"/>
  </r>
  <r>
    <x v="0"/>
    <x v="75"/>
    <x v="75"/>
    <x v="21"/>
    <x v="21"/>
    <x v="21"/>
    <x v="13"/>
    <x v="201"/>
    <x v="599"/>
    <x v="82"/>
    <x v="86"/>
    <x v="125"/>
    <x v="6"/>
    <x v="3"/>
  </r>
  <r>
    <x v="0"/>
    <x v="75"/>
    <x v="75"/>
    <x v="52"/>
    <x v="52"/>
    <x v="52"/>
    <x v="13"/>
    <x v="201"/>
    <x v="599"/>
    <x v="82"/>
    <x v="86"/>
    <x v="125"/>
    <x v="6"/>
    <x v="3"/>
  </r>
  <r>
    <x v="0"/>
    <x v="75"/>
    <x v="75"/>
    <x v="28"/>
    <x v="28"/>
    <x v="28"/>
    <x v="13"/>
    <x v="201"/>
    <x v="599"/>
    <x v="36"/>
    <x v="9"/>
    <x v="128"/>
    <x v="207"/>
    <x v="3"/>
  </r>
  <r>
    <x v="0"/>
    <x v="75"/>
    <x v="75"/>
    <x v="8"/>
    <x v="8"/>
    <x v="8"/>
    <x v="13"/>
    <x v="201"/>
    <x v="599"/>
    <x v="82"/>
    <x v="86"/>
    <x v="128"/>
    <x v="207"/>
    <x v="3"/>
  </r>
  <r>
    <x v="0"/>
    <x v="75"/>
    <x v="75"/>
    <x v="18"/>
    <x v="18"/>
    <x v="18"/>
    <x v="13"/>
    <x v="201"/>
    <x v="599"/>
    <x v="36"/>
    <x v="9"/>
    <x v="128"/>
    <x v="207"/>
    <x v="3"/>
  </r>
  <r>
    <x v="0"/>
    <x v="75"/>
    <x v="75"/>
    <x v="22"/>
    <x v="22"/>
    <x v="22"/>
    <x v="13"/>
    <x v="201"/>
    <x v="599"/>
    <x v="36"/>
    <x v="9"/>
    <x v="128"/>
    <x v="207"/>
    <x v="3"/>
  </r>
  <r>
    <x v="0"/>
    <x v="76"/>
    <x v="76"/>
    <x v="3"/>
    <x v="3"/>
    <x v="3"/>
    <x v="0"/>
    <x v="137"/>
    <x v="400"/>
    <x v="109"/>
    <x v="604"/>
    <x v="85"/>
    <x v="504"/>
    <x v="3"/>
  </r>
  <r>
    <x v="0"/>
    <x v="76"/>
    <x v="76"/>
    <x v="4"/>
    <x v="4"/>
    <x v="4"/>
    <x v="1"/>
    <x v="152"/>
    <x v="600"/>
    <x v="55"/>
    <x v="605"/>
    <x v="112"/>
    <x v="505"/>
    <x v="3"/>
  </r>
  <r>
    <x v="0"/>
    <x v="76"/>
    <x v="76"/>
    <x v="5"/>
    <x v="5"/>
    <x v="5"/>
    <x v="2"/>
    <x v="127"/>
    <x v="476"/>
    <x v="54"/>
    <x v="315"/>
    <x v="111"/>
    <x v="506"/>
    <x v="3"/>
  </r>
  <r>
    <x v="0"/>
    <x v="76"/>
    <x v="76"/>
    <x v="1"/>
    <x v="1"/>
    <x v="1"/>
    <x v="2"/>
    <x v="127"/>
    <x v="476"/>
    <x v="47"/>
    <x v="606"/>
    <x v="125"/>
    <x v="507"/>
    <x v="3"/>
  </r>
  <r>
    <x v="0"/>
    <x v="76"/>
    <x v="76"/>
    <x v="7"/>
    <x v="7"/>
    <x v="7"/>
    <x v="4"/>
    <x v="141"/>
    <x v="60"/>
    <x v="37"/>
    <x v="607"/>
    <x v="125"/>
    <x v="507"/>
    <x v="3"/>
  </r>
  <r>
    <x v="0"/>
    <x v="76"/>
    <x v="76"/>
    <x v="0"/>
    <x v="0"/>
    <x v="0"/>
    <x v="5"/>
    <x v="153"/>
    <x v="601"/>
    <x v="35"/>
    <x v="608"/>
    <x v="83"/>
    <x v="58"/>
    <x v="3"/>
  </r>
  <r>
    <x v="0"/>
    <x v="76"/>
    <x v="76"/>
    <x v="6"/>
    <x v="6"/>
    <x v="6"/>
    <x v="6"/>
    <x v="156"/>
    <x v="320"/>
    <x v="80"/>
    <x v="502"/>
    <x v="83"/>
    <x v="58"/>
    <x v="3"/>
  </r>
  <r>
    <x v="0"/>
    <x v="76"/>
    <x v="76"/>
    <x v="8"/>
    <x v="8"/>
    <x v="8"/>
    <x v="6"/>
    <x v="156"/>
    <x v="320"/>
    <x v="15"/>
    <x v="609"/>
    <x v="128"/>
    <x v="207"/>
    <x v="3"/>
  </r>
  <r>
    <x v="0"/>
    <x v="76"/>
    <x v="76"/>
    <x v="14"/>
    <x v="14"/>
    <x v="14"/>
    <x v="8"/>
    <x v="199"/>
    <x v="422"/>
    <x v="97"/>
    <x v="610"/>
    <x v="109"/>
    <x v="476"/>
    <x v="3"/>
  </r>
  <r>
    <x v="0"/>
    <x v="76"/>
    <x v="76"/>
    <x v="10"/>
    <x v="10"/>
    <x v="10"/>
    <x v="9"/>
    <x v="202"/>
    <x v="47"/>
    <x v="50"/>
    <x v="611"/>
    <x v="125"/>
    <x v="507"/>
    <x v="3"/>
  </r>
  <r>
    <x v="0"/>
    <x v="76"/>
    <x v="76"/>
    <x v="9"/>
    <x v="9"/>
    <x v="9"/>
    <x v="10"/>
    <x v="195"/>
    <x v="50"/>
    <x v="97"/>
    <x v="610"/>
    <x v="111"/>
    <x v="506"/>
    <x v="3"/>
  </r>
  <r>
    <x v="0"/>
    <x v="76"/>
    <x v="76"/>
    <x v="15"/>
    <x v="15"/>
    <x v="15"/>
    <x v="10"/>
    <x v="195"/>
    <x v="50"/>
    <x v="82"/>
    <x v="86"/>
    <x v="111"/>
    <x v="506"/>
    <x v="3"/>
  </r>
  <r>
    <x v="0"/>
    <x v="76"/>
    <x v="76"/>
    <x v="11"/>
    <x v="11"/>
    <x v="11"/>
    <x v="12"/>
    <x v="196"/>
    <x v="14"/>
    <x v="51"/>
    <x v="612"/>
    <x v="127"/>
    <x v="301"/>
    <x v="3"/>
  </r>
  <r>
    <x v="0"/>
    <x v="76"/>
    <x v="76"/>
    <x v="12"/>
    <x v="12"/>
    <x v="12"/>
    <x v="12"/>
    <x v="196"/>
    <x v="14"/>
    <x v="51"/>
    <x v="612"/>
    <x v="127"/>
    <x v="301"/>
    <x v="3"/>
  </r>
  <r>
    <x v="0"/>
    <x v="76"/>
    <x v="76"/>
    <x v="23"/>
    <x v="23"/>
    <x v="23"/>
    <x v="14"/>
    <x v="197"/>
    <x v="127"/>
    <x v="51"/>
    <x v="612"/>
    <x v="125"/>
    <x v="507"/>
    <x v="3"/>
  </r>
  <r>
    <x v="0"/>
    <x v="76"/>
    <x v="76"/>
    <x v="19"/>
    <x v="19"/>
    <x v="19"/>
    <x v="15"/>
    <x v="198"/>
    <x v="145"/>
    <x v="36"/>
    <x v="341"/>
    <x v="127"/>
    <x v="301"/>
    <x v="3"/>
  </r>
  <r>
    <x v="0"/>
    <x v="76"/>
    <x v="76"/>
    <x v="20"/>
    <x v="20"/>
    <x v="20"/>
    <x v="15"/>
    <x v="198"/>
    <x v="145"/>
    <x v="82"/>
    <x v="86"/>
    <x v="83"/>
    <x v="58"/>
    <x v="3"/>
  </r>
  <r>
    <x v="0"/>
    <x v="76"/>
    <x v="76"/>
    <x v="26"/>
    <x v="26"/>
    <x v="26"/>
    <x v="17"/>
    <x v="200"/>
    <x v="602"/>
    <x v="36"/>
    <x v="341"/>
    <x v="125"/>
    <x v="507"/>
    <x v="3"/>
  </r>
  <r>
    <x v="0"/>
    <x v="76"/>
    <x v="76"/>
    <x v="42"/>
    <x v="42"/>
    <x v="42"/>
    <x v="17"/>
    <x v="200"/>
    <x v="602"/>
    <x v="82"/>
    <x v="86"/>
    <x v="127"/>
    <x v="301"/>
    <x v="3"/>
  </r>
  <r>
    <x v="0"/>
    <x v="76"/>
    <x v="76"/>
    <x v="36"/>
    <x v="36"/>
    <x v="36"/>
    <x v="17"/>
    <x v="200"/>
    <x v="602"/>
    <x v="97"/>
    <x v="610"/>
    <x v="128"/>
    <x v="207"/>
    <x v="3"/>
  </r>
  <r>
    <x v="0"/>
    <x v="76"/>
    <x v="76"/>
    <x v="29"/>
    <x v="29"/>
    <x v="29"/>
    <x v="17"/>
    <x v="200"/>
    <x v="602"/>
    <x v="97"/>
    <x v="610"/>
    <x v="128"/>
    <x v="207"/>
    <x v="3"/>
  </r>
  <r>
    <x v="0"/>
    <x v="76"/>
    <x v="76"/>
    <x v="34"/>
    <x v="34"/>
    <x v="34"/>
    <x v="17"/>
    <x v="200"/>
    <x v="602"/>
    <x v="36"/>
    <x v="341"/>
    <x v="125"/>
    <x v="507"/>
    <x v="3"/>
  </r>
  <r>
    <x v="0"/>
    <x v="76"/>
    <x v="76"/>
    <x v="37"/>
    <x v="37"/>
    <x v="37"/>
    <x v="17"/>
    <x v="200"/>
    <x v="602"/>
    <x v="82"/>
    <x v="86"/>
    <x v="128"/>
    <x v="207"/>
    <x v="3"/>
  </r>
  <r>
    <x v="0"/>
    <x v="76"/>
    <x v="76"/>
    <x v="58"/>
    <x v="58"/>
    <x v="58"/>
    <x v="17"/>
    <x v="200"/>
    <x v="602"/>
    <x v="82"/>
    <x v="86"/>
    <x v="127"/>
    <x v="301"/>
    <x v="3"/>
  </r>
  <r>
    <x v="0"/>
    <x v="76"/>
    <x v="76"/>
    <x v="2"/>
    <x v="2"/>
    <x v="2"/>
    <x v="17"/>
    <x v="200"/>
    <x v="602"/>
    <x v="82"/>
    <x v="86"/>
    <x v="127"/>
    <x v="301"/>
    <x v="3"/>
  </r>
  <r>
    <x v="0"/>
    <x v="76"/>
    <x v="76"/>
    <x v="22"/>
    <x v="22"/>
    <x v="22"/>
    <x v="17"/>
    <x v="200"/>
    <x v="602"/>
    <x v="82"/>
    <x v="86"/>
    <x v="127"/>
    <x v="301"/>
    <x v="3"/>
  </r>
  <r>
    <x v="0"/>
    <x v="77"/>
    <x v="77"/>
    <x v="7"/>
    <x v="7"/>
    <x v="7"/>
    <x v="0"/>
    <x v="199"/>
    <x v="603"/>
    <x v="50"/>
    <x v="613"/>
    <x v="127"/>
    <x v="161"/>
    <x v="3"/>
  </r>
  <r>
    <x v="0"/>
    <x v="77"/>
    <x v="77"/>
    <x v="3"/>
    <x v="3"/>
    <x v="3"/>
    <x v="1"/>
    <x v="202"/>
    <x v="402"/>
    <x v="36"/>
    <x v="493"/>
    <x v="109"/>
    <x v="508"/>
    <x v="3"/>
  </r>
  <r>
    <x v="0"/>
    <x v="77"/>
    <x v="77"/>
    <x v="4"/>
    <x v="4"/>
    <x v="4"/>
    <x v="2"/>
    <x v="195"/>
    <x v="596"/>
    <x v="97"/>
    <x v="614"/>
    <x v="111"/>
    <x v="416"/>
    <x v="3"/>
  </r>
  <r>
    <x v="0"/>
    <x v="77"/>
    <x v="77"/>
    <x v="5"/>
    <x v="5"/>
    <x v="5"/>
    <x v="3"/>
    <x v="196"/>
    <x v="404"/>
    <x v="70"/>
    <x v="615"/>
    <x v="128"/>
    <x v="207"/>
    <x v="3"/>
  </r>
  <r>
    <x v="0"/>
    <x v="77"/>
    <x v="77"/>
    <x v="9"/>
    <x v="9"/>
    <x v="9"/>
    <x v="3"/>
    <x v="196"/>
    <x v="404"/>
    <x v="51"/>
    <x v="358"/>
    <x v="127"/>
    <x v="161"/>
    <x v="3"/>
  </r>
  <r>
    <x v="0"/>
    <x v="77"/>
    <x v="77"/>
    <x v="6"/>
    <x v="6"/>
    <x v="6"/>
    <x v="3"/>
    <x v="196"/>
    <x v="404"/>
    <x v="81"/>
    <x v="616"/>
    <x v="125"/>
    <x v="108"/>
    <x v="3"/>
  </r>
  <r>
    <x v="0"/>
    <x v="77"/>
    <x v="77"/>
    <x v="1"/>
    <x v="1"/>
    <x v="1"/>
    <x v="6"/>
    <x v="197"/>
    <x v="302"/>
    <x v="51"/>
    <x v="358"/>
    <x v="125"/>
    <x v="108"/>
    <x v="3"/>
  </r>
  <r>
    <x v="0"/>
    <x v="77"/>
    <x v="77"/>
    <x v="30"/>
    <x v="30"/>
    <x v="30"/>
    <x v="7"/>
    <x v="198"/>
    <x v="405"/>
    <x v="36"/>
    <x v="493"/>
    <x v="127"/>
    <x v="161"/>
    <x v="3"/>
  </r>
  <r>
    <x v="0"/>
    <x v="77"/>
    <x v="77"/>
    <x v="26"/>
    <x v="26"/>
    <x v="26"/>
    <x v="8"/>
    <x v="200"/>
    <x v="303"/>
    <x v="36"/>
    <x v="493"/>
    <x v="125"/>
    <x v="108"/>
    <x v="3"/>
  </r>
  <r>
    <x v="0"/>
    <x v="77"/>
    <x v="77"/>
    <x v="43"/>
    <x v="43"/>
    <x v="43"/>
    <x v="8"/>
    <x v="200"/>
    <x v="303"/>
    <x v="82"/>
    <x v="86"/>
    <x v="127"/>
    <x v="161"/>
    <x v="3"/>
  </r>
  <r>
    <x v="0"/>
    <x v="77"/>
    <x v="77"/>
    <x v="11"/>
    <x v="11"/>
    <x v="11"/>
    <x v="8"/>
    <x v="200"/>
    <x v="303"/>
    <x v="97"/>
    <x v="614"/>
    <x v="128"/>
    <x v="207"/>
    <x v="3"/>
  </r>
  <r>
    <x v="0"/>
    <x v="77"/>
    <x v="77"/>
    <x v="10"/>
    <x v="10"/>
    <x v="10"/>
    <x v="8"/>
    <x v="200"/>
    <x v="303"/>
    <x v="36"/>
    <x v="493"/>
    <x v="128"/>
    <x v="207"/>
    <x v="3"/>
  </r>
  <r>
    <x v="0"/>
    <x v="77"/>
    <x v="77"/>
    <x v="36"/>
    <x v="36"/>
    <x v="36"/>
    <x v="12"/>
    <x v="201"/>
    <x v="406"/>
    <x v="82"/>
    <x v="86"/>
    <x v="125"/>
    <x v="108"/>
    <x v="3"/>
  </r>
  <r>
    <x v="0"/>
    <x v="77"/>
    <x v="77"/>
    <x v="29"/>
    <x v="29"/>
    <x v="29"/>
    <x v="12"/>
    <x v="201"/>
    <x v="406"/>
    <x v="36"/>
    <x v="493"/>
    <x v="128"/>
    <x v="207"/>
    <x v="3"/>
  </r>
  <r>
    <x v="0"/>
    <x v="77"/>
    <x v="77"/>
    <x v="45"/>
    <x v="45"/>
    <x v="45"/>
    <x v="12"/>
    <x v="201"/>
    <x v="406"/>
    <x v="82"/>
    <x v="86"/>
    <x v="125"/>
    <x v="108"/>
    <x v="3"/>
  </r>
  <r>
    <x v="0"/>
    <x v="77"/>
    <x v="77"/>
    <x v="24"/>
    <x v="24"/>
    <x v="24"/>
    <x v="12"/>
    <x v="201"/>
    <x v="406"/>
    <x v="36"/>
    <x v="493"/>
    <x v="128"/>
    <x v="207"/>
    <x v="3"/>
  </r>
  <r>
    <x v="0"/>
    <x v="77"/>
    <x v="77"/>
    <x v="23"/>
    <x v="23"/>
    <x v="23"/>
    <x v="12"/>
    <x v="201"/>
    <x v="406"/>
    <x v="82"/>
    <x v="86"/>
    <x v="125"/>
    <x v="108"/>
    <x v="3"/>
  </r>
  <r>
    <x v="0"/>
    <x v="77"/>
    <x v="77"/>
    <x v="13"/>
    <x v="13"/>
    <x v="13"/>
    <x v="12"/>
    <x v="201"/>
    <x v="406"/>
    <x v="36"/>
    <x v="493"/>
    <x v="128"/>
    <x v="207"/>
    <x v="3"/>
  </r>
  <r>
    <x v="0"/>
    <x v="77"/>
    <x v="77"/>
    <x v="0"/>
    <x v="0"/>
    <x v="0"/>
    <x v="12"/>
    <x v="201"/>
    <x v="406"/>
    <x v="36"/>
    <x v="493"/>
    <x v="128"/>
    <x v="207"/>
    <x v="3"/>
  </r>
  <r>
    <x v="0"/>
    <x v="77"/>
    <x v="77"/>
    <x v="62"/>
    <x v="62"/>
    <x v="62"/>
    <x v="12"/>
    <x v="201"/>
    <x v="406"/>
    <x v="82"/>
    <x v="86"/>
    <x v="125"/>
    <x v="108"/>
    <x v="3"/>
  </r>
  <r>
    <x v="0"/>
    <x v="77"/>
    <x v="77"/>
    <x v="22"/>
    <x v="22"/>
    <x v="22"/>
    <x v="12"/>
    <x v="201"/>
    <x v="406"/>
    <x v="82"/>
    <x v="86"/>
    <x v="125"/>
    <x v="108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11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1"/>
  </r>
  <r>
    <x v="0"/>
    <x v="0"/>
    <x v="0"/>
    <x v="4"/>
    <x v="4"/>
    <x v="4"/>
    <x v="4"/>
    <x v="4"/>
    <x v="4"/>
    <x v="4"/>
    <x v="4"/>
    <x v="4"/>
    <x v="4"/>
    <x v="1"/>
  </r>
  <r>
    <x v="0"/>
    <x v="0"/>
    <x v="0"/>
    <x v="5"/>
    <x v="5"/>
    <x v="5"/>
    <x v="5"/>
    <x v="5"/>
    <x v="5"/>
    <x v="5"/>
    <x v="5"/>
    <x v="5"/>
    <x v="5"/>
    <x v="1"/>
  </r>
  <r>
    <x v="0"/>
    <x v="0"/>
    <x v="0"/>
    <x v="6"/>
    <x v="6"/>
    <x v="6"/>
    <x v="6"/>
    <x v="6"/>
    <x v="6"/>
    <x v="6"/>
    <x v="6"/>
    <x v="6"/>
    <x v="6"/>
    <x v="1"/>
  </r>
  <r>
    <x v="0"/>
    <x v="0"/>
    <x v="0"/>
    <x v="7"/>
    <x v="7"/>
    <x v="7"/>
    <x v="7"/>
    <x v="7"/>
    <x v="7"/>
    <x v="7"/>
    <x v="7"/>
    <x v="7"/>
    <x v="7"/>
    <x v="0"/>
  </r>
  <r>
    <x v="0"/>
    <x v="0"/>
    <x v="0"/>
    <x v="8"/>
    <x v="8"/>
    <x v="8"/>
    <x v="8"/>
    <x v="8"/>
    <x v="8"/>
    <x v="8"/>
    <x v="8"/>
    <x v="8"/>
    <x v="8"/>
    <x v="1"/>
  </r>
  <r>
    <x v="0"/>
    <x v="0"/>
    <x v="0"/>
    <x v="9"/>
    <x v="9"/>
    <x v="9"/>
    <x v="9"/>
    <x v="9"/>
    <x v="9"/>
    <x v="9"/>
    <x v="9"/>
    <x v="9"/>
    <x v="9"/>
    <x v="1"/>
  </r>
  <r>
    <x v="0"/>
    <x v="0"/>
    <x v="0"/>
    <x v="10"/>
    <x v="10"/>
    <x v="10"/>
    <x v="10"/>
    <x v="10"/>
    <x v="10"/>
    <x v="10"/>
    <x v="10"/>
    <x v="10"/>
    <x v="10"/>
    <x v="1"/>
  </r>
  <r>
    <x v="0"/>
    <x v="0"/>
    <x v="0"/>
    <x v="11"/>
    <x v="11"/>
    <x v="11"/>
    <x v="11"/>
    <x v="11"/>
    <x v="11"/>
    <x v="11"/>
    <x v="11"/>
    <x v="11"/>
    <x v="11"/>
    <x v="2"/>
  </r>
  <r>
    <x v="0"/>
    <x v="0"/>
    <x v="0"/>
    <x v="12"/>
    <x v="12"/>
    <x v="12"/>
    <x v="12"/>
    <x v="12"/>
    <x v="12"/>
    <x v="12"/>
    <x v="12"/>
    <x v="12"/>
    <x v="12"/>
    <x v="1"/>
  </r>
  <r>
    <x v="0"/>
    <x v="0"/>
    <x v="0"/>
    <x v="13"/>
    <x v="13"/>
    <x v="13"/>
    <x v="13"/>
    <x v="13"/>
    <x v="13"/>
    <x v="13"/>
    <x v="13"/>
    <x v="13"/>
    <x v="13"/>
    <x v="1"/>
  </r>
  <r>
    <x v="0"/>
    <x v="0"/>
    <x v="0"/>
    <x v="14"/>
    <x v="14"/>
    <x v="14"/>
    <x v="14"/>
    <x v="14"/>
    <x v="14"/>
    <x v="14"/>
    <x v="14"/>
    <x v="14"/>
    <x v="14"/>
    <x v="0"/>
  </r>
  <r>
    <x v="0"/>
    <x v="0"/>
    <x v="0"/>
    <x v="15"/>
    <x v="15"/>
    <x v="15"/>
    <x v="15"/>
    <x v="15"/>
    <x v="15"/>
    <x v="15"/>
    <x v="15"/>
    <x v="15"/>
    <x v="15"/>
    <x v="0"/>
  </r>
  <r>
    <x v="0"/>
    <x v="0"/>
    <x v="0"/>
    <x v="16"/>
    <x v="16"/>
    <x v="16"/>
    <x v="16"/>
    <x v="16"/>
    <x v="16"/>
    <x v="16"/>
    <x v="16"/>
    <x v="16"/>
    <x v="16"/>
    <x v="3"/>
  </r>
  <r>
    <x v="0"/>
    <x v="0"/>
    <x v="0"/>
    <x v="17"/>
    <x v="17"/>
    <x v="17"/>
    <x v="17"/>
    <x v="17"/>
    <x v="17"/>
    <x v="17"/>
    <x v="17"/>
    <x v="17"/>
    <x v="17"/>
    <x v="1"/>
  </r>
  <r>
    <x v="0"/>
    <x v="0"/>
    <x v="0"/>
    <x v="18"/>
    <x v="18"/>
    <x v="18"/>
    <x v="18"/>
    <x v="18"/>
    <x v="18"/>
    <x v="18"/>
    <x v="18"/>
    <x v="18"/>
    <x v="18"/>
    <x v="2"/>
  </r>
  <r>
    <x v="0"/>
    <x v="0"/>
    <x v="0"/>
    <x v="19"/>
    <x v="19"/>
    <x v="19"/>
    <x v="19"/>
    <x v="19"/>
    <x v="19"/>
    <x v="19"/>
    <x v="19"/>
    <x v="19"/>
    <x v="19"/>
    <x v="1"/>
  </r>
  <r>
    <x v="0"/>
    <x v="1"/>
    <x v="1"/>
    <x v="0"/>
    <x v="0"/>
    <x v="0"/>
    <x v="0"/>
    <x v="20"/>
    <x v="20"/>
    <x v="20"/>
    <x v="20"/>
    <x v="20"/>
    <x v="20"/>
    <x v="1"/>
  </r>
  <r>
    <x v="0"/>
    <x v="1"/>
    <x v="1"/>
    <x v="1"/>
    <x v="1"/>
    <x v="1"/>
    <x v="1"/>
    <x v="21"/>
    <x v="21"/>
    <x v="21"/>
    <x v="21"/>
    <x v="21"/>
    <x v="21"/>
    <x v="1"/>
  </r>
  <r>
    <x v="0"/>
    <x v="1"/>
    <x v="1"/>
    <x v="4"/>
    <x v="4"/>
    <x v="4"/>
    <x v="2"/>
    <x v="22"/>
    <x v="22"/>
    <x v="22"/>
    <x v="22"/>
    <x v="22"/>
    <x v="22"/>
    <x v="1"/>
  </r>
  <r>
    <x v="0"/>
    <x v="1"/>
    <x v="1"/>
    <x v="18"/>
    <x v="18"/>
    <x v="18"/>
    <x v="3"/>
    <x v="23"/>
    <x v="23"/>
    <x v="23"/>
    <x v="23"/>
    <x v="23"/>
    <x v="23"/>
    <x v="1"/>
  </r>
  <r>
    <x v="0"/>
    <x v="1"/>
    <x v="1"/>
    <x v="6"/>
    <x v="6"/>
    <x v="6"/>
    <x v="4"/>
    <x v="24"/>
    <x v="24"/>
    <x v="24"/>
    <x v="8"/>
    <x v="24"/>
    <x v="24"/>
    <x v="1"/>
  </r>
  <r>
    <x v="0"/>
    <x v="1"/>
    <x v="1"/>
    <x v="8"/>
    <x v="8"/>
    <x v="8"/>
    <x v="5"/>
    <x v="25"/>
    <x v="25"/>
    <x v="25"/>
    <x v="24"/>
    <x v="25"/>
    <x v="25"/>
    <x v="1"/>
  </r>
  <r>
    <x v="0"/>
    <x v="1"/>
    <x v="1"/>
    <x v="7"/>
    <x v="7"/>
    <x v="7"/>
    <x v="6"/>
    <x v="26"/>
    <x v="26"/>
    <x v="26"/>
    <x v="25"/>
    <x v="26"/>
    <x v="26"/>
    <x v="1"/>
  </r>
  <r>
    <x v="0"/>
    <x v="1"/>
    <x v="1"/>
    <x v="11"/>
    <x v="11"/>
    <x v="11"/>
    <x v="7"/>
    <x v="27"/>
    <x v="27"/>
    <x v="27"/>
    <x v="26"/>
    <x v="27"/>
    <x v="27"/>
    <x v="1"/>
  </r>
  <r>
    <x v="0"/>
    <x v="1"/>
    <x v="1"/>
    <x v="5"/>
    <x v="5"/>
    <x v="5"/>
    <x v="8"/>
    <x v="28"/>
    <x v="28"/>
    <x v="28"/>
    <x v="27"/>
    <x v="28"/>
    <x v="28"/>
    <x v="1"/>
  </r>
  <r>
    <x v="0"/>
    <x v="1"/>
    <x v="1"/>
    <x v="3"/>
    <x v="3"/>
    <x v="3"/>
    <x v="9"/>
    <x v="29"/>
    <x v="29"/>
    <x v="29"/>
    <x v="28"/>
    <x v="29"/>
    <x v="1"/>
    <x v="1"/>
  </r>
  <r>
    <x v="0"/>
    <x v="1"/>
    <x v="1"/>
    <x v="9"/>
    <x v="9"/>
    <x v="9"/>
    <x v="10"/>
    <x v="30"/>
    <x v="10"/>
    <x v="30"/>
    <x v="29"/>
    <x v="7"/>
    <x v="29"/>
    <x v="1"/>
  </r>
  <r>
    <x v="0"/>
    <x v="1"/>
    <x v="1"/>
    <x v="15"/>
    <x v="15"/>
    <x v="15"/>
    <x v="10"/>
    <x v="30"/>
    <x v="10"/>
    <x v="31"/>
    <x v="30"/>
    <x v="30"/>
    <x v="30"/>
    <x v="0"/>
  </r>
  <r>
    <x v="0"/>
    <x v="1"/>
    <x v="1"/>
    <x v="10"/>
    <x v="10"/>
    <x v="10"/>
    <x v="12"/>
    <x v="31"/>
    <x v="30"/>
    <x v="32"/>
    <x v="31"/>
    <x v="31"/>
    <x v="31"/>
    <x v="1"/>
  </r>
  <r>
    <x v="0"/>
    <x v="1"/>
    <x v="1"/>
    <x v="12"/>
    <x v="12"/>
    <x v="12"/>
    <x v="13"/>
    <x v="32"/>
    <x v="31"/>
    <x v="33"/>
    <x v="32"/>
    <x v="32"/>
    <x v="32"/>
    <x v="1"/>
  </r>
  <r>
    <x v="0"/>
    <x v="1"/>
    <x v="1"/>
    <x v="13"/>
    <x v="13"/>
    <x v="13"/>
    <x v="14"/>
    <x v="33"/>
    <x v="32"/>
    <x v="34"/>
    <x v="33"/>
    <x v="33"/>
    <x v="33"/>
    <x v="1"/>
  </r>
  <r>
    <x v="0"/>
    <x v="1"/>
    <x v="1"/>
    <x v="20"/>
    <x v="20"/>
    <x v="20"/>
    <x v="15"/>
    <x v="34"/>
    <x v="14"/>
    <x v="35"/>
    <x v="34"/>
    <x v="8"/>
    <x v="34"/>
    <x v="1"/>
  </r>
  <r>
    <x v="0"/>
    <x v="1"/>
    <x v="1"/>
    <x v="21"/>
    <x v="21"/>
    <x v="21"/>
    <x v="16"/>
    <x v="35"/>
    <x v="17"/>
    <x v="36"/>
    <x v="35"/>
    <x v="34"/>
    <x v="35"/>
    <x v="1"/>
  </r>
  <r>
    <x v="0"/>
    <x v="1"/>
    <x v="1"/>
    <x v="14"/>
    <x v="14"/>
    <x v="14"/>
    <x v="17"/>
    <x v="36"/>
    <x v="19"/>
    <x v="23"/>
    <x v="23"/>
    <x v="35"/>
    <x v="36"/>
    <x v="1"/>
  </r>
  <r>
    <x v="0"/>
    <x v="1"/>
    <x v="1"/>
    <x v="17"/>
    <x v="17"/>
    <x v="17"/>
    <x v="18"/>
    <x v="37"/>
    <x v="33"/>
    <x v="37"/>
    <x v="36"/>
    <x v="36"/>
    <x v="37"/>
    <x v="1"/>
  </r>
  <r>
    <x v="0"/>
    <x v="1"/>
    <x v="1"/>
    <x v="19"/>
    <x v="19"/>
    <x v="19"/>
    <x v="19"/>
    <x v="38"/>
    <x v="34"/>
    <x v="38"/>
    <x v="37"/>
    <x v="37"/>
    <x v="38"/>
    <x v="1"/>
  </r>
  <r>
    <x v="0"/>
    <x v="2"/>
    <x v="2"/>
    <x v="0"/>
    <x v="0"/>
    <x v="0"/>
    <x v="0"/>
    <x v="39"/>
    <x v="35"/>
    <x v="39"/>
    <x v="38"/>
    <x v="38"/>
    <x v="39"/>
    <x v="1"/>
  </r>
  <r>
    <x v="0"/>
    <x v="2"/>
    <x v="2"/>
    <x v="1"/>
    <x v="1"/>
    <x v="1"/>
    <x v="1"/>
    <x v="40"/>
    <x v="36"/>
    <x v="40"/>
    <x v="39"/>
    <x v="39"/>
    <x v="40"/>
    <x v="1"/>
  </r>
  <r>
    <x v="0"/>
    <x v="2"/>
    <x v="2"/>
    <x v="3"/>
    <x v="3"/>
    <x v="3"/>
    <x v="2"/>
    <x v="41"/>
    <x v="37"/>
    <x v="41"/>
    <x v="40"/>
    <x v="40"/>
    <x v="41"/>
    <x v="1"/>
  </r>
  <r>
    <x v="0"/>
    <x v="2"/>
    <x v="2"/>
    <x v="6"/>
    <x v="6"/>
    <x v="6"/>
    <x v="3"/>
    <x v="42"/>
    <x v="38"/>
    <x v="42"/>
    <x v="41"/>
    <x v="41"/>
    <x v="42"/>
    <x v="1"/>
  </r>
  <r>
    <x v="0"/>
    <x v="2"/>
    <x v="2"/>
    <x v="8"/>
    <x v="8"/>
    <x v="8"/>
    <x v="4"/>
    <x v="43"/>
    <x v="39"/>
    <x v="43"/>
    <x v="42"/>
    <x v="42"/>
    <x v="43"/>
    <x v="1"/>
  </r>
  <r>
    <x v="0"/>
    <x v="2"/>
    <x v="2"/>
    <x v="11"/>
    <x v="11"/>
    <x v="11"/>
    <x v="5"/>
    <x v="44"/>
    <x v="40"/>
    <x v="44"/>
    <x v="43"/>
    <x v="43"/>
    <x v="44"/>
    <x v="0"/>
  </r>
  <r>
    <x v="0"/>
    <x v="2"/>
    <x v="2"/>
    <x v="7"/>
    <x v="7"/>
    <x v="7"/>
    <x v="6"/>
    <x v="45"/>
    <x v="41"/>
    <x v="45"/>
    <x v="44"/>
    <x v="44"/>
    <x v="45"/>
    <x v="1"/>
  </r>
  <r>
    <x v="0"/>
    <x v="2"/>
    <x v="2"/>
    <x v="4"/>
    <x v="4"/>
    <x v="4"/>
    <x v="7"/>
    <x v="46"/>
    <x v="42"/>
    <x v="46"/>
    <x v="45"/>
    <x v="45"/>
    <x v="46"/>
    <x v="1"/>
  </r>
  <r>
    <x v="0"/>
    <x v="2"/>
    <x v="2"/>
    <x v="9"/>
    <x v="9"/>
    <x v="9"/>
    <x v="8"/>
    <x v="32"/>
    <x v="43"/>
    <x v="47"/>
    <x v="46"/>
    <x v="46"/>
    <x v="17"/>
    <x v="1"/>
  </r>
  <r>
    <x v="0"/>
    <x v="2"/>
    <x v="2"/>
    <x v="18"/>
    <x v="18"/>
    <x v="18"/>
    <x v="9"/>
    <x v="33"/>
    <x v="8"/>
    <x v="48"/>
    <x v="47"/>
    <x v="47"/>
    <x v="47"/>
    <x v="0"/>
  </r>
  <r>
    <x v="0"/>
    <x v="2"/>
    <x v="2"/>
    <x v="10"/>
    <x v="10"/>
    <x v="10"/>
    <x v="10"/>
    <x v="37"/>
    <x v="44"/>
    <x v="49"/>
    <x v="48"/>
    <x v="21"/>
    <x v="48"/>
    <x v="1"/>
  </r>
  <r>
    <x v="0"/>
    <x v="2"/>
    <x v="2"/>
    <x v="2"/>
    <x v="2"/>
    <x v="2"/>
    <x v="11"/>
    <x v="47"/>
    <x v="13"/>
    <x v="50"/>
    <x v="49"/>
    <x v="48"/>
    <x v="49"/>
    <x v="1"/>
  </r>
  <r>
    <x v="0"/>
    <x v="2"/>
    <x v="2"/>
    <x v="15"/>
    <x v="15"/>
    <x v="15"/>
    <x v="12"/>
    <x v="48"/>
    <x v="45"/>
    <x v="51"/>
    <x v="50"/>
    <x v="49"/>
    <x v="50"/>
    <x v="1"/>
  </r>
  <r>
    <x v="0"/>
    <x v="2"/>
    <x v="2"/>
    <x v="16"/>
    <x v="16"/>
    <x v="16"/>
    <x v="13"/>
    <x v="49"/>
    <x v="46"/>
    <x v="32"/>
    <x v="51"/>
    <x v="50"/>
    <x v="51"/>
    <x v="2"/>
  </r>
  <r>
    <x v="0"/>
    <x v="2"/>
    <x v="2"/>
    <x v="13"/>
    <x v="13"/>
    <x v="13"/>
    <x v="14"/>
    <x v="50"/>
    <x v="18"/>
    <x v="52"/>
    <x v="52"/>
    <x v="51"/>
    <x v="52"/>
    <x v="1"/>
  </r>
  <r>
    <x v="0"/>
    <x v="2"/>
    <x v="2"/>
    <x v="22"/>
    <x v="22"/>
    <x v="22"/>
    <x v="14"/>
    <x v="50"/>
    <x v="18"/>
    <x v="38"/>
    <x v="5"/>
    <x v="52"/>
    <x v="53"/>
    <x v="1"/>
  </r>
  <r>
    <x v="0"/>
    <x v="2"/>
    <x v="2"/>
    <x v="23"/>
    <x v="23"/>
    <x v="23"/>
    <x v="16"/>
    <x v="51"/>
    <x v="47"/>
    <x v="53"/>
    <x v="53"/>
    <x v="53"/>
    <x v="54"/>
    <x v="1"/>
  </r>
  <r>
    <x v="0"/>
    <x v="2"/>
    <x v="2"/>
    <x v="24"/>
    <x v="24"/>
    <x v="24"/>
    <x v="17"/>
    <x v="52"/>
    <x v="48"/>
    <x v="54"/>
    <x v="54"/>
    <x v="35"/>
    <x v="55"/>
    <x v="1"/>
  </r>
  <r>
    <x v="0"/>
    <x v="2"/>
    <x v="2"/>
    <x v="25"/>
    <x v="25"/>
    <x v="25"/>
    <x v="17"/>
    <x v="52"/>
    <x v="48"/>
    <x v="55"/>
    <x v="55"/>
    <x v="24"/>
    <x v="56"/>
    <x v="1"/>
  </r>
  <r>
    <x v="0"/>
    <x v="2"/>
    <x v="2"/>
    <x v="26"/>
    <x v="26"/>
    <x v="26"/>
    <x v="19"/>
    <x v="53"/>
    <x v="49"/>
    <x v="56"/>
    <x v="56"/>
    <x v="54"/>
    <x v="4"/>
    <x v="1"/>
  </r>
  <r>
    <x v="0"/>
    <x v="3"/>
    <x v="3"/>
    <x v="0"/>
    <x v="0"/>
    <x v="0"/>
    <x v="0"/>
    <x v="54"/>
    <x v="50"/>
    <x v="57"/>
    <x v="57"/>
    <x v="49"/>
    <x v="57"/>
    <x v="1"/>
  </r>
  <r>
    <x v="0"/>
    <x v="3"/>
    <x v="3"/>
    <x v="1"/>
    <x v="1"/>
    <x v="1"/>
    <x v="1"/>
    <x v="55"/>
    <x v="51"/>
    <x v="58"/>
    <x v="58"/>
    <x v="55"/>
    <x v="58"/>
    <x v="1"/>
  </r>
  <r>
    <x v="0"/>
    <x v="3"/>
    <x v="3"/>
    <x v="4"/>
    <x v="4"/>
    <x v="4"/>
    <x v="2"/>
    <x v="56"/>
    <x v="52"/>
    <x v="59"/>
    <x v="59"/>
    <x v="56"/>
    <x v="59"/>
    <x v="1"/>
  </r>
  <r>
    <x v="0"/>
    <x v="3"/>
    <x v="3"/>
    <x v="6"/>
    <x v="6"/>
    <x v="6"/>
    <x v="3"/>
    <x v="57"/>
    <x v="53"/>
    <x v="60"/>
    <x v="60"/>
    <x v="57"/>
    <x v="60"/>
    <x v="1"/>
  </r>
  <r>
    <x v="0"/>
    <x v="3"/>
    <x v="3"/>
    <x v="3"/>
    <x v="3"/>
    <x v="3"/>
    <x v="4"/>
    <x v="58"/>
    <x v="54"/>
    <x v="61"/>
    <x v="61"/>
    <x v="58"/>
    <x v="61"/>
    <x v="1"/>
  </r>
  <r>
    <x v="0"/>
    <x v="3"/>
    <x v="3"/>
    <x v="5"/>
    <x v="5"/>
    <x v="5"/>
    <x v="5"/>
    <x v="59"/>
    <x v="55"/>
    <x v="62"/>
    <x v="62"/>
    <x v="59"/>
    <x v="62"/>
    <x v="1"/>
  </r>
  <r>
    <x v="0"/>
    <x v="3"/>
    <x v="3"/>
    <x v="7"/>
    <x v="7"/>
    <x v="7"/>
    <x v="6"/>
    <x v="60"/>
    <x v="56"/>
    <x v="63"/>
    <x v="25"/>
    <x v="60"/>
    <x v="63"/>
    <x v="1"/>
  </r>
  <r>
    <x v="0"/>
    <x v="3"/>
    <x v="3"/>
    <x v="10"/>
    <x v="10"/>
    <x v="10"/>
    <x v="7"/>
    <x v="61"/>
    <x v="43"/>
    <x v="64"/>
    <x v="63"/>
    <x v="61"/>
    <x v="64"/>
    <x v="1"/>
  </r>
  <r>
    <x v="0"/>
    <x v="3"/>
    <x v="3"/>
    <x v="9"/>
    <x v="9"/>
    <x v="9"/>
    <x v="8"/>
    <x v="62"/>
    <x v="12"/>
    <x v="65"/>
    <x v="49"/>
    <x v="62"/>
    <x v="65"/>
    <x v="1"/>
  </r>
  <r>
    <x v="0"/>
    <x v="3"/>
    <x v="3"/>
    <x v="2"/>
    <x v="2"/>
    <x v="2"/>
    <x v="9"/>
    <x v="63"/>
    <x v="57"/>
    <x v="65"/>
    <x v="49"/>
    <x v="63"/>
    <x v="41"/>
    <x v="1"/>
  </r>
  <r>
    <x v="0"/>
    <x v="3"/>
    <x v="3"/>
    <x v="12"/>
    <x v="12"/>
    <x v="12"/>
    <x v="10"/>
    <x v="64"/>
    <x v="44"/>
    <x v="51"/>
    <x v="64"/>
    <x v="64"/>
    <x v="66"/>
    <x v="1"/>
  </r>
  <r>
    <x v="0"/>
    <x v="3"/>
    <x v="3"/>
    <x v="15"/>
    <x v="15"/>
    <x v="15"/>
    <x v="11"/>
    <x v="65"/>
    <x v="58"/>
    <x v="51"/>
    <x v="64"/>
    <x v="65"/>
    <x v="67"/>
    <x v="1"/>
  </r>
  <r>
    <x v="0"/>
    <x v="3"/>
    <x v="3"/>
    <x v="13"/>
    <x v="13"/>
    <x v="13"/>
    <x v="12"/>
    <x v="66"/>
    <x v="59"/>
    <x v="66"/>
    <x v="65"/>
    <x v="35"/>
    <x v="68"/>
    <x v="1"/>
  </r>
  <r>
    <x v="0"/>
    <x v="3"/>
    <x v="3"/>
    <x v="25"/>
    <x v="25"/>
    <x v="25"/>
    <x v="13"/>
    <x v="67"/>
    <x v="32"/>
    <x v="67"/>
    <x v="66"/>
    <x v="58"/>
    <x v="61"/>
    <x v="1"/>
  </r>
  <r>
    <x v="0"/>
    <x v="3"/>
    <x v="3"/>
    <x v="21"/>
    <x v="21"/>
    <x v="21"/>
    <x v="14"/>
    <x v="68"/>
    <x v="60"/>
    <x v="68"/>
    <x v="67"/>
    <x v="66"/>
    <x v="69"/>
    <x v="1"/>
  </r>
  <r>
    <x v="0"/>
    <x v="3"/>
    <x v="3"/>
    <x v="19"/>
    <x v="19"/>
    <x v="19"/>
    <x v="15"/>
    <x v="69"/>
    <x v="61"/>
    <x v="34"/>
    <x v="68"/>
    <x v="67"/>
    <x v="70"/>
    <x v="1"/>
  </r>
  <r>
    <x v="0"/>
    <x v="3"/>
    <x v="3"/>
    <x v="14"/>
    <x v="14"/>
    <x v="14"/>
    <x v="16"/>
    <x v="70"/>
    <x v="45"/>
    <x v="69"/>
    <x v="69"/>
    <x v="68"/>
    <x v="71"/>
    <x v="1"/>
  </r>
  <r>
    <x v="0"/>
    <x v="3"/>
    <x v="3"/>
    <x v="8"/>
    <x v="8"/>
    <x v="8"/>
    <x v="17"/>
    <x v="71"/>
    <x v="16"/>
    <x v="31"/>
    <x v="70"/>
    <x v="69"/>
    <x v="72"/>
    <x v="1"/>
  </r>
  <r>
    <x v="0"/>
    <x v="3"/>
    <x v="3"/>
    <x v="11"/>
    <x v="11"/>
    <x v="11"/>
    <x v="18"/>
    <x v="72"/>
    <x v="17"/>
    <x v="33"/>
    <x v="29"/>
    <x v="45"/>
    <x v="14"/>
    <x v="1"/>
  </r>
  <r>
    <x v="0"/>
    <x v="3"/>
    <x v="3"/>
    <x v="18"/>
    <x v="18"/>
    <x v="18"/>
    <x v="19"/>
    <x v="73"/>
    <x v="18"/>
    <x v="70"/>
    <x v="71"/>
    <x v="66"/>
    <x v="69"/>
    <x v="1"/>
  </r>
  <r>
    <x v="0"/>
    <x v="4"/>
    <x v="4"/>
    <x v="1"/>
    <x v="1"/>
    <x v="1"/>
    <x v="0"/>
    <x v="74"/>
    <x v="62"/>
    <x v="71"/>
    <x v="72"/>
    <x v="70"/>
    <x v="59"/>
    <x v="1"/>
  </r>
  <r>
    <x v="0"/>
    <x v="4"/>
    <x v="4"/>
    <x v="0"/>
    <x v="0"/>
    <x v="0"/>
    <x v="1"/>
    <x v="72"/>
    <x v="63"/>
    <x v="54"/>
    <x v="73"/>
    <x v="71"/>
    <x v="73"/>
    <x v="1"/>
  </r>
  <r>
    <x v="0"/>
    <x v="4"/>
    <x v="4"/>
    <x v="27"/>
    <x v="27"/>
    <x v="27"/>
    <x v="2"/>
    <x v="75"/>
    <x v="64"/>
    <x v="66"/>
    <x v="74"/>
    <x v="67"/>
    <x v="74"/>
    <x v="1"/>
  </r>
  <r>
    <x v="0"/>
    <x v="4"/>
    <x v="4"/>
    <x v="4"/>
    <x v="4"/>
    <x v="4"/>
    <x v="3"/>
    <x v="76"/>
    <x v="5"/>
    <x v="48"/>
    <x v="75"/>
    <x v="69"/>
    <x v="75"/>
    <x v="1"/>
  </r>
  <r>
    <x v="0"/>
    <x v="4"/>
    <x v="4"/>
    <x v="3"/>
    <x v="3"/>
    <x v="3"/>
    <x v="4"/>
    <x v="77"/>
    <x v="56"/>
    <x v="37"/>
    <x v="76"/>
    <x v="68"/>
    <x v="76"/>
    <x v="1"/>
  </r>
  <r>
    <x v="0"/>
    <x v="4"/>
    <x v="4"/>
    <x v="8"/>
    <x v="8"/>
    <x v="8"/>
    <x v="5"/>
    <x v="78"/>
    <x v="8"/>
    <x v="72"/>
    <x v="77"/>
    <x v="72"/>
    <x v="77"/>
    <x v="1"/>
  </r>
  <r>
    <x v="0"/>
    <x v="4"/>
    <x v="4"/>
    <x v="10"/>
    <x v="10"/>
    <x v="10"/>
    <x v="6"/>
    <x v="79"/>
    <x v="29"/>
    <x v="70"/>
    <x v="78"/>
    <x v="73"/>
    <x v="78"/>
    <x v="1"/>
  </r>
  <r>
    <x v="0"/>
    <x v="4"/>
    <x v="4"/>
    <x v="18"/>
    <x v="18"/>
    <x v="18"/>
    <x v="6"/>
    <x v="79"/>
    <x v="29"/>
    <x v="73"/>
    <x v="79"/>
    <x v="63"/>
    <x v="79"/>
    <x v="1"/>
  </r>
  <r>
    <x v="0"/>
    <x v="4"/>
    <x v="4"/>
    <x v="13"/>
    <x v="13"/>
    <x v="13"/>
    <x v="8"/>
    <x v="80"/>
    <x v="65"/>
    <x v="73"/>
    <x v="79"/>
    <x v="74"/>
    <x v="80"/>
    <x v="1"/>
  </r>
  <r>
    <x v="0"/>
    <x v="4"/>
    <x v="4"/>
    <x v="21"/>
    <x v="21"/>
    <x v="21"/>
    <x v="8"/>
    <x v="80"/>
    <x v="65"/>
    <x v="74"/>
    <x v="15"/>
    <x v="55"/>
    <x v="32"/>
    <x v="1"/>
  </r>
  <r>
    <x v="0"/>
    <x v="4"/>
    <x v="4"/>
    <x v="9"/>
    <x v="9"/>
    <x v="9"/>
    <x v="8"/>
    <x v="80"/>
    <x v="65"/>
    <x v="66"/>
    <x v="74"/>
    <x v="25"/>
    <x v="16"/>
    <x v="1"/>
  </r>
  <r>
    <x v="0"/>
    <x v="4"/>
    <x v="4"/>
    <x v="28"/>
    <x v="28"/>
    <x v="28"/>
    <x v="11"/>
    <x v="81"/>
    <x v="31"/>
    <x v="75"/>
    <x v="80"/>
    <x v="55"/>
    <x v="32"/>
    <x v="1"/>
  </r>
  <r>
    <x v="0"/>
    <x v="4"/>
    <x v="4"/>
    <x v="11"/>
    <x v="11"/>
    <x v="11"/>
    <x v="11"/>
    <x v="81"/>
    <x v="31"/>
    <x v="68"/>
    <x v="81"/>
    <x v="42"/>
    <x v="81"/>
    <x v="1"/>
  </r>
  <r>
    <x v="0"/>
    <x v="4"/>
    <x v="4"/>
    <x v="5"/>
    <x v="5"/>
    <x v="5"/>
    <x v="13"/>
    <x v="82"/>
    <x v="66"/>
    <x v="76"/>
    <x v="18"/>
    <x v="71"/>
    <x v="73"/>
    <x v="1"/>
  </r>
  <r>
    <x v="0"/>
    <x v="4"/>
    <x v="4"/>
    <x v="29"/>
    <x v="29"/>
    <x v="29"/>
    <x v="13"/>
    <x v="82"/>
    <x v="66"/>
    <x v="77"/>
    <x v="82"/>
    <x v="41"/>
    <x v="30"/>
    <x v="1"/>
  </r>
  <r>
    <x v="0"/>
    <x v="4"/>
    <x v="4"/>
    <x v="7"/>
    <x v="7"/>
    <x v="7"/>
    <x v="13"/>
    <x v="82"/>
    <x v="66"/>
    <x v="78"/>
    <x v="83"/>
    <x v="72"/>
    <x v="77"/>
    <x v="1"/>
  </r>
  <r>
    <x v="0"/>
    <x v="4"/>
    <x v="4"/>
    <x v="25"/>
    <x v="25"/>
    <x v="25"/>
    <x v="13"/>
    <x v="82"/>
    <x v="66"/>
    <x v="79"/>
    <x v="14"/>
    <x v="44"/>
    <x v="82"/>
    <x v="1"/>
  </r>
  <r>
    <x v="0"/>
    <x v="4"/>
    <x v="4"/>
    <x v="6"/>
    <x v="6"/>
    <x v="6"/>
    <x v="17"/>
    <x v="83"/>
    <x v="67"/>
    <x v="68"/>
    <x v="81"/>
    <x v="56"/>
    <x v="83"/>
    <x v="1"/>
  </r>
  <r>
    <x v="0"/>
    <x v="4"/>
    <x v="4"/>
    <x v="15"/>
    <x v="15"/>
    <x v="15"/>
    <x v="18"/>
    <x v="84"/>
    <x v="17"/>
    <x v="80"/>
    <x v="84"/>
    <x v="25"/>
    <x v="16"/>
    <x v="1"/>
  </r>
  <r>
    <x v="0"/>
    <x v="4"/>
    <x v="4"/>
    <x v="30"/>
    <x v="30"/>
    <x v="30"/>
    <x v="19"/>
    <x v="85"/>
    <x v="68"/>
    <x v="81"/>
    <x v="85"/>
    <x v="75"/>
    <x v="84"/>
    <x v="1"/>
  </r>
  <r>
    <x v="0"/>
    <x v="4"/>
    <x v="4"/>
    <x v="31"/>
    <x v="31"/>
    <x v="31"/>
    <x v="19"/>
    <x v="85"/>
    <x v="68"/>
    <x v="70"/>
    <x v="78"/>
    <x v="76"/>
    <x v="61"/>
    <x v="1"/>
  </r>
  <r>
    <x v="0"/>
    <x v="5"/>
    <x v="5"/>
    <x v="0"/>
    <x v="0"/>
    <x v="0"/>
    <x v="0"/>
    <x v="86"/>
    <x v="69"/>
    <x v="82"/>
    <x v="86"/>
    <x v="8"/>
    <x v="85"/>
    <x v="1"/>
  </r>
  <r>
    <x v="0"/>
    <x v="5"/>
    <x v="5"/>
    <x v="1"/>
    <x v="1"/>
    <x v="1"/>
    <x v="1"/>
    <x v="25"/>
    <x v="70"/>
    <x v="83"/>
    <x v="21"/>
    <x v="68"/>
    <x v="11"/>
    <x v="1"/>
  </r>
  <r>
    <x v="0"/>
    <x v="5"/>
    <x v="5"/>
    <x v="3"/>
    <x v="3"/>
    <x v="3"/>
    <x v="2"/>
    <x v="87"/>
    <x v="71"/>
    <x v="84"/>
    <x v="87"/>
    <x v="77"/>
    <x v="13"/>
    <x v="1"/>
  </r>
  <r>
    <x v="0"/>
    <x v="5"/>
    <x v="5"/>
    <x v="6"/>
    <x v="6"/>
    <x v="6"/>
    <x v="3"/>
    <x v="47"/>
    <x v="72"/>
    <x v="85"/>
    <x v="42"/>
    <x v="55"/>
    <x v="86"/>
    <x v="1"/>
  </r>
  <r>
    <x v="0"/>
    <x v="5"/>
    <x v="5"/>
    <x v="8"/>
    <x v="8"/>
    <x v="8"/>
    <x v="4"/>
    <x v="88"/>
    <x v="2"/>
    <x v="86"/>
    <x v="88"/>
    <x v="78"/>
    <x v="87"/>
    <x v="1"/>
  </r>
  <r>
    <x v="0"/>
    <x v="5"/>
    <x v="5"/>
    <x v="4"/>
    <x v="4"/>
    <x v="4"/>
    <x v="5"/>
    <x v="59"/>
    <x v="73"/>
    <x v="84"/>
    <x v="87"/>
    <x v="56"/>
    <x v="88"/>
    <x v="1"/>
  </r>
  <r>
    <x v="0"/>
    <x v="5"/>
    <x v="5"/>
    <x v="7"/>
    <x v="7"/>
    <x v="7"/>
    <x v="6"/>
    <x v="89"/>
    <x v="74"/>
    <x v="87"/>
    <x v="89"/>
    <x v="78"/>
    <x v="87"/>
    <x v="1"/>
  </r>
  <r>
    <x v="0"/>
    <x v="5"/>
    <x v="5"/>
    <x v="9"/>
    <x v="9"/>
    <x v="9"/>
    <x v="7"/>
    <x v="90"/>
    <x v="56"/>
    <x v="88"/>
    <x v="90"/>
    <x v="79"/>
    <x v="89"/>
    <x v="1"/>
  </r>
  <r>
    <x v="0"/>
    <x v="5"/>
    <x v="5"/>
    <x v="21"/>
    <x v="21"/>
    <x v="21"/>
    <x v="8"/>
    <x v="91"/>
    <x v="75"/>
    <x v="89"/>
    <x v="91"/>
    <x v="63"/>
    <x v="37"/>
    <x v="1"/>
  </r>
  <r>
    <x v="0"/>
    <x v="5"/>
    <x v="5"/>
    <x v="5"/>
    <x v="5"/>
    <x v="5"/>
    <x v="9"/>
    <x v="69"/>
    <x v="76"/>
    <x v="79"/>
    <x v="92"/>
    <x v="66"/>
    <x v="23"/>
    <x v="1"/>
  </r>
  <r>
    <x v="0"/>
    <x v="5"/>
    <x v="5"/>
    <x v="15"/>
    <x v="15"/>
    <x v="15"/>
    <x v="9"/>
    <x v="69"/>
    <x v="76"/>
    <x v="90"/>
    <x v="93"/>
    <x v="80"/>
    <x v="90"/>
    <x v="1"/>
  </r>
  <r>
    <x v="0"/>
    <x v="5"/>
    <x v="5"/>
    <x v="10"/>
    <x v="10"/>
    <x v="10"/>
    <x v="11"/>
    <x v="70"/>
    <x v="77"/>
    <x v="91"/>
    <x v="94"/>
    <x v="80"/>
    <x v="90"/>
    <x v="1"/>
  </r>
  <r>
    <x v="0"/>
    <x v="5"/>
    <x v="5"/>
    <x v="22"/>
    <x v="22"/>
    <x v="22"/>
    <x v="12"/>
    <x v="92"/>
    <x v="32"/>
    <x v="34"/>
    <x v="53"/>
    <x v="74"/>
    <x v="91"/>
    <x v="1"/>
  </r>
  <r>
    <x v="0"/>
    <x v="5"/>
    <x v="5"/>
    <x v="11"/>
    <x v="11"/>
    <x v="11"/>
    <x v="12"/>
    <x v="92"/>
    <x v="32"/>
    <x v="92"/>
    <x v="95"/>
    <x v="76"/>
    <x v="24"/>
    <x v="1"/>
  </r>
  <r>
    <x v="0"/>
    <x v="5"/>
    <x v="5"/>
    <x v="18"/>
    <x v="18"/>
    <x v="18"/>
    <x v="14"/>
    <x v="93"/>
    <x v="15"/>
    <x v="74"/>
    <x v="96"/>
    <x v="50"/>
    <x v="92"/>
    <x v="1"/>
  </r>
  <r>
    <x v="0"/>
    <x v="5"/>
    <x v="5"/>
    <x v="12"/>
    <x v="12"/>
    <x v="12"/>
    <x v="15"/>
    <x v="94"/>
    <x v="78"/>
    <x v="93"/>
    <x v="97"/>
    <x v="63"/>
    <x v="37"/>
    <x v="1"/>
  </r>
  <r>
    <x v="0"/>
    <x v="5"/>
    <x v="5"/>
    <x v="25"/>
    <x v="25"/>
    <x v="25"/>
    <x v="15"/>
    <x v="94"/>
    <x v="78"/>
    <x v="89"/>
    <x v="91"/>
    <x v="81"/>
    <x v="93"/>
    <x v="1"/>
  </r>
  <r>
    <x v="0"/>
    <x v="5"/>
    <x v="5"/>
    <x v="13"/>
    <x v="13"/>
    <x v="13"/>
    <x v="17"/>
    <x v="95"/>
    <x v="79"/>
    <x v="94"/>
    <x v="98"/>
    <x v="82"/>
    <x v="33"/>
    <x v="1"/>
  </r>
  <r>
    <x v="0"/>
    <x v="5"/>
    <x v="5"/>
    <x v="19"/>
    <x v="19"/>
    <x v="19"/>
    <x v="17"/>
    <x v="95"/>
    <x v="79"/>
    <x v="94"/>
    <x v="98"/>
    <x v="82"/>
    <x v="33"/>
    <x v="1"/>
  </r>
  <r>
    <x v="0"/>
    <x v="5"/>
    <x v="5"/>
    <x v="14"/>
    <x v="14"/>
    <x v="14"/>
    <x v="19"/>
    <x v="96"/>
    <x v="68"/>
    <x v="48"/>
    <x v="23"/>
    <x v="76"/>
    <x v="24"/>
    <x v="1"/>
  </r>
  <r>
    <x v="0"/>
    <x v="6"/>
    <x v="6"/>
    <x v="0"/>
    <x v="0"/>
    <x v="0"/>
    <x v="0"/>
    <x v="97"/>
    <x v="80"/>
    <x v="95"/>
    <x v="99"/>
    <x v="83"/>
    <x v="94"/>
    <x v="1"/>
  </r>
  <r>
    <x v="0"/>
    <x v="6"/>
    <x v="6"/>
    <x v="1"/>
    <x v="1"/>
    <x v="1"/>
    <x v="1"/>
    <x v="98"/>
    <x v="81"/>
    <x v="96"/>
    <x v="100"/>
    <x v="68"/>
    <x v="95"/>
    <x v="1"/>
  </r>
  <r>
    <x v="0"/>
    <x v="6"/>
    <x v="6"/>
    <x v="8"/>
    <x v="8"/>
    <x v="8"/>
    <x v="2"/>
    <x v="67"/>
    <x v="82"/>
    <x v="97"/>
    <x v="101"/>
    <x v="60"/>
    <x v="60"/>
    <x v="1"/>
  </r>
  <r>
    <x v="0"/>
    <x v="6"/>
    <x v="6"/>
    <x v="6"/>
    <x v="6"/>
    <x v="6"/>
    <x v="3"/>
    <x v="95"/>
    <x v="54"/>
    <x v="54"/>
    <x v="102"/>
    <x v="44"/>
    <x v="58"/>
    <x v="1"/>
  </r>
  <r>
    <x v="0"/>
    <x v="6"/>
    <x v="6"/>
    <x v="3"/>
    <x v="3"/>
    <x v="3"/>
    <x v="4"/>
    <x v="99"/>
    <x v="83"/>
    <x v="89"/>
    <x v="43"/>
    <x v="76"/>
    <x v="96"/>
    <x v="1"/>
  </r>
  <r>
    <x v="0"/>
    <x v="6"/>
    <x v="6"/>
    <x v="7"/>
    <x v="7"/>
    <x v="7"/>
    <x v="5"/>
    <x v="100"/>
    <x v="24"/>
    <x v="89"/>
    <x v="43"/>
    <x v="42"/>
    <x v="97"/>
    <x v="1"/>
  </r>
  <r>
    <x v="0"/>
    <x v="6"/>
    <x v="6"/>
    <x v="4"/>
    <x v="4"/>
    <x v="4"/>
    <x v="6"/>
    <x v="101"/>
    <x v="28"/>
    <x v="38"/>
    <x v="103"/>
    <x v="78"/>
    <x v="98"/>
    <x v="1"/>
  </r>
  <r>
    <x v="0"/>
    <x v="6"/>
    <x v="6"/>
    <x v="18"/>
    <x v="18"/>
    <x v="18"/>
    <x v="7"/>
    <x v="102"/>
    <x v="84"/>
    <x v="52"/>
    <x v="30"/>
    <x v="79"/>
    <x v="99"/>
    <x v="1"/>
  </r>
  <r>
    <x v="0"/>
    <x v="6"/>
    <x v="6"/>
    <x v="5"/>
    <x v="5"/>
    <x v="5"/>
    <x v="8"/>
    <x v="76"/>
    <x v="85"/>
    <x v="81"/>
    <x v="80"/>
    <x v="22"/>
    <x v="100"/>
    <x v="1"/>
  </r>
  <r>
    <x v="0"/>
    <x v="6"/>
    <x v="6"/>
    <x v="17"/>
    <x v="17"/>
    <x v="17"/>
    <x v="8"/>
    <x v="76"/>
    <x v="85"/>
    <x v="70"/>
    <x v="35"/>
    <x v="26"/>
    <x v="101"/>
    <x v="1"/>
  </r>
  <r>
    <x v="0"/>
    <x v="6"/>
    <x v="6"/>
    <x v="11"/>
    <x v="11"/>
    <x v="11"/>
    <x v="8"/>
    <x v="76"/>
    <x v="85"/>
    <x v="62"/>
    <x v="104"/>
    <x v="44"/>
    <x v="58"/>
    <x v="1"/>
  </r>
  <r>
    <x v="0"/>
    <x v="6"/>
    <x v="6"/>
    <x v="20"/>
    <x v="20"/>
    <x v="20"/>
    <x v="11"/>
    <x v="103"/>
    <x v="11"/>
    <x v="72"/>
    <x v="105"/>
    <x v="84"/>
    <x v="102"/>
    <x v="1"/>
  </r>
  <r>
    <x v="0"/>
    <x v="6"/>
    <x v="6"/>
    <x v="12"/>
    <x v="12"/>
    <x v="12"/>
    <x v="12"/>
    <x v="104"/>
    <x v="86"/>
    <x v="70"/>
    <x v="35"/>
    <x v="85"/>
    <x v="103"/>
    <x v="1"/>
  </r>
  <r>
    <x v="0"/>
    <x v="6"/>
    <x v="6"/>
    <x v="10"/>
    <x v="10"/>
    <x v="10"/>
    <x v="13"/>
    <x v="105"/>
    <x v="14"/>
    <x v="94"/>
    <x v="106"/>
    <x v="81"/>
    <x v="65"/>
    <x v="1"/>
  </r>
  <r>
    <x v="0"/>
    <x v="6"/>
    <x v="6"/>
    <x v="9"/>
    <x v="9"/>
    <x v="9"/>
    <x v="13"/>
    <x v="105"/>
    <x v="14"/>
    <x v="66"/>
    <x v="107"/>
    <x v="54"/>
    <x v="104"/>
    <x v="1"/>
  </r>
  <r>
    <x v="0"/>
    <x v="6"/>
    <x v="6"/>
    <x v="32"/>
    <x v="32"/>
    <x v="32"/>
    <x v="15"/>
    <x v="106"/>
    <x v="45"/>
    <x v="73"/>
    <x v="108"/>
    <x v="58"/>
    <x v="105"/>
    <x v="1"/>
  </r>
  <r>
    <x v="0"/>
    <x v="6"/>
    <x v="6"/>
    <x v="21"/>
    <x v="21"/>
    <x v="21"/>
    <x v="16"/>
    <x v="107"/>
    <x v="16"/>
    <x v="52"/>
    <x v="30"/>
    <x v="68"/>
    <x v="95"/>
    <x v="1"/>
  </r>
  <r>
    <x v="0"/>
    <x v="6"/>
    <x v="6"/>
    <x v="13"/>
    <x v="13"/>
    <x v="13"/>
    <x v="17"/>
    <x v="81"/>
    <x v="33"/>
    <x v="73"/>
    <x v="108"/>
    <x v="86"/>
    <x v="52"/>
    <x v="1"/>
  </r>
  <r>
    <x v="0"/>
    <x v="6"/>
    <x v="6"/>
    <x v="16"/>
    <x v="16"/>
    <x v="16"/>
    <x v="17"/>
    <x v="81"/>
    <x v="33"/>
    <x v="52"/>
    <x v="30"/>
    <x v="54"/>
    <x v="104"/>
    <x v="1"/>
  </r>
  <r>
    <x v="0"/>
    <x v="6"/>
    <x v="6"/>
    <x v="15"/>
    <x v="15"/>
    <x v="15"/>
    <x v="17"/>
    <x v="81"/>
    <x v="33"/>
    <x v="81"/>
    <x v="80"/>
    <x v="81"/>
    <x v="65"/>
    <x v="1"/>
  </r>
  <r>
    <x v="0"/>
    <x v="6"/>
    <x v="6"/>
    <x v="33"/>
    <x v="33"/>
    <x v="33"/>
    <x v="17"/>
    <x v="81"/>
    <x v="33"/>
    <x v="73"/>
    <x v="108"/>
    <x v="86"/>
    <x v="52"/>
    <x v="1"/>
  </r>
  <r>
    <x v="0"/>
    <x v="7"/>
    <x v="7"/>
    <x v="1"/>
    <x v="1"/>
    <x v="1"/>
    <x v="0"/>
    <x v="90"/>
    <x v="87"/>
    <x v="96"/>
    <x v="109"/>
    <x v="78"/>
    <x v="60"/>
    <x v="1"/>
  </r>
  <r>
    <x v="0"/>
    <x v="7"/>
    <x v="7"/>
    <x v="0"/>
    <x v="0"/>
    <x v="0"/>
    <x v="1"/>
    <x v="108"/>
    <x v="88"/>
    <x v="98"/>
    <x v="110"/>
    <x v="74"/>
    <x v="106"/>
    <x v="1"/>
  </r>
  <r>
    <x v="0"/>
    <x v="7"/>
    <x v="7"/>
    <x v="8"/>
    <x v="8"/>
    <x v="8"/>
    <x v="2"/>
    <x v="95"/>
    <x v="89"/>
    <x v="69"/>
    <x v="111"/>
    <x v="72"/>
    <x v="77"/>
    <x v="1"/>
  </r>
  <r>
    <x v="0"/>
    <x v="7"/>
    <x v="7"/>
    <x v="2"/>
    <x v="2"/>
    <x v="2"/>
    <x v="3"/>
    <x v="109"/>
    <x v="38"/>
    <x v="67"/>
    <x v="112"/>
    <x v="70"/>
    <x v="102"/>
    <x v="1"/>
  </r>
  <r>
    <x v="0"/>
    <x v="7"/>
    <x v="7"/>
    <x v="4"/>
    <x v="4"/>
    <x v="4"/>
    <x v="4"/>
    <x v="101"/>
    <x v="90"/>
    <x v="64"/>
    <x v="113"/>
    <x v="69"/>
    <x v="8"/>
    <x v="1"/>
  </r>
  <r>
    <x v="0"/>
    <x v="7"/>
    <x v="7"/>
    <x v="11"/>
    <x v="11"/>
    <x v="11"/>
    <x v="5"/>
    <x v="76"/>
    <x v="91"/>
    <x v="62"/>
    <x v="114"/>
    <x v="44"/>
    <x v="104"/>
    <x v="1"/>
  </r>
  <r>
    <x v="0"/>
    <x v="7"/>
    <x v="7"/>
    <x v="7"/>
    <x v="7"/>
    <x v="7"/>
    <x v="6"/>
    <x v="110"/>
    <x v="54"/>
    <x v="99"/>
    <x v="115"/>
    <x v="56"/>
    <x v="14"/>
    <x v="1"/>
  </r>
  <r>
    <x v="0"/>
    <x v="7"/>
    <x v="7"/>
    <x v="6"/>
    <x v="6"/>
    <x v="6"/>
    <x v="7"/>
    <x v="77"/>
    <x v="74"/>
    <x v="72"/>
    <x v="116"/>
    <x v="69"/>
    <x v="8"/>
    <x v="1"/>
  </r>
  <r>
    <x v="0"/>
    <x v="7"/>
    <x v="7"/>
    <x v="3"/>
    <x v="3"/>
    <x v="3"/>
    <x v="8"/>
    <x v="79"/>
    <x v="92"/>
    <x v="100"/>
    <x v="117"/>
    <x v="60"/>
    <x v="11"/>
    <x v="1"/>
  </r>
  <r>
    <x v="0"/>
    <x v="7"/>
    <x v="7"/>
    <x v="9"/>
    <x v="9"/>
    <x v="9"/>
    <x v="9"/>
    <x v="104"/>
    <x v="93"/>
    <x v="90"/>
    <x v="118"/>
    <x v="25"/>
    <x v="41"/>
    <x v="1"/>
  </r>
  <r>
    <x v="0"/>
    <x v="7"/>
    <x v="7"/>
    <x v="10"/>
    <x v="10"/>
    <x v="10"/>
    <x v="10"/>
    <x v="111"/>
    <x v="8"/>
    <x v="94"/>
    <x v="63"/>
    <x v="45"/>
    <x v="99"/>
    <x v="1"/>
  </r>
  <r>
    <x v="0"/>
    <x v="7"/>
    <x v="7"/>
    <x v="12"/>
    <x v="12"/>
    <x v="12"/>
    <x v="11"/>
    <x v="107"/>
    <x v="94"/>
    <x v="80"/>
    <x v="64"/>
    <x v="81"/>
    <x v="107"/>
    <x v="1"/>
  </r>
  <r>
    <x v="0"/>
    <x v="7"/>
    <x v="7"/>
    <x v="17"/>
    <x v="17"/>
    <x v="17"/>
    <x v="12"/>
    <x v="80"/>
    <x v="95"/>
    <x v="75"/>
    <x v="119"/>
    <x v="71"/>
    <x v="108"/>
    <x v="1"/>
  </r>
  <r>
    <x v="0"/>
    <x v="7"/>
    <x v="7"/>
    <x v="19"/>
    <x v="19"/>
    <x v="19"/>
    <x v="13"/>
    <x v="82"/>
    <x v="58"/>
    <x v="101"/>
    <x v="65"/>
    <x v="55"/>
    <x v="109"/>
    <x v="1"/>
  </r>
  <r>
    <x v="0"/>
    <x v="7"/>
    <x v="7"/>
    <x v="14"/>
    <x v="14"/>
    <x v="14"/>
    <x v="13"/>
    <x v="82"/>
    <x v="58"/>
    <x v="37"/>
    <x v="120"/>
    <x v="78"/>
    <x v="60"/>
    <x v="1"/>
  </r>
  <r>
    <x v="0"/>
    <x v="7"/>
    <x v="7"/>
    <x v="31"/>
    <x v="31"/>
    <x v="31"/>
    <x v="15"/>
    <x v="84"/>
    <x v="60"/>
    <x v="79"/>
    <x v="121"/>
    <x v="60"/>
    <x v="11"/>
    <x v="1"/>
  </r>
  <r>
    <x v="0"/>
    <x v="7"/>
    <x v="7"/>
    <x v="34"/>
    <x v="34"/>
    <x v="34"/>
    <x v="15"/>
    <x v="84"/>
    <x v="60"/>
    <x v="66"/>
    <x v="69"/>
    <x v="56"/>
    <x v="14"/>
    <x v="1"/>
  </r>
  <r>
    <x v="0"/>
    <x v="7"/>
    <x v="7"/>
    <x v="18"/>
    <x v="18"/>
    <x v="18"/>
    <x v="17"/>
    <x v="85"/>
    <x v="45"/>
    <x v="76"/>
    <x v="122"/>
    <x v="68"/>
    <x v="73"/>
    <x v="0"/>
  </r>
  <r>
    <x v="0"/>
    <x v="7"/>
    <x v="7"/>
    <x v="15"/>
    <x v="15"/>
    <x v="15"/>
    <x v="17"/>
    <x v="85"/>
    <x v="45"/>
    <x v="101"/>
    <x v="65"/>
    <x v="68"/>
    <x v="73"/>
    <x v="1"/>
  </r>
  <r>
    <x v="0"/>
    <x v="7"/>
    <x v="7"/>
    <x v="13"/>
    <x v="13"/>
    <x v="13"/>
    <x v="19"/>
    <x v="112"/>
    <x v="96"/>
    <x v="76"/>
    <x v="122"/>
    <x v="68"/>
    <x v="73"/>
    <x v="1"/>
  </r>
  <r>
    <x v="0"/>
    <x v="7"/>
    <x v="7"/>
    <x v="35"/>
    <x v="35"/>
    <x v="35"/>
    <x v="19"/>
    <x v="112"/>
    <x v="96"/>
    <x v="102"/>
    <x v="123"/>
    <x v="45"/>
    <x v="99"/>
    <x v="1"/>
  </r>
  <r>
    <x v="0"/>
    <x v="7"/>
    <x v="7"/>
    <x v="21"/>
    <x v="21"/>
    <x v="21"/>
    <x v="19"/>
    <x v="112"/>
    <x v="96"/>
    <x v="101"/>
    <x v="65"/>
    <x v="57"/>
    <x v="110"/>
    <x v="1"/>
  </r>
  <r>
    <x v="0"/>
    <x v="8"/>
    <x v="8"/>
    <x v="1"/>
    <x v="1"/>
    <x v="1"/>
    <x v="0"/>
    <x v="72"/>
    <x v="97"/>
    <x v="53"/>
    <x v="124"/>
    <x v="78"/>
    <x v="111"/>
    <x v="1"/>
  </r>
  <r>
    <x v="0"/>
    <x v="8"/>
    <x v="8"/>
    <x v="0"/>
    <x v="0"/>
    <x v="0"/>
    <x v="1"/>
    <x v="92"/>
    <x v="98"/>
    <x v="54"/>
    <x v="125"/>
    <x v="81"/>
    <x v="112"/>
    <x v="1"/>
  </r>
  <r>
    <x v="0"/>
    <x v="8"/>
    <x v="8"/>
    <x v="3"/>
    <x v="3"/>
    <x v="3"/>
    <x v="2"/>
    <x v="96"/>
    <x v="99"/>
    <x v="54"/>
    <x v="125"/>
    <x v="42"/>
    <x v="113"/>
    <x v="1"/>
  </r>
  <r>
    <x v="0"/>
    <x v="8"/>
    <x v="8"/>
    <x v="5"/>
    <x v="5"/>
    <x v="5"/>
    <x v="3"/>
    <x v="102"/>
    <x v="100"/>
    <x v="74"/>
    <x v="126"/>
    <x v="63"/>
    <x v="114"/>
    <x v="1"/>
  </r>
  <r>
    <x v="0"/>
    <x v="8"/>
    <x v="8"/>
    <x v="4"/>
    <x v="4"/>
    <x v="4"/>
    <x v="3"/>
    <x v="102"/>
    <x v="100"/>
    <x v="103"/>
    <x v="127"/>
    <x v="69"/>
    <x v="43"/>
    <x v="1"/>
  </r>
  <r>
    <x v="0"/>
    <x v="8"/>
    <x v="8"/>
    <x v="8"/>
    <x v="8"/>
    <x v="8"/>
    <x v="5"/>
    <x v="79"/>
    <x v="101"/>
    <x v="51"/>
    <x v="88"/>
    <x v="72"/>
    <x v="77"/>
    <x v="1"/>
  </r>
  <r>
    <x v="0"/>
    <x v="8"/>
    <x v="8"/>
    <x v="6"/>
    <x v="6"/>
    <x v="6"/>
    <x v="6"/>
    <x v="104"/>
    <x v="102"/>
    <x v="99"/>
    <x v="4"/>
    <x v="69"/>
    <x v="43"/>
    <x v="1"/>
  </r>
  <r>
    <x v="0"/>
    <x v="8"/>
    <x v="8"/>
    <x v="10"/>
    <x v="10"/>
    <x v="10"/>
    <x v="7"/>
    <x v="106"/>
    <x v="103"/>
    <x v="94"/>
    <x v="121"/>
    <x v="68"/>
    <x v="115"/>
    <x v="1"/>
  </r>
  <r>
    <x v="0"/>
    <x v="8"/>
    <x v="8"/>
    <x v="7"/>
    <x v="7"/>
    <x v="7"/>
    <x v="8"/>
    <x v="81"/>
    <x v="26"/>
    <x v="93"/>
    <x v="128"/>
    <x v="78"/>
    <x v="111"/>
    <x v="1"/>
  </r>
  <r>
    <x v="0"/>
    <x v="8"/>
    <x v="8"/>
    <x v="9"/>
    <x v="9"/>
    <x v="9"/>
    <x v="9"/>
    <x v="82"/>
    <x v="84"/>
    <x v="52"/>
    <x v="129"/>
    <x v="75"/>
    <x v="18"/>
    <x v="1"/>
  </r>
  <r>
    <x v="0"/>
    <x v="8"/>
    <x v="8"/>
    <x v="12"/>
    <x v="12"/>
    <x v="12"/>
    <x v="10"/>
    <x v="83"/>
    <x v="104"/>
    <x v="70"/>
    <x v="130"/>
    <x v="54"/>
    <x v="116"/>
    <x v="1"/>
  </r>
  <r>
    <x v="0"/>
    <x v="8"/>
    <x v="8"/>
    <x v="19"/>
    <x v="19"/>
    <x v="19"/>
    <x v="11"/>
    <x v="85"/>
    <x v="105"/>
    <x v="80"/>
    <x v="91"/>
    <x v="25"/>
    <x v="117"/>
    <x v="1"/>
  </r>
  <r>
    <x v="0"/>
    <x v="8"/>
    <x v="8"/>
    <x v="15"/>
    <x v="15"/>
    <x v="15"/>
    <x v="11"/>
    <x v="85"/>
    <x v="105"/>
    <x v="81"/>
    <x v="131"/>
    <x v="75"/>
    <x v="18"/>
    <x v="1"/>
  </r>
  <r>
    <x v="0"/>
    <x v="8"/>
    <x v="8"/>
    <x v="25"/>
    <x v="25"/>
    <x v="25"/>
    <x v="11"/>
    <x v="85"/>
    <x v="105"/>
    <x v="94"/>
    <x v="121"/>
    <x v="42"/>
    <x v="113"/>
    <x v="1"/>
  </r>
  <r>
    <x v="0"/>
    <x v="8"/>
    <x v="8"/>
    <x v="23"/>
    <x v="23"/>
    <x v="23"/>
    <x v="14"/>
    <x v="112"/>
    <x v="65"/>
    <x v="104"/>
    <x v="132"/>
    <x v="56"/>
    <x v="82"/>
    <x v="1"/>
  </r>
  <r>
    <x v="0"/>
    <x v="8"/>
    <x v="8"/>
    <x v="14"/>
    <x v="14"/>
    <x v="14"/>
    <x v="15"/>
    <x v="113"/>
    <x v="106"/>
    <x v="104"/>
    <x v="132"/>
    <x v="78"/>
    <x v="111"/>
    <x v="1"/>
  </r>
  <r>
    <x v="0"/>
    <x v="8"/>
    <x v="8"/>
    <x v="36"/>
    <x v="36"/>
    <x v="36"/>
    <x v="16"/>
    <x v="114"/>
    <x v="33"/>
    <x v="70"/>
    <x v="130"/>
    <x v="56"/>
    <x v="82"/>
    <x v="1"/>
  </r>
  <r>
    <x v="0"/>
    <x v="8"/>
    <x v="8"/>
    <x v="16"/>
    <x v="16"/>
    <x v="16"/>
    <x v="16"/>
    <x v="114"/>
    <x v="33"/>
    <x v="70"/>
    <x v="130"/>
    <x v="56"/>
    <x v="82"/>
    <x v="1"/>
  </r>
  <r>
    <x v="0"/>
    <x v="8"/>
    <x v="8"/>
    <x v="21"/>
    <x v="21"/>
    <x v="21"/>
    <x v="16"/>
    <x v="114"/>
    <x v="33"/>
    <x v="102"/>
    <x v="133"/>
    <x v="54"/>
    <x v="116"/>
    <x v="1"/>
  </r>
  <r>
    <x v="0"/>
    <x v="8"/>
    <x v="8"/>
    <x v="13"/>
    <x v="13"/>
    <x v="13"/>
    <x v="19"/>
    <x v="115"/>
    <x v="107"/>
    <x v="76"/>
    <x v="134"/>
    <x v="25"/>
    <x v="117"/>
    <x v="1"/>
  </r>
  <r>
    <x v="0"/>
    <x v="8"/>
    <x v="8"/>
    <x v="37"/>
    <x v="37"/>
    <x v="37"/>
    <x v="19"/>
    <x v="115"/>
    <x v="107"/>
    <x v="102"/>
    <x v="133"/>
    <x v="75"/>
    <x v="18"/>
    <x v="1"/>
  </r>
  <r>
    <x v="0"/>
    <x v="8"/>
    <x v="8"/>
    <x v="26"/>
    <x v="26"/>
    <x v="26"/>
    <x v="19"/>
    <x v="115"/>
    <x v="107"/>
    <x v="94"/>
    <x v="121"/>
    <x v="69"/>
    <x v="43"/>
    <x v="1"/>
  </r>
  <r>
    <x v="0"/>
    <x v="9"/>
    <x v="9"/>
    <x v="1"/>
    <x v="1"/>
    <x v="1"/>
    <x v="0"/>
    <x v="116"/>
    <x v="108"/>
    <x v="105"/>
    <x v="135"/>
    <x v="68"/>
    <x v="91"/>
    <x v="1"/>
  </r>
  <r>
    <x v="0"/>
    <x v="9"/>
    <x v="9"/>
    <x v="0"/>
    <x v="0"/>
    <x v="0"/>
    <x v="1"/>
    <x v="117"/>
    <x v="109"/>
    <x v="65"/>
    <x v="136"/>
    <x v="86"/>
    <x v="118"/>
    <x v="1"/>
  </r>
  <r>
    <x v="0"/>
    <x v="9"/>
    <x v="9"/>
    <x v="8"/>
    <x v="8"/>
    <x v="8"/>
    <x v="2"/>
    <x v="118"/>
    <x v="110"/>
    <x v="106"/>
    <x v="137"/>
    <x v="60"/>
    <x v="119"/>
    <x v="1"/>
  </r>
  <r>
    <x v="0"/>
    <x v="9"/>
    <x v="9"/>
    <x v="4"/>
    <x v="4"/>
    <x v="4"/>
    <x v="3"/>
    <x v="119"/>
    <x v="111"/>
    <x v="55"/>
    <x v="138"/>
    <x v="84"/>
    <x v="4"/>
    <x v="1"/>
  </r>
  <r>
    <x v="0"/>
    <x v="9"/>
    <x v="9"/>
    <x v="3"/>
    <x v="3"/>
    <x v="3"/>
    <x v="4"/>
    <x v="92"/>
    <x v="112"/>
    <x v="92"/>
    <x v="87"/>
    <x v="76"/>
    <x v="120"/>
    <x v="1"/>
  </r>
  <r>
    <x v="0"/>
    <x v="9"/>
    <x v="9"/>
    <x v="6"/>
    <x v="6"/>
    <x v="6"/>
    <x v="5"/>
    <x v="93"/>
    <x v="113"/>
    <x v="28"/>
    <x v="139"/>
    <x v="25"/>
    <x v="56"/>
    <x v="1"/>
  </r>
  <r>
    <x v="0"/>
    <x v="9"/>
    <x v="9"/>
    <x v="5"/>
    <x v="5"/>
    <x v="5"/>
    <x v="6"/>
    <x v="99"/>
    <x v="114"/>
    <x v="52"/>
    <x v="31"/>
    <x v="67"/>
    <x v="121"/>
    <x v="1"/>
  </r>
  <r>
    <x v="0"/>
    <x v="9"/>
    <x v="9"/>
    <x v="9"/>
    <x v="9"/>
    <x v="9"/>
    <x v="7"/>
    <x v="120"/>
    <x v="26"/>
    <x v="37"/>
    <x v="140"/>
    <x v="85"/>
    <x v="122"/>
    <x v="1"/>
  </r>
  <r>
    <x v="0"/>
    <x v="9"/>
    <x v="9"/>
    <x v="7"/>
    <x v="7"/>
    <x v="7"/>
    <x v="7"/>
    <x v="120"/>
    <x v="26"/>
    <x v="48"/>
    <x v="141"/>
    <x v="78"/>
    <x v="46"/>
    <x v="1"/>
  </r>
  <r>
    <x v="0"/>
    <x v="9"/>
    <x v="9"/>
    <x v="10"/>
    <x v="10"/>
    <x v="10"/>
    <x v="9"/>
    <x v="101"/>
    <x v="29"/>
    <x v="37"/>
    <x v="140"/>
    <x v="41"/>
    <x v="123"/>
    <x v="1"/>
  </r>
  <r>
    <x v="0"/>
    <x v="9"/>
    <x v="9"/>
    <x v="13"/>
    <x v="13"/>
    <x v="13"/>
    <x v="10"/>
    <x v="102"/>
    <x v="115"/>
    <x v="101"/>
    <x v="142"/>
    <x v="67"/>
    <x v="121"/>
    <x v="1"/>
  </r>
  <r>
    <x v="0"/>
    <x v="9"/>
    <x v="9"/>
    <x v="11"/>
    <x v="11"/>
    <x v="11"/>
    <x v="11"/>
    <x v="76"/>
    <x v="10"/>
    <x v="34"/>
    <x v="143"/>
    <x v="60"/>
    <x v="119"/>
    <x v="1"/>
  </r>
  <r>
    <x v="0"/>
    <x v="9"/>
    <x v="9"/>
    <x v="15"/>
    <x v="15"/>
    <x v="15"/>
    <x v="12"/>
    <x v="103"/>
    <x v="116"/>
    <x v="66"/>
    <x v="144"/>
    <x v="55"/>
    <x v="124"/>
    <x v="1"/>
  </r>
  <r>
    <x v="0"/>
    <x v="9"/>
    <x v="9"/>
    <x v="25"/>
    <x v="25"/>
    <x v="25"/>
    <x v="13"/>
    <x v="77"/>
    <x v="76"/>
    <x v="78"/>
    <x v="145"/>
    <x v="76"/>
    <x v="120"/>
    <x v="1"/>
  </r>
  <r>
    <x v="0"/>
    <x v="9"/>
    <x v="9"/>
    <x v="12"/>
    <x v="12"/>
    <x v="12"/>
    <x v="14"/>
    <x v="78"/>
    <x v="117"/>
    <x v="80"/>
    <x v="54"/>
    <x v="73"/>
    <x v="30"/>
    <x v="1"/>
  </r>
  <r>
    <x v="0"/>
    <x v="9"/>
    <x v="9"/>
    <x v="26"/>
    <x v="26"/>
    <x v="26"/>
    <x v="15"/>
    <x v="104"/>
    <x v="118"/>
    <x v="100"/>
    <x v="146"/>
    <x v="56"/>
    <x v="125"/>
    <x v="1"/>
  </r>
  <r>
    <x v="0"/>
    <x v="9"/>
    <x v="9"/>
    <x v="16"/>
    <x v="16"/>
    <x v="16"/>
    <x v="16"/>
    <x v="111"/>
    <x v="106"/>
    <x v="107"/>
    <x v="129"/>
    <x v="75"/>
    <x v="40"/>
    <x v="1"/>
  </r>
  <r>
    <x v="0"/>
    <x v="9"/>
    <x v="9"/>
    <x v="14"/>
    <x v="14"/>
    <x v="14"/>
    <x v="16"/>
    <x v="111"/>
    <x v="106"/>
    <x v="108"/>
    <x v="147"/>
    <x v="42"/>
    <x v="111"/>
    <x v="1"/>
  </r>
  <r>
    <x v="0"/>
    <x v="9"/>
    <x v="9"/>
    <x v="22"/>
    <x v="22"/>
    <x v="22"/>
    <x v="18"/>
    <x v="105"/>
    <x v="119"/>
    <x v="52"/>
    <x v="31"/>
    <x v="45"/>
    <x v="126"/>
    <x v="1"/>
  </r>
  <r>
    <x v="0"/>
    <x v="9"/>
    <x v="9"/>
    <x v="23"/>
    <x v="23"/>
    <x v="23"/>
    <x v="18"/>
    <x v="105"/>
    <x v="119"/>
    <x v="90"/>
    <x v="9"/>
    <x v="42"/>
    <x v="111"/>
    <x v="1"/>
  </r>
  <r>
    <x v="0"/>
    <x v="9"/>
    <x v="9"/>
    <x v="21"/>
    <x v="21"/>
    <x v="21"/>
    <x v="18"/>
    <x v="105"/>
    <x v="119"/>
    <x v="70"/>
    <x v="148"/>
    <x v="71"/>
    <x v="127"/>
    <x v="1"/>
  </r>
  <r>
    <x v="0"/>
    <x v="10"/>
    <x v="10"/>
    <x v="0"/>
    <x v="0"/>
    <x v="0"/>
    <x v="0"/>
    <x v="117"/>
    <x v="120"/>
    <x v="49"/>
    <x v="149"/>
    <x v="57"/>
    <x v="0"/>
    <x v="1"/>
  </r>
  <r>
    <x v="0"/>
    <x v="10"/>
    <x v="10"/>
    <x v="1"/>
    <x v="1"/>
    <x v="1"/>
    <x v="1"/>
    <x v="91"/>
    <x v="121"/>
    <x v="32"/>
    <x v="150"/>
    <x v="44"/>
    <x v="128"/>
    <x v="1"/>
  </r>
  <r>
    <x v="0"/>
    <x v="10"/>
    <x v="10"/>
    <x v="3"/>
    <x v="3"/>
    <x v="3"/>
    <x v="2"/>
    <x v="101"/>
    <x v="122"/>
    <x v="109"/>
    <x v="151"/>
    <x v="75"/>
    <x v="129"/>
    <x v="1"/>
  </r>
  <r>
    <x v="0"/>
    <x v="10"/>
    <x v="10"/>
    <x v="4"/>
    <x v="4"/>
    <x v="4"/>
    <x v="3"/>
    <x v="79"/>
    <x v="123"/>
    <x v="34"/>
    <x v="152"/>
    <x v="69"/>
    <x v="130"/>
    <x v="1"/>
  </r>
  <r>
    <x v="0"/>
    <x v="10"/>
    <x v="10"/>
    <x v="7"/>
    <x v="7"/>
    <x v="7"/>
    <x v="3"/>
    <x v="79"/>
    <x v="123"/>
    <x v="109"/>
    <x v="151"/>
    <x v="78"/>
    <x v="131"/>
    <x v="1"/>
  </r>
  <r>
    <x v="0"/>
    <x v="10"/>
    <x v="10"/>
    <x v="8"/>
    <x v="8"/>
    <x v="8"/>
    <x v="5"/>
    <x v="106"/>
    <x v="124"/>
    <x v="109"/>
    <x v="151"/>
    <x v="72"/>
    <x v="77"/>
    <x v="1"/>
  </r>
  <r>
    <x v="0"/>
    <x v="10"/>
    <x v="10"/>
    <x v="11"/>
    <x v="11"/>
    <x v="11"/>
    <x v="5"/>
    <x v="106"/>
    <x v="124"/>
    <x v="78"/>
    <x v="45"/>
    <x v="78"/>
    <x v="131"/>
    <x v="1"/>
  </r>
  <r>
    <x v="0"/>
    <x v="10"/>
    <x v="10"/>
    <x v="6"/>
    <x v="6"/>
    <x v="6"/>
    <x v="7"/>
    <x v="80"/>
    <x v="125"/>
    <x v="90"/>
    <x v="61"/>
    <x v="78"/>
    <x v="131"/>
    <x v="1"/>
  </r>
  <r>
    <x v="0"/>
    <x v="10"/>
    <x v="10"/>
    <x v="9"/>
    <x v="9"/>
    <x v="9"/>
    <x v="8"/>
    <x v="82"/>
    <x v="126"/>
    <x v="66"/>
    <x v="153"/>
    <x v="42"/>
    <x v="132"/>
    <x v="1"/>
  </r>
  <r>
    <x v="0"/>
    <x v="10"/>
    <x v="10"/>
    <x v="14"/>
    <x v="14"/>
    <x v="14"/>
    <x v="9"/>
    <x v="83"/>
    <x v="43"/>
    <x v="79"/>
    <x v="120"/>
    <x v="42"/>
    <x v="132"/>
    <x v="1"/>
  </r>
  <r>
    <x v="0"/>
    <x v="10"/>
    <x v="10"/>
    <x v="10"/>
    <x v="10"/>
    <x v="10"/>
    <x v="10"/>
    <x v="113"/>
    <x v="127"/>
    <x v="75"/>
    <x v="154"/>
    <x v="75"/>
    <x v="129"/>
    <x v="1"/>
  </r>
  <r>
    <x v="0"/>
    <x v="10"/>
    <x v="10"/>
    <x v="23"/>
    <x v="23"/>
    <x v="23"/>
    <x v="11"/>
    <x v="121"/>
    <x v="65"/>
    <x v="104"/>
    <x v="145"/>
    <x v="84"/>
    <x v="71"/>
    <x v="1"/>
  </r>
  <r>
    <x v="0"/>
    <x v="10"/>
    <x v="10"/>
    <x v="38"/>
    <x v="38"/>
    <x v="38"/>
    <x v="11"/>
    <x v="121"/>
    <x v="65"/>
    <x v="74"/>
    <x v="155"/>
    <x v="25"/>
    <x v="66"/>
    <x v="1"/>
  </r>
  <r>
    <x v="0"/>
    <x v="10"/>
    <x v="10"/>
    <x v="5"/>
    <x v="5"/>
    <x v="5"/>
    <x v="13"/>
    <x v="122"/>
    <x v="32"/>
    <x v="77"/>
    <x v="142"/>
    <x v="54"/>
    <x v="101"/>
    <x v="1"/>
  </r>
  <r>
    <x v="0"/>
    <x v="10"/>
    <x v="10"/>
    <x v="12"/>
    <x v="12"/>
    <x v="12"/>
    <x v="13"/>
    <x v="122"/>
    <x v="32"/>
    <x v="74"/>
    <x v="155"/>
    <x v="44"/>
    <x v="128"/>
    <x v="1"/>
  </r>
  <r>
    <x v="0"/>
    <x v="10"/>
    <x v="10"/>
    <x v="22"/>
    <x v="22"/>
    <x v="22"/>
    <x v="13"/>
    <x v="122"/>
    <x v="32"/>
    <x v="76"/>
    <x v="92"/>
    <x v="75"/>
    <x v="129"/>
    <x v="1"/>
  </r>
  <r>
    <x v="0"/>
    <x v="10"/>
    <x v="10"/>
    <x v="16"/>
    <x v="16"/>
    <x v="16"/>
    <x v="13"/>
    <x v="122"/>
    <x v="32"/>
    <x v="81"/>
    <x v="156"/>
    <x v="42"/>
    <x v="132"/>
    <x v="1"/>
  </r>
  <r>
    <x v="0"/>
    <x v="10"/>
    <x v="10"/>
    <x v="36"/>
    <x v="36"/>
    <x v="36"/>
    <x v="17"/>
    <x v="114"/>
    <x v="45"/>
    <x v="52"/>
    <x v="157"/>
    <x v="84"/>
    <x v="71"/>
    <x v="1"/>
  </r>
  <r>
    <x v="0"/>
    <x v="10"/>
    <x v="10"/>
    <x v="15"/>
    <x v="15"/>
    <x v="15"/>
    <x v="17"/>
    <x v="114"/>
    <x v="45"/>
    <x v="77"/>
    <x v="142"/>
    <x v="76"/>
    <x v="133"/>
    <x v="1"/>
  </r>
  <r>
    <x v="0"/>
    <x v="10"/>
    <x v="10"/>
    <x v="34"/>
    <x v="34"/>
    <x v="34"/>
    <x v="17"/>
    <x v="114"/>
    <x v="45"/>
    <x v="80"/>
    <x v="129"/>
    <x v="78"/>
    <x v="131"/>
    <x v="1"/>
  </r>
  <r>
    <x v="0"/>
    <x v="11"/>
    <x v="11"/>
    <x v="1"/>
    <x v="1"/>
    <x v="1"/>
    <x v="0"/>
    <x v="70"/>
    <x v="128"/>
    <x v="49"/>
    <x v="158"/>
    <x v="56"/>
    <x v="134"/>
    <x v="1"/>
  </r>
  <r>
    <x v="0"/>
    <x v="11"/>
    <x v="11"/>
    <x v="0"/>
    <x v="0"/>
    <x v="0"/>
    <x v="1"/>
    <x v="94"/>
    <x v="129"/>
    <x v="64"/>
    <x v="159"/>
    <x v="54"/>
    <x v="135"/>
    <x v="1"/>
  </r>
  <r>
    <x v="0"/>
    <x v="11"/>
    <x v="11"/>
    <x v="4"/>
    <x v="4"/>
    <x v="4"/>
    <x v="2"/>
    <x v="109"/>
    <x v="130"/>
    <x v="33"/>
    <x v="160"/>
    <x v="72"/>
    <x v="77"/>
    <x v="1"/>
  </r>
  <r>
    <x v="0"/>
    <x v="11"/>
    <x v="11"/>
    <x v="10"/>
    <x v="10"/>
    <x v="10"/>
    <x v="3"/>
    <x v="120"/>
    <x v="131"/>
    <x v="78"/>
    <x v="161"/>
    <x v="45"/>
    <x v="112"/>
    <x v="1"/>
  </r>
  <r>
    <x v="0"/>
    <x v="11"/>
    <x v="11"/>
    <x v="12"/>
    <x v="12"/>
    <x v="12"/>
    <x v="4"/>
    <x v="78"/>
    <x v="132"/>
    <x v="37"/>
    <x v="162"/>
    <x v="57"/>
    <x v="136"/>
    <x v="1"/>
  </r>
  <r>
    <x v="0"/>
    <x v="11"/>
    <x v="11"/>
    <x v="5"/>
    <x v="5"/>
    <x v="5"/>
    <x v="5"/>
    <x v="104"/>
    <x v="133"/>
    <x v="73"/>
    <x v="163"/>
    <x v="87"/>
    <x v="137"/>
    <x v="1"/>
  </r>
  <r>
    <x v="0"/>
    <x v="11"/>
    <x v="11"/>
    <x v="8"/>
    <x v="8"/>
    <x v="8"/>
    <x v="6"/>
    <x v="111"/>
    <x v="134"/>
    <x v="99"/>
    <x v="164"/>
    <x v="72"/>
    <x v="77"/>
    <x v="1"/>
  </r>
  <r>
    <x v="0"/>
    <x v="11"/>
    <x v="11"/>
    <x v="7"/>
    <x v="7"/>
    <x v="7"/>
    <x v="7"/>
    <x v="105"/>
    <x v="135"/>
    <x v="62"/>
    <x v="165"/>
    <x v="72"/>
    <x v="77"/>
    <x v="1"/>
  </r>
  <r>
    <x v="0"/>
    <x v="11"/>
    <x v="11"/>
    <x v="3"/>
    <x v="3"/>
    <x v="3"/>
    <x v="8"/>
    <x v="106"/>
    <x v="126"/>
    <x v="90"/>
    <x v="166"/>
    <x v="60"/>
    <x v="16"/>
    <x v="1"/>
  </r>
  <r>
    <x v="0"/>
    <x v="11"/>
    <x v="11"/>
    <x v="21"/>
    <x v="21"/>
    <x v="21"/>
    <x v="9"/>
    <x v="107"/>
    <x v="56"/>
    <x v="74"/>
    <x v="167"/>
    <x v="71"/>
    <x v="138"/>
    <x v="1"/>
  </r>
  <r>
    <x v="0"/>
    <x v="11"/>
    <x v="11"/>
    <x v="9"/>
    <x v="9"/>
    <x v="9"/>
    <x v="10"/>
    <x v="81"/>
    <x v="84"/>
    <x v="94"/>
    <x v="168"/>
    <x v="75"/>
    <x v="139"/>
    <x v="1"/>
  </r>
  <r>
    <x v="0"/>
    <x v="11"/>
    <x v="11"/>
    <x v="14"/>
    <x v="14"/>
    <x v="14"/>
    <x v="10"/>
    <x v="81"/>
    <x v="84"/>
    <x v="93"/>
    <x v="169"/>
    <x v="78"/>
    <x v="97"/>
    <x v="1"/>
  </r>
  <r>
    <x v="0"/>
    <x v="11"/>
    <x v="11"/>
    <x v="13"/>
    <x v="13"/>
    <x v="13"/>
    <x v="12"/>
    <x v="83"/>
    <x v="136"/>
    <x v="81"/>
    <x v="94"/>
    <x v="57"/>
    <x v="136"/>
    <x v="1"/>
  </r>
  <r>
    <x v="0"/>
    <x v="11"/>
    <x v="11"/>
    <x v="15"/>
    <x v="15"/>
    <x v="15"/>
    <x v="12"/>
    <x v="83"/>
    <x v="136"/>
    <x v="70"/>
    <x v="156"/>
    <x v="54"/>
    <x v="135"/>
    <x v="1"/>
  </r>
  <r>
    <x v="0"/>
    <x v="11"/>
    <x v="11"/>
    <x v="6"/>
    <x v="6"/>
    <x v="6"/>
    <x v="12"/>
    <x v="83"/>
    <x v="136"/>
    <x v="90"/>
    <x v="166"/>
    <x v="69"/>
    <x v="140"/>
    <x v="1"/>
  </r>
  <r>
    <x v="0"/>
    <x v="11"/>
    <x v="11"/>
    <x v="16"/>
    <x v="16"/>
    <x v="16"/>
    <x v="15"/>
    <x v="84"/>
    <x v="127"/>
    <x v="37"/>
    <x v="162"/>
    <x v="70"/>
    <x v="141"/>
    <x v="1"/>
  </r>
  <r>
    <x v="0"/>
    <x v="11"/>
    <x v="11"/>
    <x v="34"/>
    <x v="34"/>
    <x v="34"/>
    <x v="16"/>
    <x v="85"/>
    <x v="137"/>
    <x v="68"/>
    <x v="90"/>
    <x v="84"/>
    <x v="142"/>
    <x v="1"/>
  </r>
  <r>
    <x v="0"/>
    <x v="11"/>
    <x v="11"/>
    <x v="39"/>
    <x v="39"/>
    <x v="39"/>
    <x v="17"/>
    <x v="113"/>
    <x v="119"/>
    <x v="77"/>
    <x v="170"/>
    <x v="68"/>
    <x v="143"/>
    <x v="1"/>
  </r>
  <r>
    <x v="0"/>
    <x v="11"/>
    <x v="11"/>
    <x v="25"/>
    <x v="25"/>
    <x v="25"/>
    <x v="17"/>
    <x v="113"/>
    <x v="119"/>
    <x v="81"/>
    <x v="94"/>
    <x v="25"/>
    <x v="2"/>
    <x v="1"/>
  </r>
  <r>
    <x v="0"/>
    <x v="11"/>
    <x v="11"/>
    <x v="40"/>
    <x v="40"/>
    <x v="40"/>
    <x v="19"/>
    <x v="121"/>
    <x v="16"/>
    <x v="70"/>
    <x v="156"/>
    <x v="42"/>
    <x v="144"/>
    <x v="1"/>
  </r>
  <r>
    <x v="0"/>
    <x v="11"/>
    <x v="11"/>
    <x v="23"/>
    <x v="23"/>
    <x v="23"/>
    <x v="19"/>
    <x v="121"/>
    <x v="16"/>
    <x v="74"/>
    <x v="167"/>
    <x v="25"/>
    <x v="2"/>
    <x v="1"/>
  </r>
  <r>
    <x v="0"/>
    <x v="11"/>
    <x v="11"/>
    <x v="41"/>
    <x v="41"/>
    <x v="41"/>
    <x v="19"/>
    <x v="121"/>
    <x v="16"/>
    <x v="75"/>
    <x v="148"/>
    <x v="76"/>
    <x v="128"/>
    <x v="1"/>
  </r>
  <r>
    <x v="0"/>
    <x v="11"/>
    <x v="11"/>
    <x v="18"/>
    <x v="18"/>
    <x v="18"/>
    <x v="19"/>
    <x v="121"/>
    <x v="16"/>
    <x v="77"/>
    <x v="170"/>
    <x v="57"/>
    <x v="136"/>
    <x v="1"/>
  </r>
  <r>
    <x v="0"/>
    <x v="12"/>
    <x v="12"/>
    <x v="1"/>
    <x v="1"/>
    <x v="1"/>
    <x v="0"/>
    <x v="109"/>
    <x v="138"/>
    <x v="64"/>
    <x v="171"/>
    <x v="78"/>
    <x v="145"/>
    <x v="1"/>
  </r>
  <r>
    <x v="0"/>
    <x v="12"/>
    <x v="12"/>
    <x v="4"/>
    <x v="4"/>
    <x v="4"/>
    <x v="1"/>
    <x v="111"/>
    <x v="139"/>
    <x v="109"/>
    <x v="172"/>
    <x v="70"/>
    <x v="146"/>
    <x v="1"/>
  </r>
  <r>
    <x v="0"/>
    <x v="12"/>
    <x v="12"/>
    <x v="5"/>
    <x v="5"/>
    <x v="5"/>
    <x v="2"/>
    <x v="105"/>
    <x v="140"/>
    <x v="102"/>
    <x v="173"/>
    <x v="58"/>
    <x v="147"/>
    <x v="1"/>
  </r>
  <r>
    <x v="0"/>
    <x v="12"/>
    <x v="12"/>
    <x v="2"/>
    <x v="2"/>
    <x v="2"/>
    <x v="3"/>
    <x v="106"/>
    <x v="141"/>
    <x v="107"/>
    <x v="116"/>
    <x v="25"/>
    <x v="148"/>
    <x v="1"/>
  </r>
  <r>
    <x v="0"/>
    <x v="12"/>
    <x v="12"/>
    <x v="14"/>
    <x v="14"/>
    <x v="14"/>
    <x v="4"/>
    <x v="82"/>
    <x v="142"/>
    <x v="66"/>
    <x v="174"/>
    <x v="42"/>
    <x v="149"/>
    <x v="1"/>
  </r>
  <r>
    <x v="0"/>
    <x v="12"/>
    <x v="12"/>
    <x v="6"/>
    <x v="6"/>
    <x v="6"/>
    <x v="4"/>
    <x v="82"/>
    <x v="142"/>
    <x v="107"/>
    <x v="116"/>
    <x v="56"/>
    <x v="91"/>
    <x v="1"/>
  </r>
  <r>
    <x v="0"/>
    <x v="12"/>
    <x v="12"/>
    <x v="11"/>
    <x v="11"/>
    <x v="11"/>
    <x v="6"/>
    <x v="84"/>
    <x v="143"/>
    <x v="37"/>
    <x v="175"/>
    <x v="70"/>
    <x v="146"/>
    <x v="1"/>
  </r>
  <r>
    <x v="0"/>
    <x v="12"/>
    <x v="12"/>
    <x v="8"/>
    <x v="8"/>
    <x v="8"/>
    <x v="7"/>
    <x v="85"/>
    <x v="91"/>
    <x v="93"/>
    <x v="176"/>
    <x v="72"/>
    <x v="77"/>
    <x v="1"/>
  </r>
  <r>
    <x v="0"/>
    <x v="12"/>
    <x v="12"/>
    <x v="12"/>
    <x v="12"/>
    <x v="12"/>
    <x v="8"/>
    <x v="113"/>
    <x v="103"/>
    <x v="52"/>
    <x v="177"/>
    <x v="60"/>
    <x v="50"/>
    <x v="1"/>
  </r>
  <r>
    <x v="0"/>
    <x v="12"/>
    <x v="12"/>
    <x v="10"/>
    <x v="10"/>
    <x v="10"/>
    <x v="9"/>
    <x v="121"/>
    <x v="6"/>
    <x v="70"/>
    <x v="178"/>
    <x v="42"/>
    <x v="149"/>
    <x v="1"/>
  </r>
  <r>
    <x v="0"/>
    <x v="12"/>
    <x v="12"/>
    <x v="3"/>
    <x v="3"/>
    <x v="3"/>
    <x v="9"/>
    <x v="121"/>
    <x v="6"/>
    <x v="94"/>
    <x v="179"/>
    <x v="78"/>
    <x v="145"/>
    <x v="1"/>
  </r>
  <r>
    <x v="0"/>
    <x v="12"/>
    <x v="12"/>
    <x v="25"/>
    <x v="25"/>
    <x v="25"/>
    <x v="11"/>
    <x v="122"/>
    <x v="26"/>
    <x v="80"/>
    <x v="180"/>
    <x v="56"/>
    <x v="91"/>
    <x v="1"/>
  </r>
  <r>
    <x v="0"/>
    <x v="12"/>
    <x v="12"/>
    <x v="36"/>
    <x v="36"/>
    <x v="36"/>
    <x v="12"/>
    <x v="114"/>
    <x v="144"/>
    <x v="80"/>
    <x v="180"/>
    <x v="78"/>
    <x v="145"/>
    <x v="1"/>
  </r>
  <r>
    <x v="0"/>
    <x v="12"/>
    <x v="12"/>
    <x v="7"/>
    <x v="7"/>
    <x v="7"/>
    <x v="12"/>
    <x v="114"/>
    <x v="144"/>
    <x v="79"/>
    <x v="181"/>
    <x v="72"/>
    <x v="77"/>
    <x v="1"/>
  </r>
  <r>
    <x v="0"/>
    <x v="12"/>
    <x v="12"/>
    <x v="40"/>
    <x v="40"/>
    <x v="40"/>
    <x v="14"/>
    <x v="115"/>
    <x v="145"/>
    <x v="74"/>
    <x v="182"/>
    <x v="60"/>
    <x v="50"/>
    <x v="1"/>
  </r>
  <r>
    <x v="0"/>
    <x v="12"/>
    <x v="12"/>
    <x v="0"/>
    <x v="0"/>
    <x v="0"/>
    <x v="14"/>
    <x v="115"/>
    <x v="145"/>
    <x v="74"/>
    <x v="182"/>
    <x v="60"/>
    <x v="50"/>
    <x v="1"/>
  </r>
  <r>
    <x v="0"/>
    <x v="12"/>
    <x v="12"/>
    <x v="13"/>
    <x v="13"/>
    <x v="13"/>
    <x v="16"/>
    <x v="123"/>
    <x v="146"/>
    <x v="75"/>
    <x v="183"/>
    <x v="60"/>
    <x v="50"/>
    <x v="1"/>
  </r>
  <r>
    <x v="0"/>
    <x v="12"/>
    <x v="12"/>
    <x v="34"/>
    <x v="34"/>
    <x v="34"/>
    <x v="16"/>
    <x v="123"/>
    <x v="146"/>
    <x v="52"/>
    <x v="177"/>
    <x v="69"/>
    <x v="102"/>
    <x v="1"/>
  </r>
  <r>
    <x v="0"/>
    <x v="12"/>
    <x v="12"/>
    <x v="16"/>
    <x v="16"/>
    <x v="16"/>
    <x v="18"/>
    <x v="124"/>
    <x v="32"/>
    <x v="74"/>
    <x v="182"/>
    <x v="78"/>
    <x v="145"/>
    <x v="1"/>
  </r>
  <r>
    <x v="0"/>
    <x v="12"/>
    <x v="12"/>
    <x v="42"/>
    <x v="42"/>
    <x v="42"/>
    <x v="18"/>
    <x v="124"/>
    <x v="32"/>
    <x v="77"/>
    <x v="13"/>
    <x v="44"/>
    <x v="150"/>
    <x v="1"/>
  </r>
  <r>
    <x v="0"/>
    <x v="12"/>
    <x v="12"/>
    <x v="9"/>
    <x v="9"/>
    <x v="9"/>
    <x v="18"/>
    <x v="124"/>
    <x v="32"/>
    <x v="70"/>
    <x v="178"/>
    <x v="70"/>
    <x v="146"/>
    <x v="1"/>
  </r>
  <r>
    <x v="0"/>
    <x v="12"/>
    <x v="12"/>
    <x v="43"/>
    <x v="43"/>
    <x v="43"/>
    <x v="18"/>
    <x v="124"/>
    <x v="32"/>
    <x v="110"/>
    <x v="184"/>
    <x v="70"/>
    <x v="146"/>
    <x v="1"/>
  </r>
  <r>
    <x v="0"/>
    <x v="13"/>
    <x v="13"/>
    <x v="2"/>
    <x v="2"/>
    <x v="2"/>
    <x v="0"/>
    <x v="125"/>
    <x v="147"/>
    <x v="103"/>
    <x v="185"/>
    <x v="45"/>
    <x v="151"/>
    <x v="1"/>
  </r>
  <r>
    <x v="0"/>
    <x v="13"/>
    <x v="13"/>
    <x v="1"/>
    <x v="1"/>
    <x v="1"/>
    <x v="0"/>
    <x v="125"/>
    <x v="147"/>
    <x v="88"/>
    <x v="186"/>
    <x v="69"/>
    <x v="88"/>
    <x v="1"/>
  </r>
  <r>
    <x v="0"/>
    <x v="13"/>
    <x v="13"/>
    <x v="4"/>
    <x v="4"/>
    <x v="4"/>
    <x v="2"/>
    <x v="79"/>
    <x v="148"/>
    <x v="34"/>
    <x v="187"/>
    <x v="69"/>
    <x v="88"/>
    <x v="1"/>
  </r>
  <r>
    <x v="0"/>
    <x v="13"/>
    <x v="13"/>
    <x v="13"/>
    <x v="13"/>
    <x v="13"/>
    <x v="3"/>
    <x v="84"/>
    <x v="3"/>
    <x v="81"/>
    <x v="188"/>
    <x v="54"/>
    <x v="152"/>
    <x v="1"/>
  </r>
  <r>
    <x v="0"/>
    <x v="13"/>
    <x v="13"/>
    <x v="6"/>
    <x v="6"/>
    <x v="6"/>
    <x v="3"/>
    <x v="84"/>
    <x v="3"/>
    <x v="107"/>
    <x v="45"/>
    <x v="84"/>
    <x v="153"/>
    <x v="1"/>
  </r>
  <r>
    <x v="0"/>
    <x v="13"/>
    <x v="13"/>
    <x v="10"/>
    <x v="10"/>
    <x v="10"/>
    <x v="5"/>
    <x v="85"/>
    <x v="124"/>
    <x v="52"/>
    <x v="90"/>
    <x v="44"/>
    <x v="154"/>
    <x v="1"/>
  </r>
  <r>
    <x v="0"/>
    <x v="13"/>
    <x v="13"/>
    <x v="3"/>
    <x v="3"/>
    <x v="3"/>
    <x v="6"/>
    <x v="113"/>
    <x v="5"/>
    <x v="79"/>
    <x v="189"/>
    <x v="84"/>
    <x v="153"/>
    <x v="1"/>
  </r>
  <r>
    <x v="0"/>
    <x v="13"/>
    <x v="13"/>
    <x v="12"/>
    <x v="12"/>
    <x v="12"/>
    <x v="7"/>
    <x v="121"/>
    <x v="55"/>
    <x v="94"/>
    <x v="118"/>
    <x v="78"/>
    <x v="155"/>
    <x v="1"/>
  </r>
  <r>
    <x v="0"/>
    <x v="13"/>
    <x v="13"/>
    <x v="40"/>
    <x v="40"/>
    <x v="40"/>
    <x v="8"/>
    <x v="122"/>
    <x v="149"/>
    <x v="74"/>
    <x v="91"/>
    <x v="44"/>
    <x v="154"/>
    <x v="1"/>
  </r>
  <r>
    <x v="0"/>
    <x v="13"/>
    <x v="13"/>
    <x v="44"/>
    <x v="44"/>
    <x v="44"/>
    <x v="8"/>
    <x v="122"/>
    <x v="149"/>
    <x v="81"/>
    <x v="188"/>
    <x v="42"/>
    <x v="156"/>
    <x v="1"/>
  </r>
  <r>
    <x v="0"/>
    <x v="13"/>
    <x v="13"/>
    <x v="17"/>
    <x v="17"/>
    <x v="17"/>
    <x v="10"/>
    <x v="114"/>
    <x v="150"/>
    <x v="74"/>
    <x v="91"/>
    <x v="42"/>
    <x v="156"/>
    <x v="1"/>
  </r>
  <r>
    <x v="0"/>
    <x v="13"/>
    <x v="13"/>
    <x v="23"/>
    <x v="23"/>
    <x v="23"/>
    <x v="11"/>
    <x v="115"/>
    <x v="136"/>
    <x v="80"/>
    <x v="145"/>
    <x v="84"/>
    <x v="153"/>
    <x v="1"/>
  </r>
  <r>
    <x v="0"/>
    <x v="13"/>
    <x v="13"/>
    <x v="43"/>
    <x v="43"/>
    <x v="43"/>
    <x v="12"/>
    <x v="123"/>
    <x v="151"/>
    <x v="110"/>
    <x v="184"/>
    <x v="76"/>
    <x v="157"/>
    <x v="1"/>
  </r>
  <r>
    <x v="0"/>
    <x v="13"/>
    <x v="13"/>
    <x v="19"/>
    <x v="19"/>
    <x v="19"/>
    <x v="13"/>
    <x v="124"/>
    <x v="106"/>
    <x v="101"/>
    <x v="31"/>
    <x v="60"/>
    <x v="12"/>
    <x v="1"/>
  </r>
  <r>
    <x v="0"/>
    <x v="13"/>
    <x v="13"/>
    <x v="14"/>
    <x v="14"/>
    <x v="14"/>
    <x v="13"/>
    <x v="124"/>
    <x v="106"/>
    <x v="81"/>
    <x v="188"/>
    <x v="84"/>
    <x v="153"/>
    <x v="1"/>
  </r>
  <r>
    <x v="0"/>
    <x v="13"/>
    <x v="13"/>
    <x v="5"/>
    <x v="5"/>
    <x v="5"/>
    <x v="15"/>
    <x v="126"/>
    <x v="78"/>
    <x v="77"/>
    <x v="65"/>
    <x v="42"/>
    <x v="156"/>
    <x v="1"/>
  </r>
  <r>
    <x v="0"/>
    <x v="13"/>
    <x v="13"/>
    <x v="45"/>
    <x v="45"/>
    <x v="45"/>
    <x v="15"/>
    <x v="126"/>
    <x v="78"/>
    <x v="75"/>
    <x v="64"/>
    <x v="78"/>
    <x v="155"/>
    <x v="1"/>
  </r>
  <r>
    <x v="0"/>
    <x v="13"/>
    <x v="13"/>
    <x v="9"/>
    <x v="9"/>
    <x v="9"/>
    <x v="15"/>
    <x v="126"/>
    <x v="78"/>
    <x v="75"/>
    <x v="64"/>
    <x v="78"/>
    <x v="155"/>
    <x v="1"/>
  </r>
  <r>
    <x v="0"/>
    <x v="13"/>
    <x v="13"/>
    <x v="0"/>
    <x v="0"/>
    <x v="0"/>
    <x v="15"/>
    <x v="126"/>
    <x v="78"/>
    <x v="74"/>
    <x v="91"/>
    <x v="84"/>
    <x v="153"/>
    <x v="1"/>
  </r>
  <r>
    <x v="0"/>
    <x v="13"/>
    <x v="13"/>
    <x v="7"/>
    <x v="7"/>
    <x v="7"/>
    <x v="15"/>
    <x v="126"/>
    <x v="78"/>
    <x v="80"/>
    <x v="145"/>
    <x v="72"/>
    <x v="77"/>
    <x v="1"/>
  </r>
  <r>
    <x v="0"/>
    <x v="14"/>
    <x v="14"/>
    <x v="2"/>
    <x v="2"/>
    <x v="2"/>
    <x v="0"/>
    <x v="59"/>
    <x v="152"/>
    <x v="111"/>
    <x v="190"/>
    <x v="73"/>
    <x v="52"/>
    <x v="1"/>
  </r>
  <r>
    <x v="0"/>
    <x v="14"/>
    <x v="14"/>
    <x v="1"/>
    <x v="1"/>
    <x v="1"/>
    <x v="1"/>
    <x v="63"/>
    <x v="153"/>
    <x v="112"/>
    <x v="191"/>
    <x v="60"/>
    <x v="158"/>
    <x v="1"/>
  </r>
  <r>
    <x v="0"/>
    <x v="14"/>
    <x v="14"/>
    <x v="5"/>
    <x v="5"/>
    <x v="5"/>
    <x v="2"/>
    <x v="94"/>
    <x v="154"/>
    <x v="101"/>
    <x v="192"/>
    <x v="50"/>
    <x v="159"/>
    <x v="1"/>
  </r>
  <r>
    <x v="0"/>
    <x v="14"/>
    <x v="14"/>
    <x v="3"/>
    <x v="3"/>
    <x v="3"/>
    <x v="3"/>
    <x v="99"/>
    <x v="124"/>
    <x v="34"/>
    <x v="193"/>
    <x v="57"/>
    <x v="160"/>
    <x v="1"/>
  </r>
  <r>
    <x v="0"/>
    <x v="14"/>
    <x v="14"/>
    <x v="7"/>
    <x v="7"/>
    <x v="7"/>
    <x v="3"/>
    <x v="99"/>
    <x v="124"/>
    <x v="113"/>
    <x v="194"/>
    <x v="84"/>
    <x v="4"/>
    <x v="1"/>
  </r>
  <r>
    <x v="0"/>
    <x v="14"/>
    <x v="14"/>
    <x v="10"/>
    <x v="10"/>
    <x v="10"/>
    <x v="5"/>
    <x v="102"/>
    <x v="155"/>
    <x v="80"/>
    <x v="130"/>
    <x v="26"/>
    <x v="161"/>
    <x v="1"/>
  </r>
  <r>
    <x v="0"/>
    <x v="14"/>
    <x v="14"/>
    <x v="4"/>
    <x v="4"/>
    <x v="4"/>
    <x v="6"/>
    <x v="103"/>
    <x v="24"/>
    <x v="72"/>
    <x v="195"/>
    <x v="84"/>
    <x v="4"/>
    <x v="1"/>
  </r>
  <r>
    <x v="0"/>
    <x v="14"/>
    <x v="14"/>
    <x v="13"/>
    <x v="13"/>
    <x v="13"/>
    <x v="7"/>
    <x v="110"/>
    <x v="149"/>
    <x v="80"/>
    <x v="130"/>
    <x v="74"/>
    <x v="162"/>
    <x v="1"/>
  </r>
  <r>
    <x v="0"/>
    <x v="14"/>
    <x v="14"/>
    <x v="12"/>
    <x v="12"/>
    <x v="12"/>
    <x v="7"/>
    <x v="110"/>
    <x v="149"/>
    <x v="79"/>
    <x v="49"/>
    <x v="41"/>
    <x v="32"/>
    <x v="1"/>
  </r>
  <r>
    <x v="0"/>
    <x v="14"/>
    <x v="14"/>
    <x v="0"/>
    <x v="0"/>
    <x v="0"/>
    <x v="9"/>
    <x v="79"/>
    <x v="156"/>
    <x v="70"/>
    <x v="196"/>
    <x v="41"/>
    <x v="32"/>
    <x v="0"/>
  </r>
  <r>
    <x v="0"/>
    <x v="14"/>
    <x v="14"/>
    <x v="43"/>
    <x v="43"/>
    <x v="43"/>
    <x v="9"/>
    <x v="79"/>
    <x v="156"/>
    <x v="110"/>
    <x v="184"/>
    <x v="72"/>
    <x v="77"/>
    <x v="1"/>
  </r>
  <r>
    <x v="0"/>
    <x v="14"/>
    <x v="14"/>
    <x v="33"/>
    <x v="33"/>
    <x v="33"/>
    <x v="11"/>
    <x v="104"/>
    <x v="157"/>
    <x v="110"/>
    <x v="184"/>
    <x v="63"/>
    <x v="62"/>
    <x v="1"/>
  </r>
  <r>
    <x v="0"/>
    <x v="14"/>
    <x v="14"/>
    <x v="19"/>
    <x v="19"/>
    <x v="19"/>
    <x v="12"/>
    <x v="107"/>
    <x v="59"/>
    <x v="75"/>
    <x v="32"/>
    <x v="41"/>
    <x v="32"/>
    <x v="1"/>
  </r>
  <r>
    <x v="0"/>
    <x v="14"/>
    <x v="14"/>
    <x v="15"/>
    <x v="15"/>
    <x v="15"/>
    <x v="12"/>
    <x v="107"/>
    <x v="59"/>
    <x v="70"/>
    <x v="196"/>
    <x v="45"/>
    <x v="117"/>
    <x v="1"/>
  </r>
  <r>
    <x v="0"/>
    <x v="14"/>
    <x v="14"/>
    <x v="25"/>
    <x v="25"/>
    <x v="25"/>
    <x v="12"/>
    <x v="107"/>
    <x v="59"/>
    <x v="79"/>
    <x v="49"/>
    <x v="75"/>
    <x v="163"/>
    <x v="1"/>
  </r>
  <r>
    <x v="0"/>
    <x v="14"/>
    <x v="14"/>
    <x v="14"/>
    <x v="14"/>
    <x v="14"/>
    <x v="15"/>
    <x v="80"/>
    <x v="158"/>
    <x v="93"/>
    <x v="118"/>
    <x v="56"/>
    <x v="142"/>
    <x v="1"/>
  </r>
  <r>
    <x v="0"/>
    <x v="14"/>
    <x v="14"/>
    <x v="23"/>
    <x v="23"/>
    <x v="23"/>
    <x v="16"/>
    <x v="81"/>
    <x v="61"/>
    <x v="79"/>
    <x v="49"/>
    <x v="25"/>
    <x v="164"/>
    <x v="1"/>
  </r>
  <r>
    <x v="0"/>
    <x v="14"/>
    <x v="14"/>
    <x v="9"/>
    <x v="9"/>
    <x v="9"/>
    <x v="16"/>
    <x v="81"/>
    <x v="61"/>
    <x v="79"/>
    <x v="49"/>
    <x v="25"/>
    <x v="164"/>
    <x v="1"/>
  </r>
  <r>
    <x v="0"/>
    <x v="14"/>
    <x v="14"/>
    <x v="11"/>
    <x v="11"/>
    <x v="11"/>
    <x v="18"/>
    <x v="82"/>
    <x v="46"/>
    <x v="79"/>
    <x v="49"/>
    <x v="44"/>
    <x v="34"/>
    <x v="1"/>
  </r>
  <r>
    <x v="0"/>
    <x v="14"/>
    <x v="14"/>
    <x v="17"/>
    <x v="17"/>
    <x v="17"/>
    <x v="19"/>
    <x v="83"/>
    <x v="19"/>
    <x v="76"/>
    <x v="197"/>
    <x v="55"/>
    <x v="50"/>
    <x v="1"/>
  </r>
  <r>
    <x v="0"/>
    <x v="14"/>
    <x v="14"/>
    <x v="21"/>
    <x v="21"/>
    <x v="21"/>
    <x v="19"/>
    <x v="83"/>
    <x v="19"/>
    <x v="74"/>
    <x v="93"/>
    <x v="68"/>
    <x v="165"/>
    <x v="1"/>
  </r>
  <r>
    <x v="0"/>
    <x v="14"/>
    <x v="14"/>
    <x v="18"/>
    <x v="18"/>
    <x v="18"/>
    <x v="19"/>
    <x v="83"/>
    <x v="19"/>
    <x v="110"/>
    <x v="184"/>
    <x v="73"/>
    <x v="52"/>
    <x v="1"/>
  </r>
  <r>
    <x v="0"/>
    <x v="14"/>
    <x v="14"/>
    <x v="46"/>
    <x v="46"/>
    <x v="46"/>
    <x v="19"/>
    <x v="83"/>
    <x v="19"/>
    <x v="70"/>
    <x v="196"/>
    <x v="54"/>
    <x v="166"/>
    <x v="1"/>
  </r>
  <r>
    <x v="0"/>
    <x v="15"/>
    <x v="15"/>
    <x v="1"/>
    <x v="1"/>
    <x v="1"/>
    <x v="0"/>
    <x v="49"/>
    <x v="159"/>
    <x v="114"/>
    <x v="198"/>
    <x v="44"/>
    <x v="167"/>
    <x v="1"/>
  </r>
  <r>
    <x v="0"/>
    <x v="15"/>
    <x v="15"/>
    <x v="0"/>
    <x v="0"/>
    <x v="0"/>
    <x v="1"/>
    <x v="50"/>
    <x v="160"/>
    <x v="87"/>
    <x v="199"/>
    <x v="45"/>
    <x v="168"/>
    <x v="1"/>
  </r>
  <r>
    <x v="0"/>
    <x v="15"/>
    <x v="15"/>
    <x v="47"/>
    <x v="47"/>
    <x v="47"/>
    <x v="2"/>
    <x v="127"/>
    <x v="112"/>
    <x v="103"/>
    <x v="200"/>
    <x v="54"/>
    <x v="70"/>
    <x v="1"/>
  </r>
  <r>
    <x v="0"/>
    <x v="15"/>
    <x v="15"/>
    <x v="4"/>
    <x v="4"/>
    <x v="4"/>
    <x v="3"/>
    <x v="95"/>
    <x v="52"/>
    <x v="28"/>
    <x v="201"/>
    <x v="78"/>
    <x v="22"/>
    <x v="1"/>
  </r>
  <r>
    <x v="0"/>
    <x v="15"/>
    <x v="15"/>
    <x v="3"/>
    <x v="3"/>
    <x v="3"/>
    <x v="4"/>
    <x v="128"/>
    <x v="54"/>
    <x v="72"/>
    <x v="181"/>
    <x v="76"/>
    <x v="104"/>
    <x v="1"/>
  </r>
  <r>
    <x v="0"/>
    <x v="15"/>
    <x v="15"/>
    <x v="7"/>
    <x v="7"/>
    <x v="7"/>
    <x v="5"/>
    <x v="101"/>
    <x v="55"/>
    <x v="103"/>
    <x v="200"/>
    <x v="69"/>
    <x v="169"/>
    <x v="0"/>
  </r>
  <r>
    <x v="0"/>
    <x v="15"/>
    <x v="15"/>
    <x v="9"/>
    <x v="9"/>
    <x v="9"/>
    <x v="6"/>
    <x v="102"/>
    <x v="93"/>
    <x v="100"/>
    <x v="202"/>
    <x v="54"/>
    <x v="70"/>
    <x v="1"/>
  </r>
  <r>
    <x v="0"/>
    <x v="15"/>
    <x v="15"/>
    <x v="5"/>
    <x v="5"/>
    <x v="5"/>
    <x v="7"/>
    <x v="103"/>
    <x v="161"/>
    <x v="74"/>
    <x v="17"/>
    <x v="22"/>
    <x v="170"/>
    <x v="1"/>
  </r>
  <r>
    <x v="0"/>
    <x v="15"/>
    <x v="15"/>
    <x v="11"/>
    <x v="11"/>
    <x v="11"/>
    <x v="7"/>
    <x v="103"/>
    <x v="161"/>
    <x v="115"/>
    <x v="203"/>
    <x v="75"/>
    <x v="55"/>
    <x v="1"/>
  </r>
  <r>
    <x v="0"/>
    <x v="15"/>
    <x v="15"/>
    <x v="25"/>
    <x v="25"/>
    <x v="25"/>
    <x v="7"/>
    <x v="103"/>
    <x v="161"/>
    <x v="66"/>
    <x v="204"/>
    <x v="41"/>
    <x v="171"/>
    <x v="1"/>
  </r>
  <r>
    <x v="0"/>
    <x v="15"/>
    <x v="15"/>
    <x v="10"/>
    <x v="10"/>
    <x v="10"/>
    <x v="10"/>
    <x v="110"/>
    <x v="162"/>
    <x v="68"/>
    <x v="205"/>
    <x v="55"/>
    <x v="172"/>
    <x v="1"/>
  </r>
  <r>
    <x v="0"/>
    <x v="15"/>
    <x v="15"/>
    <x v="48"/>
    <x v="48"/>
    <x v="48"/>
    <x v="11"/>
    <x v="79"/>
    <x v="136"/>
    <x v="73"/>
    <x v="108"/>
    <x v="84"/>
    <x v="173"/>
    <x v="1"/>
  </r>
  <r>
    <x v="0"/>
    <x v="15"/>
    <x v="15"/>
    <x v="49"/>
    <x v="49"/>
    <x v="49"/>
    <x v="12"/>
    <x v="111"/>
    <x v="117"/>
    <x v="108"/>
    <x v="206"/>
    <x v="42"/>
    <x v="174"/>
    <x v="1"/>
  </r>
  <r>
    <x v="0"/>
    <x v="15"/>
    <x v="15"/>
    <x v="8"/>
    <x v="8"/>
    <x v="8"/>
    <x v="12"/>
    <x v="111"/>
    <x v="117"/>
    <x v="62"/>
    <x v="207"/>
    <x v="69"/>
    <x v="169"/>
    <x v="1"/>
  </r>
  <r>
    <x v="0"/>
    <x v="15"/>
    <x v="15"/>
    <x v="13"/>
    <x v="13"/>
    <x v="13"/>
    <x v="14"/>
    <x v="105"/>
    <x v="65"/>
    <x v="77"/>
    <x v="208"/>
    <x v="79"/>
    <x v="175"/>
    <x v="1"/>
  </r>
  <r>
    <x v="0"/>
    <x v="15"/>
    <x v="15"/>
    <x v="19"/>
    <x v="19"/>
    <x v="19"/>
    <x v="15"/>
    <x v="106"/>
    <x v="163"/>
    <x v="75"/>
    <x v="209"/>
    <x v="85"/>
    <x v="162"/>
    <x v="1"/>
  </r>
  <r>
    <x v="0"/>
    <x v="15"/>
    <x v="15"/>
    <x v="12"/>
    <x v="12"/>
    <x v="12"/>
    <x v="16"/>
    <x v="81"/>
    <x v="46"/>
    <x v="104"/>
    <x v="84"/>
    <x v="76"/>
    <x v="104"/>
    <x v="1"/>
  </r>
  <r>
    <x v="0"/>
    <x v="15"/>
    <x v="15"/>
    <x v="23"/>
    <x v="23"/>
    <x v="23"/>
    <x v="16"/>
    <x v="81"/>
    <x v="46"/>
    <x v="68"/>
    <x v="205"/>
    <x v="60"/>
    <x v="176"/>
    <x v="0"/>
  </r>
  <r>
    <x v="0"/>
    <x v="15"/>
    <x v="15"/>
    <x v="14"/>
    <x v="14"/>
    <x v="14"/>
    <x v="16"/>
    <x v="81"/>
    <x v="46"/>
    <x v="107"/>
    <x v="210"/>
    <x v="60"/>
    <x v="176"/>
    <x v="1"/>
  </r>
  <r>
    <x v="0"/>
    <x v="15"/>
    <x v="15"/>
    <x v="21"/>
    <x v="21"/>
    <x v="21"/>
    <x v="19"/>
    <x v="82"/>
    <x v="19"/>
    <x v="74"/>
    <x v="17"/>
    <x v="81"/>
    <x v="177"/>
    <x v="1"/>
  </r>
  <r>
    <x v="0"/>
    <x v="16"/>
    <x v="16"/>
    <x v="1"/>
    <x v="1"/>
    <x v="1"/>
    <x v="0"/>
    <x v="129"/>
    <x v="164"/>
    <x v="116"/>
    <x v="211"/>
    <x v="75"/>
    <x v="36"/>
    <x v="1"/>
  </r>
  <r>
    <x v="0"/>
    <x v="16"/>
    <x v="16"/>
    <x v="3"/>
    <x v="3"/>
    <x v="3"/>
    <x v="1"/>
    <x v="130"/>
    <x v="165"/>
    <x v="117"/>
    <x v="212"/>
    <x v="68"/>
    <x v="51"/>
    <x v="1"/>
  </r>
  <r>
    <x v="0"/>
    <x v="16"/>
    <x v="16"/>
    <x v="0"/>
    <x v="0"/>
    <x v="0"/>
    <x v="2"/>
    <x v="52"/>
    <x v="166"/>
    <x v="65"/>
    <x v="213"/>
    <x v="50"/>
    <x v="178"/>
    <x v="1"/>
  </r>
  <r>
    <x v="0"/>
    <x v="16"/>
    <x v="16"/>
    <x v="7"/>
    <x v="7"/>
    <x v="7"/>
    <x v="2"/>
    <x v="52"/>
    <x v="166"/>
    <x v="47"/>
    <x v="214"/>
    <x v="60"/>
    <x v="179"/>
    <x v="1"/>
  </r>
  <r>
    <x v="0"/>
    <x v="16"/>
    <x v="16"/>
    <x v="8"/>
    <x v="8"/>
    <x v="8"/>
    <x v="4"/>
    <x v="98"/>
    <x v="167"/>
    <x v="118"/>
    <x v="215"/>
    <x v="72"/>
    <x v="77"/>
    <x v="1"/>
  </r>
  <r>
    <x v="0"/>
    <x v="16"/>
    <x v="16"/>
    <x v="13"/>
    <x v="13"/>
    <x v="13"/>
    <x v="5"/>
    <x v="131"/>
    <x v="168"/>
    <x v="90"/>
    <x v="62"/>
    <x v="40"/>
    <x v="180"/>
    <x v="1"/>
  </r>
  <r>
    <x v="0"/>
    <x v="16"/>
    <x v="16"/>
    <x v="10"/>
    <x v="10"/>
    <x v="10"/>
    <x v="5"/>
    <x v="131"/>
    <x v="168"/>
    <x v="64"/>
    <x v="216"/>
    <x v="88"/>
    <x v="181"/>
    <x v="1"/>
  </r>
  <r>
    <x v="0"/>
    <x v="16"/>
    <x v="16"/>
    <x v="5"/>
    <x v="5"/>
    <x v="5"/>
    <x v="7"/>
    <x v="108"/>
    <x v="169"/>
    <x v="94"/>
    <x v="13"/>
    <x v="89"/>
    <x v="182"/>
    <x v="1"/>
  </r>
  <r>
    <x v="0"/>
    <x v="16"/>
    <x v="16"/>
    <x v="4"/>
    <x v="4"/>
    <x v="4"/>
    <x v="8"/>
    <x v="66"/>
    <x v="170"/>
    <x v="119"/>
    <x v="89"/>
    <x v="70"/>
    <x v="25"/>
    <x v="1"/>
  </r>
  <r>
    <x v="0"/>
    <x v="16"/>
    <x v="16"/>
    <x v="6"/>
    <x v="6"/>
    <x v="6"/>
    <x v="9"/>
    <x v="69"/>
    <x v="6"/>
    <x v="120"/>
    <x v="217"/>
    <x v="69"/>
    <x v="183"/>
    <x v="1"/>
  </r>
  <r>
    <x v="0"/>
    <x v="16"/>
    <x v="16"/>
    <x v="12"/>
    <x v="12"/>
    <x v="12"/>
    <x v="10"/>
    <x v="119"/>
    <x v="84"/>
    <x v="100"/>
    <x v="218"/>
    <x v="83"/>
    <x v="64"/>
    <x v="1"/>
  </r>
  <r>
    <x v="0"/>
    <x v="16"/>
    <x v="16"/>
    <x v="25"/>
    <x v="25"/>
    <x v="25"/>
    <x v="10"/>
    <x v="119"/>
    <x v="84"/>
    <x v="36"/>
    <x v="219"/>
    <x v="44"/>
    <x v="71"/>
    <x v="1"/>
  </r>
  <r>
    <x v="0"/>
    <x v="16"/>
    <x v="16"/>
    <x v="15"/>
    <x v="15"/>
    <x v="15"/>
    <x v="12"/>
    <x v="93"/>
    <x v="171"/>
    <x v="90"/>
    <x v="62"/>
    <x v="63"/>
    <x v="184"/>
    <x v="1"/>
  </r>
  <r>
    <x v="0"/>
    <x v="16"/>
    <x v="16"/>
    <x v="9"/>
    <x v="9"/>
    <x v="9"/>
    <x v="13"/>
    <x v="94"/>
    <x v="172"/>
    <x v="89"/>
    <x v="220"/>
    <x v="45"/>
    <x v="113"/>
    <x v="1"/>
  </r>
  <r>
    <x v="0"/>
    <x v="16"/>
    <x v="16"/>
    <x v="21"/>
    <x v="21"/>
    <x v="21"/>
    <x v="14"/>
    <x v="128"/>
    <x v="158"/>
    <x v="68"/>
    <x v="221"/>
    <x v="58"/>
    <x v="185"/>
    <x v="1"/>
  </r>
  <r>
    <x v="0"/>
    <x v="16"/>
    <x v="16"/>
    <x v="14"/>
    <x v="14"/>
    <x v="14"/>
    <x v="15"/>
    <x v="109"/>
    <x v="119"/>
    <x v="89"/>
    <x v="220"/>
    <x v="44"/>
    <x v="71"/>
    <x v="1"/>
  </r>
  <r>
    <x v="0"/>
    <x v="16"/>
    <x v="16"/>
    <x v="11"/>
    <x v="11"/>
    <x v="11"/>
    <x v="15"/>
    <x v="109"/>
    <x v="119"/>
    <x v="62"/>
    <x v="222"/>
    <x v="57"/>
    <x v="120"/>
    <x v="1"/>
  </r>
  <r>
    <x v="0"/>
    <x v="16"/>
    <x v="16"/>
    <x v="40"/>
    <x v="40"/>
    <x v="40"/>
    <x v="17"/>
    <x v="120"/>
    <x v="78"/>
    <x v="91"/>
    <x v="16"/>
    <x v="57"/>
    <x v="120"/>
    <x v="1"/>
  </r>
  <r>
    <x v="0"/>
    <x v="16"/>
    <x v="16"/>
    <x v="22"/>
    <x v="22"/>
    <x v="22"/>
    <x v="18"/>
    <x v="101"/>
    <x v="17"/>
    <x v="37"/>
    <x v="126"/>
    <x v="41"/>
    <x v="35"/>
    <x v="1"/>
  </r>
  <r>
    <x v="0"/>
    <x v="16"/>
    <x v="16"/>
    <x v="16"/>
    <x v="16"/>
    <x v="16"/>
    <x v="19"/>
    <x v="102"/>
    <x v="19"/>
    <x v="91"/>
    <x v="16"/>
    <x v="75"/>
    <x v="36"/>
    <x v="1"/>
  </r>
  <r>
    <x v="0"/>
    <x v="17"/>
    <x v="17"/>
    <x v="0"/>
    <x v="0"/>
    <x v="0"/>
    <x v="0"/>
    <x v="132"/>
    <x v="173"/>
    <x v="121"/>
    <x v="223"/>
    <x v="76"/>
    <x v="160"/>
    <x v="1"/>
  </r>
  <r>
    <x v="0"/>
    <x v="17"/>
    <x v="17"/>
    <x v="1"/>
    <x v="1"/>
    <x v="1"/>
    <x v="1"/>
    <x v="59"/>
    <x v="174"/>
    <x v="122"/>
    <x v="224"/>
    <x v="60"/>
    <x v="81"/>
    <x v="1"/>
  </r>
  <r>
    <x v="0"/>
    <x v="17"/>
    <x v="17"/>
    <x v="4"/>
    <x v="4"/>
    <x v="4"/>
    <x v="2"/>
    <x v="93"/>
    <x v="175"/>
    <x v="123"/>
    <x v="225"/>
    <x v="70"/>
    <x v="186"/>
    <x v="1"/>
  </r>
  <r>
    <x v="0"/>
    <x v="17"/>
    <x v="17"/>
    <x v="5"/>
    <x v="5"/>
    <x v="5"/>
    <x v="3"/>
    <x v="94"/>
    <x v="123"/>
    <x v="94"/>
    <x v="226"/>
    <x v="24"/>
    <x v="187"/>
    <x v="1"/>
  </r>
  <r>
    <x v="0"/>
    <x v="17"/>
    <x v="17"/>
    <x v="3"/>
    <x v="3"/>
    <x v="3"/>
    <x v="4"/>
    <x v="128"/>
    <x v="168"/>
    <x v="38"/>
    <x v="227"/>
    <x v="44"/>
    <x v="188"/>
    <x v="1"/>
  </r>
  <r>
    <x v="0"/>
    <x v="17"/>
    <x v="17"/>
    <x v="7"/>
    <x v="7"/>
    <x v="7"/>
    <x v="5"/>
    <x v="101"/>
    <x v="40"/>
    <x v="54"/>
    <x v="228"/>
    <x v="72"/>
    <x v="77"/>
    <x v="1"/>
  </r>
  <r>
    <x v="0"/>
    <x v="17"/>
    <x v="17"/>
    <x v="6"/>
    <x v="6"/>
    <x v="6"/>
    <x v="6"/>
    <x v="76"/>
    <x v="55"/>
    <x v="38"/>
    <x v="227"/>
    <x v="70"/>
    <x v="186"/>
    <x v="1"/>
  </r>
  <r>
    <x v="0"/>
    <x v="17"/>
    <x v="17"/>
    <x v="8"/>
    <x v="8"/>
    <x v="8"/>
    <x v="7"/>
    <x v="77"/>
    <x v="28"/>
    <x v="51"/>
    <x v="229"/>
    <x v="70"/>
    <x v="186"/>
    <x v="1"/>
  </r>
  <r>
    <x v="0"/>
    <x v="17"/>
    <x v="17"/>
    <x v="11"/>
    <x v="11"/>
    <x v="11"/>
    <x v="7"/>
    <x v="77"/>
    <x v="28"/>
    <x v="109"/>
    <x v="230"/>
    <x v="60"/>
    <x v="81"/>
    <x v="1"/>
  </r>
  <r>
    <x v="0"/>
    <x v="17"/>
    <x v="17"/>
    <x v="17"/>
    <x v="17"/>
    <x v="17"/>
    <x v="9"/>
    <x v="106"/>
    <x v="146"/>
    <x v="81"/>
    <x v="27"/>
    <x v="71"/>
    <x v="78"/>
    <x v="1"/>
  </r>
  <r>
    <x v="0"/>
    <x v="17"/>
    <x v="17"/>
    <x v="21"/>
    <x v="21"/>
    <x v="21"/>
    <x v="9"/>
    <x v="106"/>
    <x v="146"/>
    <x v="80"/>
    <x v="231"/>
    <x v="45"/>
    <x v="189"/>
    <x v="1"/>
  </r>
  <r>
    <x v="0"/>
    <x v="17"/>
    <x v="17"/>
    <x v="9"/>
    <x v="9"/>
    <x v="9"/>
    <x v="9"/>
    <x v="106"/>
    <x v="146"/>
    <x v="107"/>
    <x v="232"/>
    <x v="25"/>
    <x v="144"/>
    <x v="1"/>
  </r>
  <r>
    <x v="0"/>
    <x v="17"/>
    <x v="17"/>
    <x v="10"/>
    <x v="10"/>
    <x v="10"/>
    <x v="12"/>
    <x v="80"/>
    <x v="106"/>
    <x v="68"/>
    <x v="233"/>
    <x v="44"/>
    <x v="188"/>
    <x v="1"/>
  </r>
  <r>
    <x v="0"/>
    <x v="17"/>
    <x v="17"/>
    <x v="14"/>
    <x v="14"/>
    <x v="14"/>
    <x v="13"/>
    <x v="82"/>
    <x v="78"/>
    <x v="66"/>
    <x v="222"/>
    <x v="42"/>
    <x v="56"/>
    <x v="1"/>
  </r>
  <r>
    <x v="0"/>
    <x v="17"/>
    <x v="17"/>
    <x v="13"/>
    <x v="13"/>
    <x v="13"/>
    <x v="14"/>
    <x v="83"/>
    <x v="18"/>
    <x v="76"/>
    <x v="234"/>
    <x v="55"/>
    <x v="118"/>
    <x v="1"/>
  </r>
  <r>
    <x v="0"/>
    <x v="17"/>
    <x v="17"/>
    <x v="15"/>
    <x v="15"/>
    <x v="15"/>
    <x v="14"/>
    <x v="83"/>
    <x v="18"/>
    <x v="52"/>
    <x v="155"/>
    <x v="76"/>
    <x v="160"/>
    <x v="1"/>
  </r>
  <r>
    <x v="0"/>
    <x v="17"/>
    <x v="17"/>
    <x v="25"/>
    <x v="25"/>
    <x v="25"/>
    <x v="14"/>
    <x v="83"/>
    <x v="18"/>
    <x v="68"/>
    <x v="233"/>
    <x v="56"/>
    <x v="190"/>
    <x v="1"/>
  </r>
  <r>
    <x v="0"/>
    <x v="17"/>
    <x v="17"/>
    <x v="28"/>
    <x v="28"/>
    <x v="28"/>
    <x v="17"/>
    <x v="84"/>
    <x v="47"/>
    <x v="70"/>
    <x v="221"/>
    <x v="75"/>
    <x v="65"/>
    <x v="1"/>
  </r>
  <r>
    <x v="0"/>
    <x v="17"/>
    <x v="17"/>
    <x v="19"/>
    <x v="19"/>
    <x v="19"/>
    <x v="18"/>
    <x v="112"/>
    <x v="176"/>
    <x v="75"/>
    <x v="235"/>
    <x v="54"/>
    <x v="76"/>
    <x v="1"/>
  </r>
  <r>
    <x v="0"/>
    <x v="17"/>
    <x v="17"/>
    <x v="16"/>
    <x v="16"/>
    <x v="16"/>
    <x v="18"/>
    <x v="112"/>
    <x v="176"/>
    <x v="52"/>
    <x v="155"/>
    <x v="42"/>
    <x v="56"/>
    <x v="1"/>
  </r>
  <r>
    <x v="0"/>
    <x v="17"/>
    <x v="17"/>
    <x v="26"/>
    <x v="26"/>
    <x v="26"/>
    <x v="18"/>
    <x v="112"/>
    <x v="176"/>
    <x v="107"/>
    <x v="232"/>
    <x v="69"/>
    <x v="191"/>
    <x v="1"/>
  </r>
  <r>
    <x v="0"/>
    <x v="17"/>
    <x v="17"/>
    <x v="24"/>
    <x v="24"/>
    <x v="24"/>
    <x v="18"/>
    <x v="112"/>
    <x v="176"/>
    <x v="79"/>
    <x v="144"/>
    <x v="78"/>
    <x v="192"/>
    <x v="1"/>
  </r>
  <r>
    <x v="0"/>
    <x v="18"/>
    <x v="18"/>
    <x v="5"/>
    <x v="5"/>
    <x v="5"/>
    <x v="0"/>
    <x v="128"/>
    <x v="177"/>
    <x v="79"/>
    <x v="236"/>
    <x v="22"/>
    <x v="193"/>
    <x v="1"/>
  </r>
  <r>
    <x v="0"/>
    <x v="18"/>
    <x v="18"/>
    <x v="1"/>
    <x v="1"/>
    <x v="1"/>
    <x v="1"/>
    <x v="120"/>
    <x v="178"/>
    <x v="54"/>
    <x v="237"/>
    <x v="69"/>
    <x v="194"/>
    <x v="1"/>
  </r>
  <r>
    <x v="0"/>
    <x v="18"/>
    <x v="18"/>
    <x v="10"/>
    <x v="10"/>
    <x v="10"/>
    <x v="2"/>
    <x v="104"/>
    <x v="179"/>
    <x v="68"/>
    <x v="238"/>
    <x v="57"/>
    <x v="195"/>
    <x v="1"/>
  </r>
  <r>
    <x v="0"/>
    <x v="18"/>
    <x v="18"/>
    <x v="4"/>
    <x v="4"/>
    <x v="4"/>
    <x v="3"/>
    <x v="81"/>
    <x v="180"/>
    <x v="115"/>
    <x v="225"/>
    <x v="72"/>
    <x v="77"/>
    <x v="1"/>
  </r>
  <r>
    <x v="0"/>
    <x v="18"/>
    <x v="18"/>
    <x v="3"/>
    <x v="3"/>
    <x v="3"/>
    <x v="4"/>
    <x v="82"/>
    <x v="181"/>
    <x v="93"/>
    <x v="239"/>
    <x v="84"/>
    <x v="134"/>
    <x v="1"/>
  </r>
  <r>
    <x v="0"/>
    <x v="18"/>
    <x v="18"/>
    <x v="19"/>
    <x v="19"/>
    <x v="19"/>
    <x v="5"/>
    <x v="85"/>
    <x v="133"/>
    <x v="81"/>
    <x v="240"/>
    <x v="75"/>
    <x v="196"/>
    <x v="1"/>
  </r>
  <r>
    <x v="0"/>
    <x v="18"/>
    <x v="18"/>
    <x v="17"/>
    <x v="17"/>
    <x v="17"/>
    <x v="6"/>
    <x v="112"/>
    <x v="182"/>
    <x v="81"/>
    <x v="240"/>
    <x v="76"/>
    <x v="197"/>
    <x v="1"/>
  </r>
  <r>
    <x v="0"/>
    <x v="18"/>
    <x v="18"/>
    <x v="7"/>
    <x v="7"/>
    <x v="7"/>
    <x v="7"/>
    <x v="113"/>
    <x v="126"/>
    <x v="66"/>
    <x v="241"/>
    <x v="70"/>
    <x v="83"/>
    <x v="1"/>
  </r>
  <r>
    <x v="0"/>
    <x v="18"/>
    <x v="18"/>
    <x v="0"/>
    <x v="0"/>
    <x v="0"/>
    <x v="8"/>
    <x v="121"/>
    <x v="25"/>
    <x v="80"/>
    <x v="242"/>
    <x v="60"/>
    <x v="198"/>
    <x v="1"/>
  </r>
  <r>
    <x v="0"/>
    <x v="18"/>
    <x v="18"/>
    <x v="8"/>
    <x v="8"/>
    <x v="8"/>
    <x v="8"/>
    <x v="121"/>
    <x v="25"/>
    <x v="68"/>
    <x v="238"/>
    <x v="72"/>
    <x v="77"/>
    <x v="1"/>
  </r>
  <r>
    <x v="0"/>
    <x v="18"/>
    <x v="18"/>
    <x v="12"/>
    <x v="12"/>
    <x v="12"/>
    <x v="10"/>
    <x v="114"/>
    <x v="12"/>
    <x v="79"/>
    <x v="236"/>
    <x v="72"/>
    <x v="77"/>
    <x v="1"/>
  </r>
  <r>
    <x v="0"/>
    <x v="18"/>
    <x v="18"/>
    <x v="9"/>
    <x v="9"/>
    <x v="9"/>
    <x v="10"/>
    <x v="114"/>
    <x v="12"/>
    <x v="81"/>
    <x v="240"/>
    <x v="60"/>
    <x v="198"/>
    <x v="1"/>
  </r>
  <r>
    <x v="0"/>
    <x v="18"/>
    <x v="18"/>
    <x v="13"/>
    <x v="13"/>
    <x v="13"/>
    <x v="12"/>
    <x v="123"/>
    <x v="118"/>
    <x v="77"/>
    <x v="243"/>
    <x v="25"/>
    <x v="199"/>
    <x v="1"/>
  </r>
  <r>
    <x v="0"/>
    <x v="18"/>
    <x v="18"/>
    <x v="36"/>
    <x v="36"/>
    <x v="36"/>
    <x v="12"/>
    <x v="123"/>
    <x v="118"/>
    <x v="94"/>
    <x v="244"/>
    <x v="72"/>
    <x v="77"/>
    <x v="1"/>
  </r>
  <r>
    <x v="0"/>
    <x v="18"/>
    <x v="18"/>
    <x v="6"/>
    <x v="6"/>
    <x v="6"/>
    <x v="12"/>
    <x v="123"/>
    <x v="118"/>
    <x v="94"/>
    <x v="244"/>
    <x v="72"/>
    <x v="77"/>
    <x v="1"/>
  </r>
  <r>
    <x v="0"/>
    <x v="18"/>
    <x v="18"/>
    <x v="21"/>
    <x v="21"/>
    <x v="21"/>
    <x v="15"/>
    <x v="126"/>
    <x v="79"/>
    <x v="75"/>
    <x v="245"/>
    <x v="78"/>
    <x v="40"/>
    <x v="1"/>
  </r>
  <r>
    <x v="0"/>
    <x v="18"/>
    <x v="18"/>
    <x v="15"/>
    <x v="15"/>
    <x v="15"/>
    <x v="15"/>
    <x v="126"/>
    <x v="79"/>
    <x v="75"/>
    <x v="245"/>
    <x v="78"/>
    <x v="40"/>
    <x v="1"/>
  </r>
  <r>
    <x v="0"/>
    <x v="18"/>
    <x v="18"/>
    <x v="14"/>
    <x v="14"/>
    <x v="14"/>
    <x v="15"/>
    <x v="126"/>
    <x v="79"/>
    <x v="70"/>
    <x v="132"/>
    <x v="69"/>
    <x v="194"/>
    <x v="1"/>
  </r>
  <r>
    <x v="0"/>
    <x v="18"/>
    <x v="18"/>
    <x v="48"/>
    <x v="48"/>
    <x v="48"/>
    <x v="15"/>
    <x v="126"/>
    <x v="79"/>
    <x v="73"/>
    <x v="246"/>
    <x v="69"/>
    <x v="194"/>
    <x v="1"/>
  </r>
  <r>
    <x v="0"/>
    <x v="18"/>
    <x v="18"/>
    <x v="40"/>
    <x v="40"/>
    <x v="40"/>
    <x v="19"/>
    <x v="133"/>
    <x v="183"/>
    <x v="101"/>
    <x v="247"/>
    <x v="78"/>
    <x v="40"/>
    <x v="1"/>
  </r>
  <r>
    <x v="0"/>
    <x v="18"/>
    <x v="18"/>
    <x v="2"/>
    <x v="2"/>
    <x v="2"/>
    <x v="19"/>
    <x v="133"/>
    <x v="183"/>
    <x v="75"/>
    <x v="245"/>
    <x v="70"/>
    <x v="83"/>
    <x v="1"/>
  </r>
  <r>
    <x v="0"/>
    <x v="18"/>
    <x v="18"/>
    <x v="34"/>
    <x v="34"/>
    <x v="34"/>
    <x v="19"/>
    <x v="133"/>
    <x v="183"/>
    <x v="75"/>
    <x v="245"/>
    <x v="84"/>
    <x v="134"/>
    <x v="1"/>
  </r>
  <r>
    <x v="0"/>
    <x v="18"/>
    <x v="18"/>
    <x v="43"/>
    <x v="43"/>
    <x v="43"/>
    <x v="19"/>
    <x v="133"/>
    <x v="183"/>
    <x v="110"/>
    <x v="184"/>
    <x v="72"/>
    <x v="77"/>
    <x v="1"/>
  </r>
  <r>
    <x v="0"/>
    <x v="19"/>
    <x v="19"/>
    <x v="1"/>
    <x v="1"/>
    <x v="1"/>
    <x v="0"/>
    <x v="134"/>
    <x v="184"/>
    <x v="124"/>
    <x v="248"/>
    <x v="57"/>
    <x v="21"/>
    <x v="1"/>
  </r>
  <r>
    <x v="0"/>
    <x v="19"/>
    <x v="19"/>
    <x v="0"/>
    <x v="0"/>
    <x v="0"/>
    <x v="1"/>
    <x v="135"/>
    <x v="185"/>
    <x v="63"/>
    <x v="249"/>
    <x v="62"/>
    <x v="200"/>
    <x v="1"/>
  </r>
  <r>
    <x v="0"/>
    <x v="19"/>
    <x v="19"/>
    <x v="3"/>
    <x v="3"/>
    <x v="3"/>
    <x v="2"/>
    <x v="131"/>
    <x v="89"/>
    <x v="120"/>
    <x v="250"/>
    <x v="54"/>
    <x v="51"/>
    <x v="1"/>
  </r>
  <r>
    <x v="0"/>
    <x v="19"/>
    <x v="19"/>
    <x v="5"/>
    <x v="5"/>
    <x v="5"/>
    <x v="3"/>
    <x v="118"/>
    <x v="123"/>
    <x v="80"/>
    <x v="32"/>
    <x v="89"/>
    <x v="201"/>
    <x v="1"/>
  </r>
  <r>
    <x v="0"/>
    <x v="19"/>
    <x v="19"/>
    <x v="11"/>
    <x v="11"/>
    <x v="11"/>
    <x v="4"/>
    <x v="68"/>
    <x v="111"/>
    <x v="123"/>
    <x v="193"/>
    <x v="68"/>
    <x v="55"/>
    <x v="1"/>
  </r>
  <r>
    <x v="0"/>
    <x v="19"/>
    <x v="19"/>
    <x v="4"/>
    <x v="4"/>
    <x v="4"/>
    <x v="5"/>
    <x v="91"/>
    <x v="186"/>
    <x v="125"/>
    <x v="251"/>
    <x v="60"/>
    <x v="202"/>
    <x v="1"/>
  </r>
  <r>
    <x v="0"/>
    <x v="19"/>
    <x v="19"/>
    <x v="7"/>
    <x v="7"/>
    <x v="7"/>
    <x v="6"/>
    <x v="119"/>
    <x v="22"/>
    <x v="126"/>
    <x v="139"/>
    <x v="56"/>
    <x v="203"/>
    <x v="1"/>
  </r>
  <r>
    <x v="0"/>
    <x v="19"/>
    <x v="19"/>
    <x v="10"/>
    <x v="10"/>
    <x v="10"/>
    <x v="7"/>
    <x v="94"/>
    <x v="187"/>
    <x v="108"/>
    <x v="188"/>
    <x v="22"/>
    <x v="204"/>
    <x v="1"/>
  </r>
  <r>
    <x v="0"/>
    <x v="19"/>
    <x v="19"/>
    <x v="12"/>
    <x v="12"/>
    <x v="12"/>
    <x v="8"/>
    <x v="95"/>
    <x v="24"/>
    <x v="107"/>
    <x v="51"/>
    <x v="87"/>
    <x v="205"/>
    <x v="1"/>
  </r>
  <r>
    <x v="0"/>
    <x v="19"/>
    <x v="19"/>
    <x v="17"/>
    <x v="17"/>
    <x v="17"/>
    <x v="8"/>
    <x v="95"/>
    <x v="24"/>
    <x v="104"/>
    <x v="252"/>
    <x v="62"/>
    <x v="200"/>
    <x v="1"/>
  </r>
  <r>
    <x v="0"/>
    <x v="19"/>
    <x v="19"/>
    <x v="26"/>
    <x v="26"/>
    <x v="26"/>
    <x v="8"/>
    <x v="95"/>
    <x v="24"/>
    <x v="92"/>
    <x v="217"/>
    <x v="84"/>
    <x v="63"/>
    <x v="1"/>
  </r>
  <r>
    <x v="0"/>
    <x v="19"/>
    <x v="19"/>
    <x v="13"/>
    <x v="13"/>
    <x v="13"/>
    <x v="11"/>
    <x v="128"/>
    <x v="150"/>
    <x v="52"/>
    <x v="97"/>
    <x v="83"/>
    <x v="206"/>
    <x v="1"/>
  </r>
  <r>
    <x v="0"/>
    <x v="19"/>
    <x v="19"/>
    <x v="16"/>
    <x v="16"/>
    <x v="16"/>
    <x v="12"/>
    <x v="100"/>
    <x v="116"/>
    <x v="48"/>
    <x v="253"/>
    <x v="56"/>
    <x v="203"/>
    <x v="1"/>
  </r>
  <r>
    <x v="0"/>
    <x v="19"/>
    <x v="19"/>
    <x v="34"/>
    <x v="34"/>
    <x v="34"/>
    <x v="13"/>
    <x v="103"/>
    <x v="188"/>
    <x v="100"/>
    <x v="132"/>
    <x v="76"/>
    <x v="164"/>
    <x v="1"/>
  </r>
  <r>
    <x v="0"/>
    <x v="19"/>
    <x v="19"/>
    <x v="19"/>
    <x v="19"/>
    <x v="19"/>
    <x v="14"/>
    <x v="77"/>
    <x v="32"/>
    <x v="81"/>
    <x v="243"/>
    <x v="79"/>
    <x v="136"/>
    <x v="1"/>
  </r>
  <r>
    <x v="0"/>
    <x v="19"/>
    <x v="19"/>
    <x v="23"/>
    <x v="23"/>
    <x v="23"/>
    <x v="14"/>
    <x v="77"/>
    <x v="32"/>
    <x v="78"/>
    <x v="210"/>
    <x v="76"/>
    <x v="164"/>
    <x v="1"/>
  </r>
  <r>
    <x v="0"/>
    <x v="19"/>
    <x v="19"/>
    <x v="8"/>
    <x v="8"/>
    <x v="8"/>
    <x v="14"/>
    <x v="77"/>
    <x v="32"/>
    <x v="51"/>
    <x v="11"/>
    <x v="70"/>
    <x v="207"/>
    <x v="1"/>
  </r>
  <r>
    <x v="0"/>
    <x v="19"/>
    <x v="19"/>
    <x v="24"/>
    <x v="24"/>
    <x v="24"/>
    <x v="17"/>
    <x v="78"/>
    <x v="14"/>
    <x v="66"/>
    <x v="78"/>
    <x v="45"/>
    <x v="208"/>
    <x v="1"/>
  </r>
  <r>
    <x v="0"/>
    <x v="19"/>
    <x v="19"/>
    <x v="21"/>
    <x v="21"/>
    <x v="21"/>
    <x v="18"/>
    <x v="79"/>
    <x v="45"/>
    <x v="70"/>
    <x v="17"/>
    <x v="73"/>
    <x v="209"/>
    <x v="1"/>
  </r>
  <r>
    <x v="0"/>
    <x v="19"/>
    <x v="19"/>
    <x v="9"/>
    <x v="9"/>
    <x v="9"/>
    <x v="18"/>
    <x v="79"/>
    <x v="45"/>
    <x v="68"/>
    <x v="245"/>
    <x v="68"/>
    <x v="55"/>
    <x v="1"/>
  </r>
  <r>
    <x v="0"/>
    <x v="19"/>
    <x v="19"/>
    <x v="46"/>
    <x v="46"/>
    <x v="46"/>
    <x v="18"/>
    <x v="79"/>
    <x v="45"/>
    <x v="109"/>
    <x v="46"/>
    <x v="78"/>
    <x v="210"/>
    <x v="1"/>
  </r>
  <r>
    <x v="0"/>
    <x v="19"/>
    <x v="19"/>
    <x v="6"/>
    <x v="6"/>
    <x v="6"/>
    <x v="18"/>
    <x v="79"/>
    <x v="45"/>
    <x v="99"/>
    <x v="254"/>
    <x v="70"/>
    <x v="207"/>
    <x v="1"/>
  </r>
  <r>
    <x v="0"/>
    <x v="20"/>
    <x v="20"/>
    <x v="12"/>
    <x v="12"/>
    <x v="12"/>
    <x v="0"/>
    <x v="126"/>
    <x v="189"/>
    <x v="81"/>
    <x v="255"/>
    <x v="70"/>
    <x v="211"/>
    <x v="1"/>
  </r>
  <r>
    <x v="0"/>
    <x v="20"/>
    <x v="20"/>
    <x v="2"/>
    <x v="2"/>
    <x v="2"/>
    <x v="1"/>
    <x v="133"/>
    <x v="190"/>
    <x v="81"/>
    <x v="255"/>
    <x v="69"/>
    <x v="139"/>
    <x v="1"/>
  </r>
  <r>
    <x v="0"/>
    <x v="20"/>
    <x v="20"/>
    <x v="1"/>
    <x v="1"/>
    <x v="1"/>
    <x v="1"/>
    <x v="133"/>
    <x v="190"/>
    <x v="70"/>
    <x v="256"/>
    <x v="72"/>
    <x v="77"/>
    <x v="1"/>
  </r>
  <r>
    <x v="0"/>
    <x v="20"/>
    <x v="20"/>
    <x v="5"/>
    <x v="5"/>
    <x v="5"/>
    <x v="3"/>
    <x v="136"/>
    <x v="99"/>
    <x v="76"/>
    <x v="257"/>
    <x v="84"/>
    <x v="212"/>
    <x v="1"/>
  </r>
  <r>
    <x v="0"/>
    <x v="20"/>
    <x v="20"/>
    <x v="14"/>
    <x v="14"/>
    <x v="14"/>
    <x v="3"/>
    <x v="136"/>
    <x v="99"/>
    <x v="74"/>
    <x v="258"/>
    <x v="72"/>
    <x v="77"/>
    <x v="1"/>
  </r>
  <r>
    <x v="0"/>
    <x v="20"/>
    <x v="20"/>
    <x v="19"/>
    <x v="19"/>
    <x v="19"/>
    <x v="5"/>
    <x v="137"/>
    <x v="112"/>
    <x v="76"/>
    <x v="257"/>
    <x v="69"/>
    <x v="139"/>
    <x v="1"/>
  </r>
  <r>
    <x v="0"/>
    <x v="20"/>
    <x v="20"/>
    <x v="16"/>
    <x v="16"/>
    <x v="16"/>
    <x v="5"/>
    <x v="137"/>
    <x v="112"/>
    <x v="77"/>
    <x v="259"/>
    <x v="70"/>
    <x v="211"/>
    <x v="1"/>
  </r>
  <r>
    <x v="0"/>
    <x v="20"/>
    <x v="20"/>
    <x v="4"/>
    <x v="4"/>
    <x v="4"/>
    <x v="5"/>
    <x v="137"/>
    <x v="112"/>
    <x v="101"/>
    <x v="89"/>
    <x v="72"/>
    <x v="77"/>
    <x v="1"/>
  </r>
  <r>
    <x v="0"/>
    <x v="20"/>
    <x v="20"/>
    <x v="7"/>
    <x v="7"/>
    <x v="7"/>
    <x v="5"/>
    <x v="137"/>
    <x v="112"/>
    <x v="101"/>
    <x v="89"/>
    <x v="72"/>
    <x v="77"/>
    <x v="1"/>
  </r>
  <r>
    <x v="0"/>
    <x v="20"/>
    <x v="20"/>
    <x v="36"/>
    <x v="36"/>
    <x v="36"/>
    <x v="9"/>
    <x v="138"/>
    <x v="191"/>
    <x v="76"/>
    <x v="257"/>
    <x v="72"/>
    <x v="77"/>
    <x v="1"/>
  </r>
  <r>
    <x v="0"/>
    <x v="20"/>
    <x v="20"/>
    <x v="40"/>
    <x v="40"/>
    <x v="40"/>
    <x v="9"/>
    <x v="138"/>
    <x v="191"/>
    <x v="76"/>
    <x v="257"/>
    <x v="72"/>
    <x v="77"/>
    <x v="1"/>
  </r>
  <r>
    <x v="0"/>
    <x v="20"/>
    <x v="20"/>
    <x v="10"/>
    <x v="10"/>
    <x v="10"/>
    <x v="9"/>
    <x v="138"/>
    <x v="191"/>
    <x v="102"/>
    <x v="144"/>
    <x v="70"/>
    <x v="211"/>
    <x v="1"/>
  </r>
  <r>
    <x v="0"/>
    <x v="20"/>
    <x v="20"/>
    <x v="8"/>
    <x v="8"/>
    <x v="8"/>
    <x v="9"/>
    <x v="138"/>
    <x v="191"/>
    <x v="76"/>
    <x v="257"/>
    <x v="72"/>
    <x v="77"/>
    <x v="1"/>
  </r>
  <r>
    <x v="0"/>
    <x v="20"/>
    <x v="20"/>
    <x v="50"/>
    <x v="50"/>
    <x v="50"/>
    <x v="13"/>
    <x v="139"/>
    <x v="13"/>
    <x v="77"/>
    <x v="259"/>
    <x v="72"/>
    <x v="77"/>
    <x v="1"/>
  </r>
  <r>
    <x v="0"/>
    <x v="20"/>
    <x v="20"/>
    <x v="29"/>
    <x v="29"/>
    <x v="29"/>
    <x v="13"/>
    <x v="139"/>
    <x v="13"/>
    <x v="77"/>
    <x v="259"/>
    <x v="72"/>
    <x v="77"/>
    <x v="1"/>
  </r>
  <r>
    <x v="0"/>
    <x v="20"/>
    <x v="20"/>
    <x v="51"/>
    <x v="51"/>
    <x v="51"/>
    <x v="13"/>
    <x v="139"/>
    <x v="13"/>
    <x v="110"/>
    <x v="184"/>
    <x v="84"/>
    <x v="212"/>
    <x v="1"/>
  </r>
  <r>
    <x v="0"/>
    <x v="20"/>
    <x v="20"/>
    <x v="22"/>
    <x v="22"/>
    <x v="22"/>
    <x v="13"/>
    <x v="139"/>
    <x v="13"/>
    <x v="110"/>
    <x v="184"/>
    <x v="84"/>
    <x v="212"/>
    <x v="1"/>
  </r>
  <r>
    <x v="0"/>
    <x v="20"/>
    <x v="20"/>
    <x v="52"/>
    <x v="52"/>
    <x v="52"/>
    <x v="13"/>
    <x v="139"/>
    <x v="13"/>
    <x v="102"/>
    <x v="144"/>
    <x v="69"/>
    <x v="139"/>
    <x v="1"/>
  </r>
  <r>
    <x v="0"/>
    <x v="20"/>
    <x v="20"/>
    <x v="53"/>
    <x v="53"/>
    <x v="53"/>
    <x v="13"/>
    <x v="139"/>
    <x v="13"/>
    <x v="102"/>
    <x v="144"/>
    <x v="72"/>
    <x v="77"/>
    <x v="0"/>
  </r>
  <r>
    <x v="0"/>
    <x v="20"/>
    <x v="20"/>
    <x v="42"/>
    <x v="42"/>
    <x v="42"/>
    <x v="13"/>
    <x v="139"/>
    <x v="13"/>
    <x v="110"/>
    <x v="184"/>
    <x v="84"/>
    <x v="212"/>
    <x v="1"/>
  </r>
  <r>
    <x v="0"/>
    <x v="20"/>
    <x v="20"/>
    <x v="0"/>
    <x v="0"/>
    <x v="0"/>
    <x v="13"/>
    <x v="139"/>
    <x v="13"/>
    <x v="102"/>
    <x v="144"/>
    <x v="69"/>
    <x v="139"/>
    <x v="1"/>
  </r>
  <r>
    <x v="0"/>
    <x v="20"/>
    <x v="20"/>
    <x v="15"/>
    <x v="15"/>
    <x v="15"/>
    <x v="13"/>
    <x v="139"/>
    <x v="13"/>
    <x v="102"/>
    <x v="144"/>
    <x v="69"/>
    <x v="139"/>
    <x v="1"/>
  </r>
  <r>
    <x v="0"/>
    <x v="20"/>
    <x v="20"/>
    <x v="3"/>
    <x v="3"/>
    <x v="3"/>
    <x v="13"/>
    <x v="139"/>
    <x v="13"/>
    <x v="77"/>
    <x v="259"/>
    <x v="72"/>
    <x v="77"/>
    <x v="1"/>
  </r>
  <r>
    <x v="0"/>
    <x v="20"/>
    <x v="20"/>
    <x v="54"/>
    <x v="54"/>
    <x v="54"/>
    <x v="13"/>
    <x v="139"/>
    <x v="13"/>
    <x v="102"/>
    <x v="144"/>
    <x v="69"/>
    <x v="139"/>
    <x v="1"/>
  </r>
  <r>
    <x v="0"/>
    <x v="20"/>
    <x v="20"/>
    <x v="55"/>
    <x v="55"/>
    <x v="55"/>
    <x v="13"/>
    <x v="139"/>
    <x v="13"/>
    <x v="102"/>
    <x v="144"/>
    <x v="69"/>
    <x v="139"/>
    <x v="1"/>
  </r>
  <r>
    <x v="0"/>
    <x v="20"/>
    <x v="20"/>
    <x v="11"/>
    <x v="11"/>
    <x v="11"/>
    <x v="13"/>
    <x v="139"/>
    <x v="13"/>
    <x v="77"/>
    <x v="259"/>
    <x v="72"/>
    <x v="77"/>
    <x v="1"/>
  </r>
  <r>
    <x v="0"/>
    <x v="21"/>
    <x v="21"/>
    <x v="2"/>
    <x v="2"/>
    <x v="2"/>
    <x v="0"/>
    <x v="136"/>
    <x v="192"/>
    <x v="77"/>
    <x v="260"/>
    <x v="78"/>
    <x v="213"/>
    <x v="1"/>
  </r>
  <r>
    <x v="0"/>
    <x v="21"/>
    <x v="21"/>
    <x v="5"/>
    <x v="5"/>
    <x v="5"/>
    <x v="1"/>
    <x v="140"/>
    <x v="185"/>
    <x v="102"/>
    <x v="236"/>
    <x v="78"/>
    <x v="213"/>
    <x v="1"/>
  </r>
  <r>
    <x v="0"/>
    <x v="21"/>
    <x v="21"/>
    <x v="39"/>
    <x v="39"/>
    <x v="39"/>
    <x v="2"/>
    <x v="137"/>
    <x v="193"/>
    <x v="110"/>
    <x v="184"/>
    <x v="56"/>
    <x v="214"/>
    <x v="1"/>
  </r>
  <r>
    <x v="0"/>
    <x v="21"/>
    <x v="21"/>
    <x v="19"/>
    <x v="19"/>
    <x v="19"/>
    <x v="3"/>
    <x v="138"/>
    <x v="109"/>
    <x v="76"/>
    <x v="172"/>
    <x v="72"/>
    <x v="77"/>
    <x v="1"/>
  </r>
  <r>
    <x v="0"/>
    <x v="21"/>
    <x v="21"/>
    <x v="9"/>
    <x v="9"/>
    <x v="9"/>
    <x v="3"/>
    <x v="138"/>
    <x v="109"/>
    <x v="76"/>
    <x v="172"/>
    <x v="72"/>
    <x v="77"/>
    <x v="1"/>
  </r>
  <r>
    <x v="0"/>
    <x v="21"/>
    <x v="21"/>
    <x v="4"/>
    <x v="4"/>
    <x v="4"/>
    <x v="3"/>
    <x v="138"/>
    <x v="109"/>
    <x v="76"/>
    <x v="172"/>
    <x v="72"/>
    <x v="77"/>
    <x v="1"/>
  </r>
  <r>
    <x v="0"/>
    <x v="21"/>
    <x v="21"/>
    <x v="34"/>
    <x v="34"/>
    <x v="34"/>
    <x v="3"/>
    <x v="138"/>
    <x v="109"/>
    <x v="76"/>
    <x v="172"/>
    <x v="72"/>
    <x v="77"/>
    <x v="1"/>
  </r>
  <r>
    <x v="0"/>
    <x v="21"/>
    <x v="21"/>
    <x v="13"/>
    <x v="13"/>
    <x v="13"/>
    <x v="7"/>
    <x v="139"/>
    <x v="194"/>
    <x v="73"/>
    <x v="261"/>
    <x v="70"/>
    <x v="215"/>
    <x v="1"/>
  </r>
  <r>
    <x v="0"/>
    <x v="21"/>
    <x v="21"/>
    <x v="12"/>
    <x v="12"/>
    <x v="12"/>
    <x v="7"/>
    <x v="139"/>
    <x v="194"/>
    <x v="73"/>
    <x v="261"/>
    <x v="70"/>
    <x v="215"/>
    <x v="1"/>
  </r>
  <r>
    <x v="0"/>
    <x v="21"/>
    <x v="21"/>
    <x v="32"/>
    <x v="32"/>
    <x v="32"/>
    <x v="7"/>
    <x v="139"/>
    <x v="194"/>
    <x v="73"/>
    <x v="261"/>
    <x v="70"/>
    <x v="215"/>
    <x v="1"/>
  </r>
  <r>
    <x v="0"/>
    <x v="21"/>
    <x v="21"/>
    <x v="23"/>
    <x v="23"/>
    <x v="23"/>
    <x v="7"/>
    <x v="139"/>
    <x v="194"/>
    <x v="77"/>
    <x v="260"/>
    <x v="72"/>
    <x v="77"/>
    <x v="1"/>
  </r>
  <r>
    <x v="0"/>
    <x v="21"/>
    <x v="21"/>
    <x v="42"/>
    <x v="42"/>
    <x v="42"/>
    <x v="7"/>
    <x v="139"/>
    <x v="194"/>
    <x v="110"/>
    <x v="184"/>
    <x v="84"/>
    <x v="216"/>
    <x v="1"/>
  </r>
  <r>
    <x v="0"/>
    <x v="21"/>
    <x v="21"/>
    <x v="24"/>
    <x v="24"/>
    <x v="24"/>
    <x v="7"/>
    <x v="139"/>
    <x v="194"/>
    <x v="102"/>
    <x v="236"/>
    <x v="69"/>
    <x v="217"/>
    <x v="1"/>
  </r>
  <r>
    <x v="0"/>
    <x v="21"/>
    <x v="21"/>
    <x v="11"/>
    <x v="11"/>
    <x v="11"/>
    <x v="7"/>
    <x v="139"/>
    <x v="194"/>
    <x v="77"/>
    <x v="260"/>
    <x v="72"/>
    <x v="77"/>
    <x v="1"/>
  </r>
  <r>
    <x v="0"/>
    <x v="21"/>
    <x v="21"/>
    <x v="25"/>
    <x v="25"/>
    <x v="25"/>
    <x v="7"/>
    <x v="139"/>
    <x v="194"/>
    <x v="110"/>
    <x v="184"/>
    <x v="84"/>
    <x v="216"/>
    <x v="1"/>
  </r>
  <r>
    <x v="0"/>
    <x v="21"/>
    <x v="21"/>
    <x v="35"/>
    <x v="35"/>
    <x v="35"/>
    <x v="15"/>
    <x v="141"/>
    <x v="157"/>
    <x v="73"/>
    <x v="261"/>
    <x v="69"/>
    <x v="217"/>
    <x v="1"/>
  </r>
  <r>
    <x v="0"/>
    <x v="21"/>
    <x v="21"/>
    <x v="36"/>
    <x v="36"/>
    <x v="36"/>
    <x v="15"/>
    <x v="141"/>
    <x v="157"/>
    <x v="102"/>
    <x v="236"/>
    <x v="72"/>
    <x v="77"/>
    <x v="1"/>
  </r>
  <r>
    <x v="0"/>
    <x v="21"/>
    <x v="21"/>
    <x v="45"/>
    <x v="45"/>
    <x v="45"/>
    <x v="15"/>
    <x v="141"/>
    <x v="157"/>
    <x v="102"/>
    <x v="236"/>
    <x v="72"/>
    <x v="77"/>
    <x v="1"/>
  </r>
  <r>
    <x v="0"/>
    <x v="21"/>
    <x v="21"/>
    <x v="56"/>
    <x v="56"/>
    <x v="56"/>
    <x v="15"/>
    <x v="141"/>
    <x v="157"/>
    <x v="110"/>
    <x v="184"/>
    <x v="70"/>
    <x v="215"/>
    <x v="1"/>
  </r>
  <r>
    <x v="0"/>
    <x v="21"/>
    <x v="21"/>
    <x v="57"/>
    <x v="57"/>
    <x v="57"/>
    <x v="15"/>
    <x v="141"/>
    <x v="157"/>
    <x v="102"/>
    <x v="236"/>
    <x v="72"/>
    <x v="77"/>
    <x v="1"/>
  </r>
  <r>
    <x v="0"/>
    <x v="21"/>
    <x v="21"/>
    <x v="58"/>
    <x v="58"/>
    <x v="58"/>
    <x v="15"/>
    <x v="141"/>
    <x v="157"/>
    <x v="110"/>
    <x v="184"/>
    <x v="72"/>
    <x v="77"/>
    <x v="1"/>
  </r>
  <r>
    <x v="0"/>
    <x v="21"/>
    <x v="21"/>
    <x v="59"/>
    <x v="59"/>
    <x v="59"/>
    <x v="15"/>
    <x v="141"/>
    <x v="157"/>
    <x v="102"/>
    <x v="236"/>
    <x v="72"/>
    <x v="77"/>
    <x v="1"/>
  </r>
  <r>
    <x v="0"/>
    <x v="21"/>
    <x v="21"/>
    <x v="16"/>
    <x v="16"/>
    <x v="16"/>
    <x v="15"/>
    <x v="141"/>
    <x v="157"/>
    <x v="110"/>
    <x v="184"/>
    <x v="70"/>
    <x v="215"/>
    <x v="1"/>
  </r>
  <r>
    <x v="0"/>
    <x v="21"/>
    <x v="21"/>
    <x v="49"/>
    <x v="49"/>
    <x v="49"/>
    <x v="15"/>
    <x v="141"/>
    <x v="157"/>
    <x v="73"/>
    <x v="261"/>
    <x v="69"/>
    <x v="217"/>
    <x v="1"/>
  </r>
  <r>
    <x v="0"/>
    <x v="21"/>
    <x v="21"/>
    <x v="21"/>
    <x v="21"/>
    <x v="21"/>
    <x v="15"/>
    <x v="141"/>
    <x v="157"/>
    <x v="73"/>
    <x v="261"/>
    <x v="69"/>
    <x v="217"/>
    <x v="1"/>
  </r>
  <r>
    <x v="0"/>
    <x v="21"/>
    <x v="21"/>
    <x v="60"/>
    <x v="60"/>
    <x v="60"/>
    <x v="15"/>
    <x v="141"/>
    <x v="157"/>
    <x v="73"/>
    <x v="261"/>
    <x v="69"/>
    <x v="217"/>
    <x v="1"/>
  </r>
  <r>
    <x v="0"/>
    <x v="21"/>
    <x v="21"/>
    <x v="14"/>
    <x v="14"/>
    <x v="14"/>
    <x v="15"/>
    <x v="141"/>
    <x v="157"/>
    <x v="102"/>
    <x v="236"/>
    <x v="72"/>
    <x v="77"/>
    <x v="1"/>
  </r>
  <r>
    <x v="0"/>
    <x v="21"/>
    <x v="21"/>
    <x v="3"/>
    <x v="3"/>
    <x v="3"/>
    <x v="15"/>
    <x v="141"/>
    <x v="157"/>
    <x v="102"/>
    <x v="236"/>
    <x v="72"/>
    <x v="77"/>
    <x v="1"/>
  </r>
  <r>
    <x v="0"/>
    <x v="21"/>
    <x v="21"/>
    <x v="26"/>
    <x v="26"/>
    <x v="26"/>
    <x v="15"/>
    <x v="141"/>
    <x v="157"/>
    <x v="73"/>
    <x v="261"/>
    <x v="69"/>
    <x v="217"/>
    <x v="1"/>
  </r>
  <r>
    <x v="0"/>
    <x v="21"/>
    <x v="21"/>
    <x v="1"/>
    <x v="1"/>
    <x v="1"/>
    <x v="15"/>
    <x v="141"/>
    <x v="157"/>
    <x v="102"/>
    <x v="236"/>
    <x v="72"/>
    <x v="77"/>
    <x v="1"/>
  </r>
  <r>
    <x v="0"/>
    <x v="22"/>
    <x v="22"/>
    <x v="2"/>
    <x v="2"/>
    <x v="2"/>
    <x v="0"/>
    <x v="124"/>
    <x v="195"/>
    <x v="80"/>
    <x v="262"/>
    <x v="69"/>
    <x v="218"/>
    <x v="1"/>
  </r>
  <r>
    <x v="0"/>
    <x v="22"/>
    <x v="22"/>
    <x v="42"/>
    <x v="42"/>
    <x v="42"/>
    <x v="1"/>
    <x v="138"/>
    <x v="196"/>
    <x v="110"/>
    <x v="184"/>
    <x v="78"/>
    <x v="219"/>
    <x v="1"/>
  </r>
  <r>
    <x v="0"/>
    <x v="22"/>
    <x v="22"/>
    <x v="14"/>
    <x v="14"/>
    <x v="14"/>
    <x v="2"/>
    <x v="139"/>
    <x v="197"/>
    <x v="102"/>
    <x v="138"/>
    <x v="69"/>
    <x v="218"/>
    <x v="1"/>
  </r>
  <r>
    <x v="0"/>
    <x v="22"/>
    <x v="22"/>
    <x v="3"/>
    <x v="3"/>
    <x v="3"/>
    <x v="2"/>
    <x v="139"/>
    <x v="197"/>
    <x v="77"/>
    <x v="263"/>
    <x v="72"/>
    <x v="77"/>
    <x v="1"/>
  </r>
  <r>
    <x v="0"/>
    <x v="22"/>
    <x v="22"/>
    <x v="4"/>
    <x v="4"/>
    <x v="4"/>
    <x v="2"/>
    <x v="139"/>
    <x v="197"/>
    <x v="77"/>
    <x v="263"/>
    <x v="72"/>
    <x v="77"/>
    <x v="1"/>
  </r>
  <r>
    <x v="0"/>
    <x v="22"/>
    <x v="22"/>
    <x v="36"/>
    <x v="36"/>
    <x v="36"/>
    <x v="5"/>
    <x v="141"/>
    <x v="198"/>
    <x v="102"/>
    <x v="138"/>
    <x v="72"/>
    <x v="77"/>
    <x v="1"/>
  </r>
  <r>
    <x v="0"/>
    <x v="22"/>
    <x v="22"/>
    <x v="61"/>
    <x v="61"/>
    <x v="61"/>
    <x v="5"/>
    <x v="141"/>
    <x v="198"/>
    <x v="110"/>
    <x v="184"/>
    <x v="70"/>
    <x v="220"/>
    <x v="1"/>
  </r>
  <r>
    <x v="0"/>
    <x v="22"/>
    <x v="22"/>
    <x v="53"/>
    <x v="53"/>
    <x v="53"/>
    <x v="5"/>
    <x v="141"/>
    <x v="198"/>
    <x v="102"/>
    <x v="138"/>
    <x v="72"/>
    <x v="77"/>
    <x v="1"/>
  </r>
  <r>
    <x v="0"/>
    <x v="22"/>
    <x v="22"/>
    <x v="9"/>
    <x v="9"/>
    <x v="9"/>
    <x v="5"/>
    <x v="141"/>
    <x v="198"/>
    <x v="73"/>
    <x v="264"/>
    <x v="69"/>
    <x v="218"/>
    <x v="1"/>
  </r>
  <r>
    <x v="0"/>
    <x v="22"/>
    <x v="22"/>
    <x v="62"/>
    <x v="62"/>
    <x v="62"/>
    <x v="5"/>
    <x v="141"/>
    <x v="198"/>
    <x v="73"/>
    <x v="264"/>
    <x v="69"/>
    <x v="218"/>
    <x v="1"/>
  </r>
  <r>
    <x v="0"/>
    <x v="22"/>
    <x v="22"/>
    <x v="25"/>
    <x v="25"/>
    <x v="25"/>
    <x v="5"/>
    <x v="141"/>
    <x v="198"/>
    <x v="73"/>
    <x v="264"/>
    <x v="69"/>
    <x v="218"/>
    <x v="1"/>
  </r>
  <r>
    <x v="0"/>
    <x v="22"/>
    <x v="22"/>
    <x v="5"/>
    <x v="5"/>
    <x v="5"/>
    <x v="11"/>
    <x v="142"/>
    <x v="31"/>
    <x v="110"/>
    <x v="184"/>
    <x v="69"/>
    <x v="218"/>
    <x v="1"/>
  </r>
  <r>
    <x v="0"/>
    <x v="22"/>
    <x v="22"/>
    <x v="13"/>
    <x v="13"/>
    <x v="13"/>
    <x v="11"/>
    <x v="142"/>
    <x v="31"/>
    <x v="110"/>
    <x v="184"/>
    <x v="69"/>
    <x v="218"/>
    <x v="1"/>
  </r>
  <r>
    <x v="0"/>
    <x v="22"/>
    <x v="22"/>
    <x v="12"/>
    <x v="12"/>
    <x v="12"/>
    <x v="11"/>
    <x v="142"/>
    <x v="31"/>
    <x v="73"/>
    <x v="264"/>
    <x v="72"/>
    <x v="77"/>
    <x v="1"/>
  </r>
  <r>
    <x v="0"/>
    <x v="22"/>
    <x v="22"/>
    <x v="50"/>
    <x v="50"/>
    <x v="50"/>
    <x v="11"/>
    <x v="142"/>
    <x v="31"/>
    <x v="73"/>
    <x v="264"/>
    <x v="72"/>
    <x v="77"/>
    <x v="1"/>
  </r>
  <r>
    <x v="0"/>
    <x v="22"/>
    <x v="22"/>
    <x v="17"/>
    <x v="17"/>
    <x v="17"/>
    <x v="11"/>
    <x v="142"/>
    <x v="31"/>
    <x v="110"/>
    <x v="184"/>
    <x v="69"/>
    <x v="218"/>
    <x v="1"/>
  </r>
  <r>
    <x v="0"/>
    <x v="22"/>
    <x v="22"/>
    <x v="63"/>
    <x v="63"/>
    <x v="63"/>
    <x v="11"/>
    <x v="142"/>
    <x v="31"/>
    <x v="110"/>
    <x v="184"/>
    <x v="69"/>
    <x v="218"/>
    <x v="1"/>
  </r>
  <r>
    <x v="0"/>
    <x v="22"/>
    <x v="22"/>
    <x v="64"/>
    <x v="64"/>
    <x v="64"/>
    <x v="11"/>
    <x v="142"/>
    <x v="31"/>
    <x v="73"/>
    <x v="264"/>
    <x v="72"/>
    <x v="77"/>
    <x v="1"/>
  </r>
  <r>
    <x v="0"/>
    <x v="22"/>
    <x v="22"/>
    <x v="65"/>
    <x v="65"/>
    <x v="65"/>
    <x v="11"/>
    <x v="142"/>
    <x v="31"/>
    <x v="110"/>
    <x v="184"/>
    <x v="69"/>
    <x v="218"/>
    <x v="1"/>
  </r>
  <r>
    <x v="0"/>
    <x v="22"/>
    <x v="22"/>
    <x v="66"/>
    <x v="66"/>
    <x v="66"/>
    <x v="11"/>
    <x v="142"/>
    <x v="31"/>
    <x v="110"/>
    <x v="184"/>
    <x v="69"/>
    <x v="218"/>
    <x v="1"/>
  </r>
  <r>
    <x v="0"/>
    <x v="22"/>
    <x v="22"/>
    <x v="67"/>
    <x v="67"/>
    <x v="67"/>
    <x v="11"/>
    <x v="142"/>
    <x v="31"/>
    <x v="110"/>
    <x v="184"/>
    <x v="72"/>
    <x v="77"/>
    <x v="1"/>
  </r>
  <r>
    <x v="0"/>
    <x v="22"/>
    <x v="22"/>
    <x v="68"/>
    <x v="68"/>
    <x v="68"/>
    <x v="11"/>
    <x v="142"/>
    <x v="31"/>
    <x v="110"/>
    <x v="184"/>
    <x v="69"/>
    <x v="218"/>
    <x v="1"/>
  </r>
  <r>
    <x v="0"/>
    <x v="22"/>
    <x v="22"/>
    <x v="39"/>
    <x v="39"/>
    <x v="39"/>
    <x v="11"/>
    <x v="142"/>
    <x v="31"/>
    <x v="110"/>
    <x v="184"/>
    <x v="69"/>
    <x v="218"/>
    <x v="1"/>
  </r>
  <r>
    <x v="0"/>
    <x v="22"/>
    <x v="22"/>
    <x v="51"/>
    <x v="51"/>
    <x v="51"/>
    <x v="11"/>
    <x v="142"/>
    <x v="31"/>
    <x v="110"/>
    <x v="184"/>
    <x v="69"/>
    <x v="218"/>
    <x v="1"/>
  </r>
  <r>
    <x v="0"/>
    <x v="22"/>
    <x v="22"/>
    <x v="32"/>
    <x v="32"/>
    <x v="32"/>
    <x v="11"/>
    <x v="142"/>
    <x v="31"/>
    <x v="110"/>
    <x v="184"/>
    <x v="69"/>
    <x v="218"/>
    <x v="1"/>
  </r>
  <r>
    <x v="0"/>
    <x v="22"/>
    <x v="22"/>
    <x v="10"/>
    <x v="10"/>
    <x v="10"/>
    <x v="11"/>
    <x v="142"/>
    <x v="31"/>
    <x v="73"/>
    <x v="264"/>
    <x v="72"/>
    <x v="77"/>
    <x v="1"/>
  </r>
  <r>
    <x v="0"/>
    <x v="22"/>
    <x v="22"/>
    <x v="41"/>
    <x v="41"/>
    <x v="41"/>
    <x v="11"/>
    <x v="142"/>
    <x v="31"/>
    <x v="110"/>
    <x v="184"/>
    <x v="69"/>
    <x v="218"/>
    <x v="1"/>
  </r>
  <r>
    <x v="0"/>
    <x v="22"/>
    <x v="22"/>
    <x v="69"/>
    <x v="69"/>
    <x v="69"/>
    <x v="11"/>
    <x v="142"/>
    <x v="31"/>
    <x v="73"/>
    <x v="264"/>
    <x v="72"/>
    <x v="77"/>
    <x v="1"/>
  </r>
  <r>
    <x v="0"/>
    <x v="22"/>
    <x v="22"/>
    <x v="70"/>
    <x v="70"/>
    <x v="70"/>
    <x v="11"/>
    <x v="142"/>
    <x v="31"/>
    <x v="73"/>
    <x v="264"/>
    <x v="72"/>
    <x v="77"/>
    <x v="1"/>
  </r>
  <r>
    <x v="0"/>
    <x v="22"/>
    <x v="22"/>
    <x v="0"/>
    <x v="0"/>
    <x v="0"/>
    <x v="11"/>
    <x v="142"/>
    <x v="31"/>
    <x v="110"/>
    <x v="184"/>
    <x v="69"/>
    <x v="218"/>
    <x v="1"/>
  </r>
  <r>
    <x v="0"/>
    <x v="22"/>
    <x v="22"/>
    <x v="71"/>
    <x v="71"/>
    <x v="71"/>
    <x v="11"/>
    <x v="142"/>
    <x v="31"/>
    <x v="110"/>
    <x v="184"/>
    <x v="69"/>
    <x v="218"/>
    <x v="1"/>
  </r>
  <r>
    <x v="0"/>
    <x v="22"/>
    <x v="22"/>
    <x v="72"/>
    <x v="72"/>
    <x v="72"/>
    <x v="11"/>
    <x v="142"/>
    <x v="31"/>
    <x v="73"/>
    <x v="264"/>
    <x v="72"/>
    <x v="77"/>
    <x v="1"/>
  </r>
  <r>
    <x v="0"/>
    <x v="22"/>
    <x v="22"/>
    <x v="73"/>
    <x v="73"/>
    <x v="73"/>
    <x v="11"/>
    <x v="142"/>
    <x v="31"/>
    <x v="110"/>
    <x v="184"/>
    <x v="69"/>
    <x v="218"/>
    <x v="1"/>
  </r>
  <r>
    <x v="0"/>
    <x v="22"/>
    <x v="22"/>
    <x v="26"/>
    <x v="26"/>
    <x v="26"/>
    <x v="11"/>
    <x v="142"/>
    <x v="31"/>
    <x v="73"/>
    <x v="264"/>
    <x v="72"/>
    <x v="77"/>
    <x v="1"/>
  </r>
  <r>
    <x v="0"/>
    <x v="22"/>
    <x v="22"/>
    <x v="74"/>
    <x v="74"/>
    <x v="74"/>
    <x v="11"/>
    <x v="142"/>
    <x v="31"/>
    <x v="73"/>
    <x v="264"/>
    <x v="72"/>
    <x v="77"/>
    <x v="1"/>
  </r>
  <r>
    <x v="0"/>
    <x v="22"/>
    <x v="22"/>
    <x v="1"/>
    <x v="1"/>
    <x v="1"/>
    <x v="11"/>
    <x v="142"/>
    <x v="31"/>
    <x v="73"/>
    <x v="264"/>
    <x v="72"/>
    <x v="77"/>
    <x v="1"/>
  </r>
  <r>
    <x v="0"/>
    <x v="22"/>
    <x v="22"/>
    <x v="75"/>
    <x v="75"/>
    <x v="75"/>
    <x v="11"/>
    <x v="142"/>
    <x v="31"/>
    <x v="73"/>
    <x v="264"/>
    <x v="72"/>
    <x v="77"/>
    <x v="1"/>
  </r>
  <r>
    <x v="0"/>
    <x v="22"/>
    <x v="22"/>
    <x v="48"/>
    <x v="48"/>
    <x v="48"/>
    <x v="11"/>
    <x v="142"/>
    <x v="31"/>
    <x v="110"/>
    <x v="184"/>
    <x v="72"/>
    <x v="77"/>
    <x v="1"/>
  </r>
  <r>
    <x v="0"/>
    <x v="22"/>
    <x v="22"/>
    <x v="11"/>
    <x v="11"/>
    <x v="11"/>
    <x v="11"/>
    <x v="142"/>
    <x v="31"/>
    <x v="73"/>
    <x v="264"/>
    <x v="72"/>
    <x v="77"/>
    <x v="1"/>
  </r>
  <r>
    <x v="0"/>
    <x v="22"/>
    <x v="22"/>
    <x v="7"/>
    <x v="7"/>
    <x v="7"/>
    <x v="11"/>
    <x v="142"/>
    <x v="31"/>
    <x v="73"/>
    <x v="264"/>
    <x v="72"/>
    <x v="77"/>
    <x v="1"/>
  </r>
  <r>
    <x v="0"/>
    <x v="22"/>
    <x v="22"/>
    <x v="76"/>
    <x v="76"/>
    <x v="76"/>
    <x v="11"/>
    <x v="142"/>
    <x v="31"/>
    <x v="110"/>
    <x v="184"/>
    <x v="69"/>
    <x v="218"/>
    <x v="1"/>
  </r>
  <r>
    <x v="0"/>
    <x v="22"/>
    <x v="22"/>
    <x v="77"/>
    <x v="77"/>
    <x v="77"/>
    <x v="11"/>
    <x v="142"/>
    <x v="31"/>
    <x v="110"/>
    <x v="184"/>
    <x v="69"/>
    <x v="218"/>
    <x v="1"/>
  </r>
  <r>
    <x v="0"/>
    <x v="23"/>
    <x v="23"/>
    <x v="12"/>
    <x v="12"/>
    <x v="12"/>
    <x v="0"/>
    <x v="138"/>
    <x v="199"/>
    <x v="102"/>
    <x v="265"/>
    <x v="70"/>
    <x v="221"/>
    <x v="1"/>
  </r>
  <r>
    <x v="0"/>
    <x v="23"/>
    <x v="23"/>
    <x v="36"/>
    <x v="36"/>
    <x v="36"/>
    <x v="1"/>
    <x v="139"/>
    <x v="200"/>
    <x v="102"/>
    <x v="265"/>
    <x v="69"/>
    <x v="222"/>
    <x v="1"/>
  </r>
  <r>
    <x v="0"/>
    <x v="23"/>
    <x v="23"/>
    <x v="2"/>
    <x v="2"/>
    <x v="2"/>
    <x v="1"/>
    <x v="139"/>
    <x v="200"/>
    <x v="102"/>
    <x v="265"/>
    <x v="69"/>
    <x v="222"/>
    <x v="1"/>
  </r>
  <r>
    <x v="0"/>
    <x v="23"/>
    <x v="23"/>
    <x v="13"/>
    <x v="13"/>
    <x v="13"/>
    <x v="3"/>
    <x v="141"/>
    <x v="201"/>
    <x v="102"/>
    <x v="265"/>
    <x v="72"/>
    <x v="77"/>
    <x v="1"/>
  </r>
  <r>
    <x v="0"/>
    <x v="23"/>
    <x v="23"/>
    <x v="16"/>
    <x v="16"/>
    <x v="16"/>
    <x v="3"/>
    <x v="141"/>
    <x v="201"/>
    <x v="102"/>
    <x v="265"/>
    <x v="72"/>
    <x v="77"/>
    <x v="1"/>
  </r>
  <r>
    <x v="0"/>
    <x v="23"/>
    <x v="23"/>
    <x v="42"/>
    <x v="42"/>
    <x v="42"/>
    <x v="3"/>
    <x v="141"/>
    <x v="201"/>
    <x v="110"/>
    <x v="184"/>
    <x v="70"/>
    <x v="221"/>
    <x v="1"/>
  </r>
  <r>
    <x v="0"/>
    <x v="23"/>
    <x v="23"/>
    <x v="60"/>
    <x v="60"/>
    <x v="60"/>
    <x v="3"/>
    <x v="141"/>
    <x v="201"/>
    <x v="110"/>
    <x v="184"/>
    <x v="70"/>
    <x v="221"/>
    <x v="1"/>
  </r>
  <r>
    <x v="0"/>
    <x v="23"/>
    <x v="23"/>
    <x v="1"/>
    <x v="1"/>
    <x v="1"/>
    <x v="3"/>
    <x v="141"/>
    <x v="201"/>
    <x v="102"/>
    <x v="265"/>
    <x v="72"/>
    <x v="77"/>
    <x v="1"/>
  </r>
  <r>
    <x v="0"/>
    <x v="23"/>
    <x v="23"/>
    <x v="48"/>
    <x v="48"/>
    <x v="48"/>
    <x v="3"/>
    <x v="141"/>
    <x v="201"/>
    <x v="110"/>
    <x v="184"/>
    <x v="72"/>
    <x v="77"/>
    <x v="1"/>
  </r>
  <r>
    <x v="0"/>
    <x v="23"/>
    <x v="23"/>
    <x v="78"/>
    <x v="78"/>
    <x v="78"/>
    <x v="9"/>
    <x v="142"/>
    <x v="169"/>
    <x v="73"/>
    <x v="266"/>
    <x v="72"/>
    <x v="77"/>
    <x v="1"/>
  </r>
  <r>
    <x v="0"/>
    <x v="23"/>
    <x v="23"/>
    <x v="5"/>
    <x v="5"/>
    <x v="5"/>
    <x v="9"/>
    <x v="142"/>
    <x v="169"/>
    <x v="110"/>
    <x v="184"/>
    <x v="69"/>
    <x v="222"/>
    <x v="1"/>
  </r>
  <r>
    <x v="0"/>
    <x v="23"/>
    <x v="23"/>
    <x v="79"/>
    <x v="79"/>
    <x v="79"/>
    <x v="9"/>
    <x v="142"/>
    <x v="169"/>
    <x v="73"/>
    <x v="266"/>
    <x v="72"/>
    <x v="77"/>
    <x v="1"/>
  </r>
  <r>
    <x v="0"/>
    <x v="23"/>
    <x v="23"/>
    <x v="19"/>
    <x v="19"/>
    <x v="19"/>
    <x v="9"/>
    <x v="142"/>
    <x v="169"/>
    <x v="73"/>
    <x v="266"/>
    <x v="72"/>
    <x v="77"/>
    <x v="1"/>
  </r>
  <r>
    <x v="0"/>
    <x v="23"/>
    <x v="23"/>
    <x v="17"/>
    <x v="17"/>
    <x v="17"/>
    <x v="9"/>
    <x v="142"/>
    <x v="169"/>
    <x v="73"/>
    <x v="266"/>
    <x v="72"/>
    <x v="77"/>
    <x v="1"/>
  </r>
  <r>
    <x v="0"/>
    <x v="23"/>
    <x v="23"/>
    <x v="56"/>
    <x v="56"/>
    <x v="56"/>
    <x v="9"/>
    <x v="142"/>
    <x v="169"/>
    <x v="73"/>
    <x v="266"/>
    <x v="72"/>
    <x v="77"/>
    <x v="1"/>
  </r>
  <r>
    <x v="0"/>
    <x v="23"/>
    <x v="23"/>
    <x v="80"/>
    <x v="80"/>
    <x v="80"/>
    <x v="9"/>
    <x v="142"/>
    <x v="169"/>
    <x v="73"/>
    <x v="266"/>
    <x v="72"/>
    <x v="77"/>
    <x v="1"/>
  </r>
  <r>
    <x v="0"/>
    <x v="23"/>
    <x v="23"/>
    <x v="67"/>
    <x v="67"/>
    <x v="67"/>
    <x v="9"/>
    <x v="142"/>
    <x v="169"/>
    <x v="110"/>
    <x v="184"/>
    <x v="72"/>
    <x v="77"/>
    <x v="1"/>
  </r>
  <r>
    <x v="0"/>
    <x v="23"/>
    <x v="23"/>
    <x v="81"/>
    <x v="81"/>
    <x v="81"/>
    <x v="9"/>
    <x v="142"/>
    <x v="169"/>
    <x v="110"/>
    <x v="184"/>
    <x v="72"/>
    <x v="77"/>
    <x v="1"/>
  </r>
  <r>
    <x v="0"/>
    <x v="23"/>
    <x v="23"/>
    <x v="68"/>
    <x v="68"/>
    <x v="68"/>
    <x v="9"/>
    <x v="142"/>
    <x v="169"/>
    <x v="110"/>
    <x v="184"/>
    <x v="69"/>
    <x v="222"/>
    <x v="1"/>
  </r>
  <r>
    <x v="0"/>
    <x v="23"/>
    <x v="23"/>
    <x v="51"/>
    <x v="51"/>
    <x v="51"/>
    <x v="9"/>
    <x v="142"/>
    <x v="169"/>
    <x v="110"/>
    <x v="184"/>
    <x v="69"/>
    <x v="222"/>
    <x v="1"/>
  </r>
  <r>
    <x v="0"/>
    <x v="23"/>
    <x v="23"/>
    <x v="40"/>
    <x v="40"/>
    <x v="40"/>
    <x v="9"/>
    <x v="142"/>
    <x v="169"/>
    <x v="73"/>
    <x v="266"/>
    <x v="72"/>
    <x v="77"/>
    <x v="1"/>
  </r>
  <r>
    <x v="0"/>
    <x v="23"/>
    <x v="23"/>
    <x v="49"/>
    <x v="49"/>
    <x v="49"/>
    <x v="9"/>
    <x v="142"/>
    <x v="169"/>
    <x v="73"/>
    <x v="266"/>
    <x v="72"/>
    <x v="77"/>
    <x v="1"/>
  </r>
  <r>
    <x v="0"/>
    <x v="23"/>
    <x v="23"/>
    <x v="9"/>
    <x v="9"/>
    <x v="9"/>
    <x v="9"/>
    <x v="142"/>
    <x v="169"/>
    <x v="73"/>
    <x v="266"/>
    <x v="72"/>
    <x v="77"/>
    <x v="1"/>
  </r>
  <r>
    <x v="0"/>
    <x v="23"/>
    <x v="23"/>
    <x v="82"/>
    <x v="82"/>
    <x v="82"/>
    <x v="9"/>
    <x v="142"/>
    <x v="169"/>
    <x v="110"/>
    <x v="184"/>
    <x v="69"/>
    <x v="222"/>
    <x v="1"/>
  </r>
  <r>
    <x v="0"/>
    <x v="23"/>
    <x v="23"/>
    <x v="15"/>
    <x v="15"/>
    <x v="15"/>
    <x v="9"/>
    <x v="142"/>
    <x v="169"/>
    <x v="110"/>
    <x v="184"/>
    <x v="69"/>
    <x v="222"/>
    <x v="1"/>
  </r>
  <r>
    <x v="0"/>
    <x v="23"/>
    <x v="23"/>
    <x v="26"/>
    <x v="26"/>
    <x v="26"/>
    <x v="9"/>
    <x v="142"/>
    <x v="169"/>
    <x v="73"/>
    <x v="266"/>
    <x v="72"/>
    <x v="77"/>
    <x v="1"/>
  </r>
  <r>
    <x v="0"/>
    <x v="23"/>
    <x v="23"/>
    <x v="4"/>
    <x v="4"/>
    <x v="4"/>
    <x v="9"/>
    <x v="142"/>
    <x v="169"/>
    <x v="73"/>
    <x v="266"/>
    <x v="72"/>
    <x v="77"/>
    <x v="1"/>
  </r>
  <r>
    <x v="0"/>
    <x v="23"/>
    <x v="23"/>
    <x v="83"/>
    <x v="83"/>
    <x v="83"/>
    <x v="9"/>
    <x v="142"/>
    <x v="169"/>
    <x v="110"/>
    <x v="184"/>
    <x v="72"/>
    <x v="77"/>
    <x v="1"/>
  </r>
  <r>
    <x v="0"/>
    <x v="23"/>
    <x v="23"/>
    <x v="84"/>
    <x v="84"/>
    <x v="84"/>
    <x v="9"/>
    <x v="142"/>
    <x v="169"/>
    <x v="73"/>
    <x v="266"/>
    <x v="72"/>
    <x v="77"/>
    <x v="1"/>
  </r>
  <r>
    <x v="0"/>
    <x v="23"/>
    <x v="23"/>
    <x v="85"/>
    <x v="85"/>
    <x v="85"/>
    <x v="9"/>
    <x v="142"/>
    <x v="169"/>
    <x v="110"/>
    <x v="184"/>
    <x v="69"/>
    <x v="222"/>
    <x v="1"/>
  </r>
  <r>
    <x v="0"/>
    <x v="24"/>
    <x v="24"/>
    <x v="5"/>
    <x v="5"/>
    <x v="5"/>
    <x v="0"/>
    <x v="138"/>
    <x v="202"/>
    <x v="110"/>
    <x v="184"/>
    <x v="78"/>
    <x v="223"/>
    <x v="1"/>
  </r>
  <r>
    <x v="0"/>
    <x v="24"/>
    <x v="24"/>
    <x v="36"/>
    <x v="36"/>
    <x v="36"/>
    <x v="1"/>
    <x v="141"/>
    <x v="203"/>
    <x v="102"/>
    <x v="267"/>
    <x v="72"/>
    <x v="77"/>
    <x v="1"/>
  </r>
  <r>
    <x v="0"/>
    <x v="24"/>
    <x v="24"/>
    <x v="30"/>
    <x v="30"/>
    <x v="30"/>
    <x v="1"/>
    <x v="141"/>
    <x v="203"/>
    <x v="102"/>
    <x v="267"/>
    <x v="72"/>
    <x v="77"/>
    <x v="1"/>
  </r>
  <r>
    <x v="0"/>
    <x v="24"/>
    <x v="24"/>
    <x v="64"/>
    <x v="64"/>
    <x v="64"/>
    <x v="1"/>
    <x v="141"/>
    <x v="203"/>
    <x v="102"/>
    <x v="267"/>
    <x v="72"/>
    <x v="77"/>
    <x v="1"/>
  </r>
  <r>
    <x v="0"/>
    <x v="24"/>
    <x v="24"/>
    <x v="48"/>
    <x v="48"/>
    <x v="48"/>
    <x v="1"/>
    <x v="141"/>
    <x v="203"/>
    <x v="110"/>
    <x v="184"/>
    <x v="72"/>
    <x v="77"/>
    <x v="1"/>
  </r>
  <r>
    <x v="0"/>
    <x v="24"/>
    <x v="24"/>
    <x v="86"/>
    <x v="86"/>
    <x v="86"/>
    <x v="5"/>
    <x v="142"/>
    <x v="204"/>
    <x v="73"/>
    <x v="268"/>
    <x v="72"/>
    <x v="77"/>
    <x v="1"/>
  </r>
  <r>
    <x v="0"/>
    <x v="24"/>
    <x v="24"/>
    <x v="35"/>
    <x v="35"/>
    <x v="35"/>
    <x v="5"/>
    <x v="142"/>
    <x v="204"/>
    <x v="73"/>
    <x v="268"/>
    <x v="72"/>
    <x v="77"/>
    <x v="1"/>
  </r>
  <r>
    <x v="0"/>
    <x v="24"/>
    <x v="24"/>
    <x v="50"/>
    <x v="50"/>
    <x v="50"/>
    <x v="5"/>
    <x v="142"/>
    <x v="204"/>
    <x v="73"/>
    <x v="268"/>
    <x v="72"/>
    <x v="77"/>
    <x v="1"/>
  </r>
  <r>
    <x v="0"/>
    <x v="24"/>
    <x v="24"/>
    <x v="87"/>
    <x v="87"/>
    <x v="87"/>
    <x v="5"/>
    <x v="142"/>
    <x v="204"/>
    <x v="73"/>
    <x v="268"/>
    <x v="72"/>
    <x v="77"/>
    <x v="1"/>
  </r>
  <r>
    <x v="0"/>
    <x v="24"/>
    <x v="24"/>
    <x v="19"/>
    <x v="19"/>
    <x v="19"/>
    <x v="5"/>
    <x v="142"/>
    <x v="204"/>
    <x v="73"/>
    <x v="268"/>
    <x v="72"/>
    <x v="77"/>
    <x v="1"/>
  </r>
  <r>
    <x v="0"/>
    <x v="24"/>
    <x v="24"/>
    <x v="88"/>
    <x v="88"/>
    <x v="88"/>
    <x v="5"/>
    <x v="142"/>
    <x v="204"/>
    <x v="110"/>
    <x v="184"/>
    <x v="69"/>
    <x v="224"/>
    <x v="1"/>
  </r>
  <r>
    <x v="0"/>
    <x v="24"/>
    <x v="24"/>
    <x v="89"/>
    <x v="89"/>
    <x v="89"/>
    <x v="5"/>
    <x v="142"/>
    <x v="204"/>
    <x v="73"/>
    <x v="268"/>
    <x v="72"/>
    <x v="77"/>
    <x v="1"/>
  </r>
  <r>
    <x v="0"/>
    <x v="24"/>
    <x v="24"/>
    <x v="40"/>
    <x v="40"/>
    <x v="40"/>
    <x v="5"/>
    <x v="142"/>
    <x v="204"/>
    <x v="73"/>
    <x v="268"/>
    <x v="72"/>
    <x v="77"/>
    <x v="1"/>
  </r>
  <r>
    <x v="0"/>
    <x v="24"/>
    <x v="24"/>
    <x v="16"/>
    <x v="16"/>
    <x v="16"/>
    <x v="5"/>
    <x v="142"/>
    <x v="204"/>
    <x v="73"/>
    <x v="268"/>
    <x v="72"/>
    <x v="77"/>
    <x v="1"/>
  </r>
  <r>
    <x v="0"/>
    <x v="24"/>
    <x v="24"/>
    <x v="10"/>
    <x v="10"/>
    <x v="10"/>
    <x v="5"/>
    <x v="142"/>
    <x v="204"/>
    <x v="73"/>
    <x v="268"/>
    <x v="72"/>
    <x v="77"/>
    <x v="1"/>
  </r>
  <r>
    <x v="0"/>
    <x v="24"/>
    <x v="24"/>
    <x v="44"/>
    <x v="44"/>
    <x v="44"/>
    <x v="5"/>
    <x v="142"/>
    <x v="204"/>
    <x v="73"/>
    <x v="268"/>
    <x v="72"/>
    <x v="77"/>
    <x v="1"/>
  </r>
  <r>
    <x v="0"/>
    <x v="24"/>
    <x v="24"/>
    <x v="42"/>
    <x v="42"/>
    <x v="42"/>
    <x v="5"/>
    <x v="142"/>
    <x v="204"/>
    <x v="73"/>
    <x v="268"/>
    <x v="72"/>
    <x v="77"/>
    <x v="1"/>
  </r>
  <r>
    <x v="0"/>
    <x v="24"/>
    <x v="24"/>
    <x v="69"/>
    <x v="69"/>
    <x v="69"/>
    <x v="5"/>
    <x v="142"/>
    <x v="204"/>
    <x v="73"/>
    <x v="268"/>
    <x v="72"/>
    <x v="77"/>
    <x v="1"/>
  </r>
  <r>
    <x v="0"/>
    <x v="24"/>
    <x v="24"/>
    <x v="2"/>
    <x v="2"/>
    <x v="2"/>
    <x v="5"/>
    <x v="142"/>
    <x v="204"/>
    <x v="73"/>
    <x v="268"/>
    <x v="72"/>
    <x v="77"/>
    <x v="1"/>
  </r>
  <r>
    <x v="0"/>
    <x v="24"/>
    <x v="24"/>
    <x v="4"/>
    <x v="4"/>
    <x v="4"/>
    <x v="5"/>
    <x v="142"/>
    <x v="204"/>
    <x v="73"/>
    <x v="268"/>
    <x v="72"/>
    <x v="77"/>
    <x v="1"/>
  </r>
  <r>
    <x v="0"/>
    <x v="24"/>
    <x v="24"/>
    <x v="55"/>
    <x v="55"/>
    <x v="55"/>
    <x v="5"/>
    <x v="142"/>
    <x v="204"/>
    <x v="110"/>
    <x v="184"/>
    <x v="72"/>
    <x v="77"/>
    <x v="1"/>
  </r>
  <r>
    <x v="0"/>
    <x v="24"/>
    <x v="24"/>
    <x v="7"/>
    <x v="7"/>
    <x v="7"/>
    <x v="5"/>
    <x v="142"/>
    <x v="204"/>
    <x v="73"/>
    <x v="268"/>
    <x v="72"/>
    <x v="77"/>
    <x v="1"/>
  </r>
  <r>
    <x v="0"/>
    <x v="24"/>
    <x v="24"/>
    <x v="90"/>
    <x v="90"/>
    <x v="90"/>
    <x v="5"/>
    <x v="142"/>
    <x v="204"/>
    <x v="110"/>
    <x v="184"/>
    <x v="72"/>
    <x v="77"/>
    <x v="1"/>
  </r>
  <r>
    <x v="0"/>
    <x v="25"/>
    <x v="25"/>
    <x v="12"/>
    <x v="12"/>
    <x v="12"/>
    <x v="0"/>
    <x v="85"/>
    <x v="205"/>
    <x v="104"/>
    <x v="269"/>
    <x v="60"/>
    <x v="225"/>
    <x v="1"/>
  </r>
  <r>
    <x v="0"/>
    <x v="25"/>
    <x v="25"/>
    <x v="1"/>
    <x v="1"/>
    <x v="1"/>
    <x v="1"/>
    <x v="113"/>
    <x v="206"/>
    <x v="107"/>
    <x v="270"/>
    <x v="72"/>
    <x v="77"/>
    <x v="1"/>
  </r>
  <r>
    <x v="0"/>
    <x v="25"/>
    <x v="25"/>
    <x v="5"/>
    <x v="5"/>
    <x v="5"/>
    <x v="2"/>
    <x v="122"/>
    <x v="207"/>
    <x v="77"/>
    <x v="271"/>
    <x v="54"/>
    <x v="226"/>
    <x v="1"/>
  </r>
  <r>
    <x v="0"/>
    <x v="25"/>
    <x v="25"/>
    <x v="25"/>
    <x v="25"/>
    <x v="25"/>
    <x v="3"/>
    <x v="126"/>
    <x v="208"/>
    <x v="81"/>
    <x v="272"/>
    <x v="70"/>
    <x v="15"/>
    <x v="1"/>
  </r>
  <r>
    <x v="0"/>
    <x v="25"/>
    <x v="25"/>
    <x v="4"/>
    <x v="4"/>
    <x v="4"/>
    <x v="4"/>
    <x v="133"/>
    <x v="209"/>
    <x v="70"/>
    <x v="201"/>
    <x v="72"/>
    <x v="77"/>
    <x v="1"/>
  </r>
  <r>
    <x v="0"/>
    <x v="25"/>
    <x v="25"/>
    <x v="36"/>
    <x v="36"/>
    <x v="36"/>
    <x v="5"/>
    <x v="143"/>
    <x v="132"/>
    <x v="81"/>
    <x v="272"/>
    <x v="72"/>
    <x v="77"/>
    <x v="1"/>
  </r>
  <r>
    <x v="0"/>
    <x v="25"/>
    <x v="25"/>
    <x v="9"/>
    <x v="9"/>
    <x v="9"/>
    <x v="5"/>
    <x v="143"/>
    <x v="132"/>
    <x v="75"/>
    <x v="26"/>
    <x v="70"/>
    <x v="15"/>
    <x v="1"/>
  </r>
  <r>
    <x v="0"/>
    <x v="25"/>
    <x v="25"/>
    <x v="3"/>
    <x v="3"/>
    <x v="3"/>
    <x v="5"/>
    <x v="143"/>
    <x v="132"/>
    <x v="74"/>
    <x v="273"/>
    <x v="69"/>
    <x v="227"/>
    <x v="1"/>
  </r>
  <r>
    <x v="0"/>
    <x v="25"/>
    <x v="25"/>
    <x v="19"/>
    <x v="19"/>
    <x v="19"/>
    <x v="8"/>
    <x v="136"/>
    <x v="103"/>
    <x v="76"/>
    <x v="69"/>
    <x v="84"/>
    <x v="13"/>
    <x v="1"/>
  </r>
  <r>
    <x v="0"/>
    <x v="25"/>
    <x v="25"/>
    <x v="10"/>
    <x v="10"/>
    <x v="10"/>
    <x v="8"/>
    <x v="136"/>
    <x v="103"/>
    <x v="77"/>
    <x v="271"/>
    <x v="78"/>
    <x v="228"/>
    <x v="1"/>
  </r>
  <r>
    <x v="0"/>
    <x v="25"/>
    <x v="25"/>
    <x v="17"/>
    <x v="17"/>
    <x v="17"/>
    <x v="10"/>
    <x v="140"/>
    <x v="210"/>
    <x v="77"/>
    <x v="271"/>
    <x v="84"/>
    <x v="13"/>
    <x v="1"/>
  </r>
  <r>
    <x v="0"/>
    <x v="25"/>
    <x v="25"/>
    <x v="2"/>
    <x v="2"/>
    <x v="2"/>
    <x v="10"/>
    <x v="140"/>
    <x v="210"/>
    <x v="101"/>
    <x v="274"/>
    <x v="69"/>
    <x v="227"/>
    <x v="1"/>
  </r>
  <r>
    <x v="0"/>
    <x v="25"/>
    <x v="25"/>
    <x v="28"/>
    <x v="28"/>
    <x v="28"/>
    <x v="12"/>
    <x v="137"/>
    <x v="211"/>
    <x v="102"/>
    <x v="275"/>
    <x v="84"/>
    <x v="13"/>
    <x v="1"/>
  </r>
  <r>
    <x v="0"/>
    <x v="25"/>
    <x v="25"/>
    <x v="42"/>
    <x v="42"/>
    <x v="42"/>
    <x v="12"/>
    <x v="137"/>
    <x v="211"/>
    <x v="76"/>
    <x v="69"/>
    <x v="69"/>
    <x v="227"/>
    <x v="1"/>
  </r>
  <r>
    <x v="0"/>
    <x v="25"/>
    <x v="25"/>
    <x v="0"/>
    <x v="0"/>
    <x v="0"/>
    <x v="12"/>
    <x v="137"/>
    <x v="211"/>
    <x v="73"/>
    <x v="276"/>
    <x v="78"/>
    <x v="228"/>
    <x v="1"/>
  </r>
  <r>
    <x v="0"/>
    <x v="25"/>
    <x v="25"/>
    <x v="7"/>
    <x v="7"/>
    <x v="7"/>
    <x v="12"/>
    <x v="137"/>
    <x v="211"/>
    <x v="101"/>
    <x v="274"/>
    <x v="72"/>
    <x v="77"/>
    <x v="1"/>
  </r>
  <r>
    <x v="0"/>
    <x v="25"/>
    <x v="25"/>
    <x v="13"/>
    <x v="13"/>
    <x v="13"/>
    <x v="16"/>
    <x v="138"/>
    <x v="96"/>
    <x v="76"/>
    <x v="69"/>
    <x v="72"/>
    <x v="77"/>
    <x v="1"/>
  </r>
  <r>
    <x v="0"/>
    <x v="25"/>
    <x v="25"/>
    <x v="45"/>
    <x v="45"/>
    <x v="45"/>
    <x v="16"/>
    <x v="138"/>
    <x v="96"/>
    <x v="77"/>
    <x v="271"/>
    <x v="69"/>
    <x v="227"/>
    <x v="1"/>
  </r>
  <r>
    <x v="0"/>
    <x v="25"/>
    <x v="25"/>
    <x v="87"/>
    <x v="87"/>
    <x v="87"/>
    <x v="16"/>
    <x v="138"/>
    <x v="96"/>
    <x v="77"/>
    <x v="271"/>
    <x v="69"/>
    <x v="227"/>
    <x v="1"/>
  </r>
  <r>
    <x v="0"/>
    <x v="25"/>
    <x v="25"/>
    <x v="40"/>
    <x v="40"/>
    <x v="40"/>
    <x v="16"/>
    <x v="138"/>
    <x v="96"/>
    <x v="76"/>
    <x v="69"/>
    <x v="72"/>
    <x v="77"/>
    <x v="1"/>
  </r>
  <r>
    <x v="0"/>
    <x v="25"/>
    <x v="25"/>
    <x v="62"/>
    <x v="62"/>
    <x v="62"/>
    <x v="16"/>
    <x v="138"/>
    <x v="96"/>
    <x v="77"/>
    <x v="271"/>
    <x v="69"/>
    <x v="227"/>
    <x v="1"/>
  </r>
  <r>
    <x v="0"/>
    <x v="25"/>
    <x v="25"/>
    <x v="54"/>
    <x v="54"/>
    <x v="54"/>
    <x v="16"/>
    <x v="138"/>
    <x v="96"/>
    <x v="76"/>
    <x v="69"/>
    <x v="72"/>
    <x v="77"/>
    <x v="1"/>
  </r>
  <r>
    <x v="0"/>
    <x v="26"/>
    <x v="26"/>
    <x v="3"/>
    <x v="3"/>
    <x v="3"/>
    <x v="0"/>
    <x v="65"/>
    <x v="212"/>
    <x v="49"/>
    <x v="277"/>
    <x v="68"/>
    <x v="149"/>
    <x v="1"/>
  </r>
  <r>
    <x v="0"/>
    <x v="26"/>
    <x v="26"/>
    <x v="2"/>
    <x v="2"/>
    <x v="2"/>
    <x v="1"/>
    <x v="144"/>
    <x v="213"/>
    <x v="113"/>
    <x v="278"/>
    <x v="68"/>
    <x v="149"/>
    <x v="1"/>
  </r>
  <r>
    <x v="0"/>
    <x v="26"/>
    <x v="26"/>
    <x v="16"/>
    <x v="16"/>
    <x v="16"/>
    <x v="2"/>
    <x v="100"/>
    <x v="214"/>
    <x v="52"/>
    <x v="213"/>
    <x v="22"/>
    <x v="229"/>
    <x v="0"/>
  </r>
  <r>
    <x v="0"/>
    <x v="26"/>
    <x v="26"/>
    <x v="9"/>
    <x v="9"/>
    <x v="9"/>
    <x v="2"/>
    <x v="100"/>
    <x v="214"/>
    <x v="79"/>
    <x v="279"/>
    <x v="58"/>
    <x v="230"/>
    <x v="1"/>
  </r>
  <r>
    <x v="0"/>
    <x v="26"/>
    <x v="26"/>
    <x v="60"/>
    <x v="60"/>
    <x v="60"/>
    <x v="2"/>
    <x v="100"/>
    <x v="214"/>
    <x v="73"/>
    <x v="280"/>
    <x v="53"/>
    <x v="231"/>
    <x v="1"/>
  </r>
  <r>
    <x v="0"/>
    <x v="26"/>
    <x v="26"/>
    <x v="52"/>
    <x v="52"/>
    <x v="52"/>
    <x v="5"/>
    <x v="110"/>
    <x v="215"/>
    <x v="70"/>
    <x v="216"/>
    <x v="79"/>
    <x v="232"/>
    <x v="1"/>
  </r>
  <r>
    <x v="0"/>
    <x v="26"/>
    <x v="26"/>
    <x v="26"/>
    <x v="26"/>
    <x v="26"/>
    <x v="5"/>
    <x v="110"/>
    <x v="215"/>
    <x v="108"/>
    <x v="215"/>
    <x v="54"/>
    <x v="29"/>
    <x v="1"/>
  </r>
  <r>
    <x v="0"/>
    <x v="26"/>
    <x v="26"/>
    <x v="23"/>
    <x v="23"/>
    <x v="23"/>
    <x v="7"/>
    <x v="78"/>
    <x v="209"/>
    <x v="66"/>
    <x v="238"/>
    <x v="45"/>
    <x v="184"/>
    <x v="1"/>
  </r>
  <r>
    <x v="0"/>
    <x v="26"/>
    <x v="26"/>
    <x v="0"/>
    <x v="0"/>
    <x v="0"/>
    <x v="7"/>
    <x v="78"/>
    <x v="209"/>
    <x v="76"/>
    <x v="221"/>
    <x v="26"/>
    <x v="233"/>
    <x v="1"/>
  </r>
  <r>
    <x v="0"/>
    <x v="26"/>
    <x v="26"/>
    <x v="22"/>
    <x v="22"/>
    <x v="22"/>
    <x v="9"/>
    <x v="104"/>
    <x v="216"/>
    <x v="70"/>
    <x v="216"/>
    <x v="85"/>
    <x v="234"/>
    <x v="1"/>
  </r>
  <r>
    <x v="0"/>
    <x v="26"/>
    <x v="26"/>
    <x v="91"/>
    <x v="91"/>
    <x v="91"/>
    <x v="10"/>
    <x v="105"/>
    <x v="91"/>
    <x v="102"/>
    <x v="281"/>
    <x v="58"/>
    <x v="230"/>
    <x v="1"/>
  </r>
  <r>
    <x v="0"/>
    <x v="26"/>
    <x v="26"/>
    <x v="12"/>
    <x v="12"/>
    <x v="12"/>
    <x v="11"/>
    <x v="107"/>
    <x v="169"/>
    <x v="102"/>
    <x v="281"/>
    <x v="74"/>
    <x v="79"/>
    <x v="1"/>
  </r>
  <r>
    <x v="0"/>
    <x v="26"/>
    <x v="26"/>
    <x v="82"/>
    <x v="82"/>
    <x v="82"/>
    <x v="12"/>
    <x v="80"/>
    <x v="135"/>
    <x v="110"/>
    <x v="184"/>
    <x v="79"/>
    <x v="232"/>
    <x v="1"/>
  </r>
  <r>
    <x v="0"/>
    <x v="26"/>
    <x v="26"/>
    <x v="1"/>
    <x v="1"/>
    <x v="1"/>
    <x v="12"/>
    <x v="80"/>
    <x v="135"/>
    <x v="90"/>
    <x v="75"/>
    <x v="78"/>
    <x v="83"/>
    <x v="1"/>
  </r>
  <r>
    <x v="0"/>
    <x v="26"/>
    <x v="26"/>
    <x v="13"/>
    <x v="13"/>
    <x v="13"/>
    <x v="14"/>
    <x v="82"/>
    <x v="43"/>
    <x v="101"/>
    <x v="62"/>
    <x v="55"/>
    <x v="235"/>
    <x v="1"/>
  </r>
  <r>
    <x v="0"/>
    <x v="26"/>
    <x v="26"/>
    <x v="71"/>
    <x v="71"/>
    <x v="71"/>
    <x v="15"/>
    <x v="83"/>
    <x v="217"/>
    <x v="73"/>
    <x v="280"/>
    <x v="85"/>
    <x v="234"/>
    <x v="1"/>
  </r>
  <r>
    <x v="0"/>
    <x v="26"/>
    <x v="26"/>
    <x v="62"/>
    <x v="62"/>
    <x v="62"/>
    <x v="15"/>
    <x v="83"/>
    <x v="217"/>
    <x v="107"/>
    <x v="282"/>
    <x v="78"/>
    <x v="83"/>
    <x v="1"/>
  </r>
  <r>
    <x v="0"/>
    <x v="26"/>
    <x v="26"/>
    <x v="14"/>
    <x v="14"/>
    <x v="14"/>
    <x v="17"/>
    <x v="113"/>
    <x v="146"/>
    <x v="52"/>
    <x v="213"/>
    <x v="60"/>
    <x v="236"/>
    <x v="1"/>
  </r>
  <r>
    <x v="0"/>
    <x v="26"/>
    <x v="26"/>
    <x v="5"/>
    <x v="5"/>
    <x v="5"/>
    <x v="18"/>
    <x v="121"/>
    <x v="31"/>
    <x v="73"/>
    <x v="280"/>
    <x v="81"/>
    <x v="237"/>
    <x v="1"/>
  </r>
  <r>
    <x v="0"/>
    <x v="26"/>
    <x v="26"/>
    <x v="49"/>
    <x v="49"/>
    <x v="49"/>
    <x v="18"/>
    <x v="121"/>
    <x v="31"/>
    <x v="70"/>
    <x v="216"/>
    <x v="42"/>
    <x v="44"/>
    <x v="1"/>
  </r>
  <r>
    <x v="0"/>
    <x v="27"/>
    <x v="27"/>
    <x v="3"/>
    <x v="3"/>
    <x v="3"/>
    <x v="0"/>
    <x v="114"/>
    <x v="218"/>
    <x v="52"/>
    <x v="283"/>
    <x v="84"/>
    <x v="66"/>
    <x v="1"/>
  </r>
  <r>
    <x v="0"/>
    <x v="27"/>
    <x v="27"/>
    <x v="5"/>
    <x v="5"/>
    <x v="5"/>
    <x v="1"/>
    <x v="115"/>
    <x v="219"/>
    <x v="110"/>
    <x v="184"/>
    <x v="57"/>
    <x v="238"/>
    <x v="1"/>
  </r>
  <r>
    <x v="0"/>
    <x v="27"/>
    <x v="27"/>
    <x v="1"/>
    <x v="1"/>
    <x v="1"/>
    <x v="1"/>
    <x v="115"/>
    <x v="219"/>
    <x v="52"/>
    <x v="283"/>
    <x v="70"/>
    <x v="239"/>
    <x v="1"/>
  </r>
  <r>
    <x v="0"/>
    <x v="27"/>
    <x v="27"/>
    <x v="6"/>
    <x v="6"/>
    <x v="6"/>
    <x v="3"/>
    <x v="123"/>
    <x v="220"/>
    <x v="80"/>
    <x v="284"/>
    <x v="70"/>
    <x v="239"/>
    <x v="1"/>
  </r>
  <r>
    <x v="0"/>
    <x v="27"/>
    <x v="27"/>
    <x v="0"/>
    <x v="0"/>
    <x v="0"/>
    <x v="4"/>
    <x v="126"/>
    <x v="175"/>
    <x v="76"/>
    <x v="285"/>
    <x v="60"/>
    <x v="240"/>
    <x v="1"/>
  </r>
  <r>
    <x v="0"/>
    <x v="27"/>
    <x v="27"/>
    <x v="4"/>
    <x v="4"/>
    <x v="4"/>
    <x v="4"/>
    <x v="126"/>
    <x v="175"/>
    <x v="80"/>
    <x v="284"/>
    <x v="72"/>
    <x v="77"/>
    <x v="1"/>
  </r>
  <r>
    <x v="0"/>
    <x v="27"/>
    <x v="27"/>
    <x v="13"/>
    <x v="13"/>
    <x v="13"/>
    <x v="6"/>
    <x v="133"/>
    <x v="221"/>
    <x v="77"/>
    <x v="23"/>
    <x v="60"/>
    <x v="240"/>
    <x v="1"/>
  </r>
  <r>
    <x v="0"/>
    <x v="27"/>
    <x v="27"/>
    <x v="2"/>
    <x v="2"/>
    <x v="2"/>
    <x v="6"/>
    <x v="133"/>
    <x v="221"/>
    <x v="77"/>
    <x v="23"/>
    <x v="60"/>
    <x v="240"/>
    <x v="1"/>
  </r>
  <r>
    <x v="0"/>
    <x v="27"/>
    <x v="27"/>
    <x v="8"/>
    <x v="8"/>
    <x v="8"/>
    <x v="6"/>
    <x v="133"/>
    <x v="221"/>
    <x v="70"/>
    <x v="286"/>
    <x v="72"/>
    <x v="77"/>
    <x v="1"/>
  </r>
  <r>
    <x v="0"/>
    <x v="27"/>
    <x v="27"/>
    <x v="26"/>
    <x v="26"/>
    <x v="26"/>
    <x v="9"/>
    <x v="143"/>
    <x v="222"/>
    <x v="74"/>
    <x v="287"/>
    <x v="69"/>
    <x v="71"/>
    <x v="1"/>
  </r>
  <r>
    <x v="0"/>
    <x v="27"/>
    <x v="27"/>
    <x v="7"/>
    <x v="7"/>
    <x v="7"/>
    <x v="9"/>
    <x v="143"/>
    <x v="222"/>
    <x v="74"/>
    <x v="287"/>
    <x v="69"/>
    <x v="71"/>
    <x v="1"/>
  </r>
  <r>
    <x v="0"/>
    <x v="27"/>
    <x v="27"/>
    <x v="12"/>
    <x v="12"/>
    <x v="12"/>
    <x v="11"/>
    <x v="136"/>
    <x v="223"/>
    <x v="101"/>
    <x v="288"/>
    <x v="70"/>
    <x v="239"/>
    <x v="1"/>
  </r>
  <r>
    <x v="0"/>
    <x v="27"/>
    <x v="27"/>
    <x v="16"/>
    <x v="16"/>
    <x v="16"/>
    <x v="11"/>
    <x v="136"/>
    <x v="223"/>
    <x v="75"/>
    <x v="289"/>
    <x v="69"/>
    <x v="71"/>
    <x v="1"/>
  </r>
  <r>
    <x v="0"/>
    <x v="27"/>
    <x v="27"/>
    <x v="21"/>
    <x v="21"/>
    <x v="21"/>
    <x v="13"/>
    <x v="140"/>
    <x v="10"/>
    <x v="77"/>
    <x v="23"/>
    <x v="84"/>
    <x v="66"/>
    <x v="1"/>
  </r>
  <r>
    <x v="0"/>
    <x v="27"/>
    <x v="27"/>
    <x v="15"/>
    <x v="15"/>
    <x v="15"/>
    <x v="13"/>
    <x v="140"/>
    <x v="10"/>
    <x v="73"/>
    <x v="290"/>
    <x v="78"/>
    <x v="241"/>
    <x v="1"/>
  </r>
  <r>
    <x v="0"/>
    <x v="27"/>
    <x v="27"/>
    <x v="11"/>
    <x v="11"/>
    <x v="11"/>
    <x v="13"/>
    <x v="140"/>
    <x v="10"/>
    <x v="76"/>
    <x v="285"/>
    <x v="69"/>
    <x v="71"/>
    <x v="0"/>
  </r>
  <r>
    <x v="0"/>
    <x v="27"/>
    <x v="27"/>
    <x v="30"/>
    <x v="30"/>
    <x v="30"/>
    <x v="16"/>
    <x v="137"/>
    <x v="118"/>
    <x v="102"/>
    <x v="31"/>
    <x v="84"/>
    <x v="66"/>
    <x v="1"/>
  </r>
  <r>
    <x v="0"/>
    <x v="27"/>
    <x v="27"/>
    <x v="17"/>
    <x v="17"/>
    <x v="17"/>
    <x v="16"/>
    <x v="137"/>
    <x v="118"/>
    <x v="102"/>
    <x v="31"/>
    <x v="84"/>
    <x v="66"/>
    <x v="1"/>
  </r>
  <r>
    <x v="0"/>
    <x v="27"/>
    <x v="27"/>
    <x v="23"/>
    <x v="23"/>
    <x v="23"/>
    <x v="16"/>
    <x v="137"/>
    <x v="118"/>
    <x v="76"/>
    <x v="285"/>
    <x v="69"/>
    <x v="71"/>
    <x v="1"/>
  </r>
  <r>
    <x v="0"/>
    <x v="27"/>
    <x v="27"/>
    <x v="10"/>
    <x v="10"/>
    <x v="10"/>
    <x v="16"/>
    <x v="137"/>
    <x v="118"/>
    <x v="102"/>
    <x v="31"/>
    <x v="84"/>
    <x v="66"/>
    <x v="1"/>
  </r>
  <r>
    <x v="0"/>
    <x v="27"/>
    <x v="27"/>
    <x v="42"/>
    <x v="42"/>
    <x v="42"/>
    <x v="16"/>
    <x v="137"/>
    <x v="118"/>
    <x v="110"/>
    <x v="184"/>
    <x v="56"/>
    <x v="121"/>
    <x v="1"/>
  </r>
  <r>
    <x v="0"/>
    <x v="27"/>
    <x v="27"/>
    <x v="55"/>
    <x v="55"/>
    <x v="55"/>
    <x v="16"/>
    <x v="137"/>
    <x v="118"/>
    <x v="110"/>
    <x v="184"/>
    <x v="84"/>
    <x v="66"/>
    <x v="1"/>
  </r>
  <r>
    <x v="0"/>
    <x v="28"/>
    <x v="28"/>
    <x v="2"/>
    <x v="2"/>
    <x v="2"/>
    <x v="0"/>
    <x v="79"/>
    <x v="224"/>
    <x v="115"/>
    <x v="291"/>
    <x v="42"/>
    <x v="242"/>
    <x v="1"/>
  </r>
  <r>
    <x v="0"/>
    <x v="28"/>
    <x v="28"/>
    <x v="17"/>
    <x v="17"/>
    <x v="17"/>
    <x v="1"/>
    <x v="140"/>
    <x v="225"/>
    <x v="76"/>
    <x v="292"/>
    <x v="70"/>
    <x v="243"/>
    <x v="1"/>
  </r>
  <r>
    <x v="0"/>
    <x v="28"/>
    <x v="28"/>
    <x v="14"/>
    <x v="14"/>
    <x v="14"/>
    <x v="1"/>
    <x v="140"/>
    <x v="225"/>
    <x v="101"/>
    <x v="45"/>
    <x v="69"/>
    <x v="244"/>
    <x v="1"/>
  </r>
  <r>
    <x v="0"/>
    <x v="28"/>
    <x v="28"/>
    <x v="4"/>
    <x v="4"/>
    <x v="4"/>
    <x v="1"/>
    <x v="140"/>
    <x v="225"/>
    <x v="75"/>
    <x v="293"/>
    <x v="72"/>
    <x v="77"/>
    <x v="1"/>
  </r>
  <r>
    <x v="0"/>
    <x v="28"/>
    <x v="28"/>
    <x v="5"/>
    <x v="5"/>
    <x v="5"/>
    <x v="4"/>
    <x v="137"/>
    <x v="170"/>
    <x v="73"/>
    <x v="294"/>
    <x v="78"/>
    <x v="245"/>
    <x v="1"/>
  </r>
  <r>
    <x v="0"/>
    <x v="28"/>
    <x v="28"/>
    <x v="40"/>
    <x v="40"/>
    <x v="40"/>
    <x v="4"/>
    <x v="137"/>
    <x v="170"/>
    <x v="77"/>
    <x v="295"/>
    <x v="70"/>
    <x v="243"/>
    <x v="1"/>
  </r>
  <r>
    <x v="0"/>
    <x v="28"/>
    <x v="28"/>
    <x v="10"/>
    <x v="10"/>
    <x v="10"/>
    <x v="4"/>
    <x v="137"/>
    <x v="170"/>
    <x v="101"/>
    <x v="45"/>
    <x v="72"/>
    <x v="77"/>
    <x v="1"/>
  </r>
  <r>
    <x v="0"/>
    <x v="28"/>
    <x v="28"/>
    <x v="42"/>
    <x v="42"/>
    <x v="42"/>
    <x v="4"/>
    <x v="137"/>
    <x v="170"/>
    <x v="102"/>
    <x v="16"/>
    <x v="84"/>
    <x v="246"/>
    <x v="1"/>
  </r>
  <r>
    <x v="0"/>
    <x v="28"/>
    <x v="28"/>
    <x v="1"/>
    <x v="1"/>
    <x v="1"/>
    <x v="4"/>
    <x v="137"/>
    <x v="170"/>
    <x v="101"/>
    <x v="45"/>
    <x v="72"/>
    <x v="77"/>
    <x v="1"/>
  </r>
  <r>
    <x v="0"/>
    <x v="28"/>
    <x v="28"/>
    <x v="60"/>
    <x v="60"/>
    <x v="60"/>
    <x v="9"/>
    <x v="138"/>
    <x v="10"/>
    <x v="110"/>
    <x v="184"/>
    <x v="78"/>
    <x v="245"/>
    <x v="1"/>
  </r>
  <r>
    <x v="0"/>
    <x v="28"/>
    <x v="28"/>
    <x v="3"/>
    <x v="3"/>
    <x v="3"/>
    <x v="9"/>
    <x v="138"/>
    <x v="10"/>
    <x v="102"/>
    <x v="16"/>
    <x v="70"/>
    <x v="243"/>
    <x v="1"/>
  </r>
  <r>
    <x v="0"/>
    <x v="28"/>
    <x v="28"/>
    <x v="46"/>
    <x v="46"/>
    <x v="46"/>
    <x v="9"/>
    <x v="138"/>
    <x v="10"/>
    <x v="76"/>
    <x v="292"/>
    <x v="72"/>
    <x v="77"/>
    <x v="1"/>
  </r>
  <r>
    <x v="0"/>
    <x v="28"/>
    <x v="28"/>
    <x v="6"/>
    <x v="6"/>
    <x v="6"/>
    <x v="9"/>
    <x v="138"/>
    <x v="10"/>
    <x v="76"/>
    <x v="292"/>
    <x v="72"/>
    <x v="77"/>
    <x v="1"/>
  </r>
  <r>
    <x v="0"/>
    <x v="28"/>
    <x v="28"/>
    <x v="11"/>
    <x v="11"/>
    <x v="11"/>
    <x v="9"/>
    <x v="138"/>
    <x v="10"/>
    <x v="77"/>
    <x v="295"/>
    <x v="69"/>
    <x v="244"/>
    <x v="1"/>
  </r>
  <r>
    <x v="0"/>
    <x v="28"/>
    <x v="28"/>
    <x v="25"/>
    <x v="25"/>
    <x v="25"/>
    <x v="9"/>
    <x v="138"/>
    <x v="10"/>
    <x v="76"/>
    <x v="292"/>
    <x v="72"/>
    <x v="77"/>
    <x v="1"/>
  </r>
  <r>
    <x v="0"/>
    <x v="28"/>
    <x v="28"/>
    <x v="13"/>
    <x v="13"/>
    <x v="13"/>
    <x v="15"/>
    <x v="139"/>
    <x v="226"/>
    <x v="73"/>
    <x v="294"/>
    <x v="70"/>
    <x v="243"/>
    <x v="1"/>
  </r>
  <r>
    <x v="0"/>
    <x v="28"/>
    <x v="28"/>
    <x v="12"/>
    <x v="12"/>
    <x v="12"/>
    <x v="15"/>
    <x v="139"/>
    <x v="226"/>
    <x v="102"/>
    <x v="16"/>
    <x v="69"/>
    <x v="244"/>
    <x v="1"/>
  </r>
  <r>
    <x v="0"/>
    <x v="28"/>
    <x v="28"/>
    <x v="30"/>
    <x v="30"/>
    <x v="30"/>
    <x v="15"/>
    <x v="139"/>
    <x v="226"/>
    <x v="73"/>
    <x v="294"/>
    <x v="70"/>
    <x v="243"/>
    <x v="1"/>
  </r>
  <r>
    <x v="0"/>
    <x v="28"/>
    <x v="28"/>
    <x v="9"/>
    <x v="9"/>
    <x v="9"/>
    <x v="15"/>
    <x v="139"/>
    <x v="226"/>
    <x v="110"/>
    <x v="184"/>
    <x v="84"/>
    <x v="246"/>
    <x v="1"/>
  </r>
  <r>
    <x v="0"/>
    <x v="28"/>
    <x v="28"/>
    <x v="15"/>
    <x v="15"/>
    <x v="15"/>
    <x v="15"/>
    <x v="139"/>
    <x v="226"/>
    <x v="73"/>
    <x v="294"/>
    <x v="70"/>
    <x v="243"/>
    <x v="1"/>
  </r>
  <r>
    <x v="0"/>
    <x v="28"/>
    <x v="28"/>
    <x v="62"/>
    <x v="62"/>
    <x v="62"/>
    <x v="15"/>
    <x v="139"/>
    <x v="226"/>
    <x v="77"/>
    <x v="295"/>
    <x v="72"/>
    <x v="77"/>
    <x v="1"/>
  </r>
  <r>
    <x v="0"/>
    <x v="28"/>
    <x v="28"/>
    <x v="24"/>
    <x v="24"/>
    <x v="24"/>
    <x v="15"/>
    <x v="139"/>
    <x v="226"/>
    <x v="73"/>
    <x v="294"/>
    <x v="70"/>
    <x v="243"/>
    <x v="1"/>
  </r>
  <r>
    <x v="0"/>
    <x v="28"/>
    <x v="28"/>
    <x v="34"/>
    <x v="34"/>
    <x v="34"/>
    <x v="15"/>
    <x v="139"/>
    <x v="226"/>
    <x v="102"/>
    <x v="16"/>
    <x v="72"/>
    <x v="77"/>
    <x v="0"/>
  </r>
  <r>
    <x v="0"/>
    <x v="29"/>
    <x v="29"/>
    <x v="1"/>
    <x v="1"/>
    <x v="1"/>
    <x v="0"/>
    <x v="136"/>
    <x v="227"/>
    <x v="74"/>
    <x v="296"/>
    <x v="72"/>
    <x v="77"/>
    <x v="1"/>
  </r>
  <r>
    <x v="0"/>
    <x v="29"/>
    <x v="29"/>
    <x v="35"/>
    <x v="35"/>
    <x v="35"/>
    <x v="1"/>
    <x v="138"/>
    <x v="175"/>
    <x v="76"/>
    <x v="151"/>
    <x v="72"/>
    <x v="77"/>
    <x v="1"/>
  </r>
  <r>
    <x v="0"/>
    <x v="29"/>
    <x v="29"/>
    <x v="2"/>
    <x v="2"/>
    <x v="2"/>
    <x v="1"/>
    <x v="138"/>
    <x v="175"/>
    <x v="102"/>
    <x v="145"/>
    <x v="70"/>
    <x v="247"/>
    <x v="1"/>
  </r>
  <r>
    <x v="0"/>
    <x v="29"/>
    <x v="29"/>
    <x v="46"/>
    <x v="46"/>
    <x v="46"/>
    <x v="1"/>
    <x v="138"/>
    <x v="175"/>
    <x v="76"/>
    <x v="151"/>
    <x v="72"/>
    <x v="77"/>
    <x v="1"/>
  </r>
  <r>
    <x v="0"/>
    <x v="29"/>
    <x v="29"/>
    <x v="5"/>
    <x v="5"/>
    <x v="5"/>
    <x v="4"/>
    <x v="139"/>
    <x v="170"/>
    <x v="73"/>
    <x v="297"/>
    <x v="70"/>
    <x v="247"/>
    <x v="1"/>
  </r>
  <r>
    <x v="0"/>
    <x v="29"/>
    <x v="29"/>
    <x v="12"/>
    <x v="12"/>
    <x v="12"/>
    <x v="4"/>
    <x v="139"/>
    <x v="170"/>
    <x v="77"/>
    <x v="298"/>
    <x v="72"/>
    <x v="77"/>
    <x v="1"/>
  </r>
  <r>
    <x v="0"/>
    <x v="29"/>
    <x v="29"/>
    <x v="87"/>
    <x v="87"/>
    <x v="87"/>
    <x v="4"/>
    <x v="139"/>
    <x v="170"/>
    <x v="77"/>
    <x v="298"/>
    <x v="72"/>
    <x v="77"/>
    <x v="1"/>
  </r>
  <r>
    <x v="0"/>
    <x v="29"/>
    <x v="29"/>
    <x v="17"/>
    <x v="17"/>
    <x v="17"/>
    <x v="4"/>
    <x v="139"/>
    <x v="170"/>
    <x v="102"/>
    <x v="145"/>
    <x v="69"/>
    <x v="248"/>
    <x v="1"/>
  </r>
  <r>
    <x v="0"/>
    <x v="29"/>
    <x v="29"/>
    <x v="92"/>
    <x v="92"/>
    <x v="92"/>
    <x v="4"/>
    <x v="139"/>
    <x v="170"/>
    <x v="77"/>
    <x v="298"/>
    <x v="72"/>
    <x v="77"/>
    <x v="1"/>
  </r>
  <r>
    <x v="0"/>
    <x v="29"/>
    <x v="29"/>
    <x v="29"/>
    <x v="29"/>
    <x v="29"/>
    <x v="4"/>
    <x v="139"/>
    <x v="170"/>
    <x v="102"/>
    <x v="145"/>
    <x v="69"/>
    <x v="248"/>
    <x v="1"/>
  </r>
  <r>
    <x v="0"/>
    <x v="29"/>
    <x v="29"/>
    <x v="40"/>
    <x v="40"/>
    <x v="40"/>
    <x v="4"/>
    <x v="139"/>
    <x v="170"/>
    <x v="77"/>
    <x v="298"/>
    <x v="72"/>
    <x v="77"/>
    <x v="1"/>
  </r>
  <r>
    <x v="0"/>
    <x v="29"/>
    <x v="29"/>
    <x v="16"/>
    <x v="16"/>
    <x v="16"/>
    <x v="4"/>
    <x v="139"/>
    <x v="170"/>
    <x v="73"/>
    <x v="297"/>
    <x v="70"/>
    <x v="247"/>
    <x v="1"/>
  </r>
  <r>
    <x v="0"/>
    <x v="29"/>
    <x v="29"/>
    <x v="42"/>
    <x v="42"/>
    <x v="42"/>
    <x v="4"/>
    <x v="139"/>
    <x v="170"/>
    <x v="77"/>
    <x v="298"/>
    <x v="72"/>
    <x v="77"/>
    <x v="1"/>
  </r>
  <r>
    <x v="0"/>
    <x v="29"/>
    <x v="29"/>
    <x v="15"/>
    <x v="15"/>
    <x v="15"/>
    <x v="4"/>
    <x v="139"/>
    <x v="170"/>
    <x v="73"/>
    <x v="297"/>
    <x v="70"/>
    <x v="247"/>
    <x v="1"/>
  </r>
  <r>
    <x v="0"/>
    <x v="29"/>
    <x v="29"/>
    <x v="14"/>
    <x v="14"/>
    <x v="14"/>
    <x v="4"/>
    <x v="139"/>
    <x v="170"/>
    <x v="77"/>
    <x v="298"/>
    <x v="72"/>
    <x v="77"/>
    <x v="1"/>
  </r>
  <r>
    <x v="0"/>
    <x v="29"/>
    <x v="29"/>
    <x v="48"/>
    <x v="48"/>
    <x v="48"/>
    <x v="4"/>
    <x v="139"/>
    <x v="170"/>
    <x v="110"/>
    <x v="184"/>
    <x v="72"/>
    <x v="77"/>
    <x v="1"/>
  </r>
  <r>
    <x v="0"/>
    <x v="29"/>
    <x v="29"/>
    <x v="11"/>
    <x v="11"/>
    <x v="11"/>
    <x v="4"/>
    <x v="139"/>
    <x v="170"/>
    <x v="77"/>
    <x v="298"/>
    <x v="72"/>
    <x v="77"/>
    <x v="1"/>
  </r>
  <r>
    <x v="0"/>
    <x v="29"/>
    <x v="29"/>
    <x v="7"/>
    <x v="7"/>
    <x v="7"/>
    <x v="4"/>
    <x v="139"/>
    <x v="170"/>
    <x v="77"/>
    <x v="298"/>
    <x v="72"/>
    <x v="77"/>
    <x v="1"/>
  </r>
  <r>
    <x v="0"/>
    <x v="29"/>
    <x v="29"/>
    <x v="85"/>
    <x v="85"/>
    <x v="85"/>
    <x v="4"/>
    <x v="139"/>
    <x v="170"/>
    <x v="110"/>
    <x v="184"/>
    <x v="84"/>
    <x v="249"/>
    <x v="1"/>
  </r>
  <r>
    <x v="0"/>
    <x v="29"/>
    <x v="29"/>
    <x v="13"/>
    <x v="13"/>
    <x v="13"/>
    <x v="19"/>
    <x v="141"/>
    <x v="86"/>
    <x v="110"/>
    <x v="184"/>
    <x v="70"/>
    <x v="247"/>
    <x v="1"/>
  </r>
  <r>
    <x v="0"/>
    <x v="29"/>
    <x v="29"/>
    <x v="36"/>
    <x v="36"/>
    <x v="36"/>
    <x v="19"/>
    <x v="141"/>
    <x v="86"/>
    <x v="102"/>
    <x v="145"/>
    <x v="72"/>
    <x v="77"/>
    <x v="1"/>
  </r>
  <r>
    <x v="0"/>
    <x v="29"/>
    <x v="29"/>
    <x v="93"/>
    <x v="93"/>
    <x v="93"/>
    <x v="19"/>
    <x v="141"/>
    <x v="86"/>
    <x v="73"/>
    <x v="297"/>
    <x v="69"/>
    <x v="248"/>
    <x v="1"/>
  </r>
  <r>
    <x v="0"/>
    <x v="29"/>
    <x v="29"/>
    <x v="94"/>
    <x v="94"/>
    <x v="94"/>
    <x v="19"/>
    <x v="141"/>
    <x v="86"/>
    <x v="73"/>
    <x v="297"/>
    <x v="69"/>
    <x v="248"/>
    <x v="1"/>
  </r>
  <r>
    <x v="0"/>
    <x v="29"/>
    <x v="29"/>
    <x v="27"/>
    <x v="27"/>
    <x v="27"/>
    <x v="19"/>
    <x v="141"/>
    <x v="86"/>
    <x v="73"/>
    <x v="297"/>
    <x v="69"/>
    <x v="248"/>
    <x v="1"/>
  </r>
  <r>
    <x v="0"/>
    <x v="29"/>
    <x v="29"/>
    <x v="95"/>
    <x v="95"/>
    <x v="95"/>
    <x v="19"/>
    <x v="141"/>
    <x v="86"/>
    <x v="102"/>
    <x v="145"/>
    <x v="72"/>
    <x v="77"/>
    <x v="1"/>
  </r>
  <r>
    <x v="0"/>
    <x v="29"/>
    <x v="29"/>
    <x v="23"/>
    <x v="23"/>
    <x v="23"/>
    <x v="19"/>
    <x v="141"/>
    <x v="86"/>
    <x v="102"/>
    <x v="145"/>
    <x v="72"/>
    <x v="77"/>
    <x v="1"/>
  </r>
  <r>
    <x v="0"/>
    <x v="29"/>
    <x v="29"/>
    <x v="10"/>
    <x v="10"/>
    <x v="10"/>
    <x v="19"/>
    <x v="141"/>
    <x v="86"/>
    <x v="110"/>
    <x v="184"/>
    <x v="70"/>
    <x v="247"/>
    <x v="1"/>
  </r>
  <r>
    <x v="0"/>
    <x v="29"/>
    <x v="29"/>
    <x v="41"/>
    <x v="41"/>
    <x v="41"/>
    <x v="19"/>
    <x v="141"/>
    <x v="86"/>
    <x v="73"/>
    <x v="297"/>
    <x v="69"/>
    <x v="248"/>
    <x v="1"/>
  </r>
  <r>
    <x v="0"/>
    <x v="29"/>
    <x v="29"/>
    <x v="6"/>
    <x v="6"/>
    <x v="6"/>
    <x v="19"/>
    <x v="141"/>
    <x v="86"/>
    <x v="102"/>
    <x v="145"/>
    <x v="72"/>
    <x v="77"/>
    <x v="1"/>
  </r>
  <r>
    <x v="0"/>
    <x v="29"/>
    <x v="29"/>
    <x v="4"/>
    <x v="4"/>
    <x v="4"/>
    <x v="19"/>
    <x v="141"/>
    <x v="86"/>
    <x v="102"/>
    <x v="145"/>
    <x v="72"/>
    <x v="77"/>
    <x v="1"/>
  </r>
  <r>
    <x v="0"/>
    <x v="29"/>
    <x v="29"/>
    <x v="96"/>
    <x v="96"/>
    <x v="96"/>
    <x v="19"/>
    <x v="141"/>
    <x v="86"/>
    <x v="102"/>
    <x v="145"/>
    <x v="72"/>
    <x v="77"/>
    <x v="1"/>
  </r>
  <r>
    <x v="0"/>
    <x v="29"/>
    <x v="29"/>
    <x v="90"/>
    <x v="90"/>
    <x v="90"/>
    <x v="19"/>
    <x v="141"/>
    <x v="86"/>
    <x v="110"/>
    <x v="184"/>
    <x v="72"/>
    <x v="77"/>
    <x v="1"/>
  </r>
  <r>
    <x v="0"/>
    <x v="29"/>
    <x v="29"/>
    <x v="97"/>
    <x v="97"/>
    <x v="97"/>
    <x v="19"/>
    <x v="141"/>
    <x v="86"/>
    <x v="110"/>
    <x v="184"/>
    <x v="70"/>
    <x v="247"/>
    <x v="1"/>
  </r>
  <r>
    <x v="0"/>
    <x v="29"/>
    <x v="29"/>
    <x v="25"/>
    <x v="25"/>
    <x v="25"/>
    <x v="19"/>
    <x v="141"/>
    <x v="86"/>
    <x v="102"/>
    <x v="145"/>
    <x v="72"/>
    <x v="77"/>
    <x v="1"/>
  </r>
  <r>
    <x v="0"/>
    <x v="30"/>
    <x v="30"/>
    <x v="2"/>
    <x v="2"/>
    <x v="2"/>
    <x v="0"/>
    <x v="120"/>
    <x v="228"/>
    <x v="103"/>
    <x v="299"/>
    <x v="84"/>
    <x v="250"/>
    <x v="1"/>
  </r>
  <r>
    <x v="0"/>
    <x v="30"/>
    <x v="30"/>
    <x v="5"/>
    <x v="5"/>
    <x v="5"/>
    <x v="1"/>
    <x v="123"/>
    <x v="229"/>
    <x v="81"/>
    <x v="300"/>
    <x v="78"/>
    <x v="251"/>
    <x v="1"/>
  </r>
  <r>
    <x v="0"/>
    <x v="30"/>
    <x v="30"/>
    <x v="14"/>
    <x v="14"/>
    <x v="14"/>
    <x v="1"/>
    <x v="123"/>
    <x v="229"/>
    <x v="52"/>
    <x v="301"/>
    <x v="69"/>
    <x v="252"/>
    <x v="1"/>
  </r>
  <r>
    <x v="0"/>
    <x v="30"/>
    <x v="30"/>
    <x v="12"/>
    <x v="12"/>
    <x v="12"/>
    <x v="3"/>
    <x v="143"/>
    <x v="230"/>
    <x v="101"/>
    <x v="236"/>
    <x v="84"/>
    <x v="250"/>
    <x v="1"/>
  </r>
  <r>
    <x v="0"/>
    <x v="30"/>
    <x v="30"/>
    <x v="3"/>
    <x v="3"/>
    <x v="3"/>
    <x v="4"/>
    <x v="136"/>
    <x v="231"/>
    <x v="74"/>
    <x v="302"/>
    <x v="72"/>
    <x v="77"/>
    <x v="1"/>
  </r>
  <r>
    <x v="0"/>
    <x v="30"/>
    <x v="30"/>
    <x v="62"/>
    <x v="62"/>
    <x v="62"/>
    <x v="5"/>
    <x v="140"/>
    <x v="73"/>
    <x v="101"/>
    <x v="236"/>
    <x v="69"/>
    <x v="252"/>
    <x v="1"/>
  </r>
  <r>
    <x v="0"/>
    <x v="30"/>
    <x v="30"/>
    <x v="1"/>
    <x v="1"/>
    <x v="1"/>
    <x v="5"/>
    <x v="140"/>
    <x v="73"/>
    <x v="75"/>
    <x v="303"/>
    <x v="72"/>
    <x v="77"/>
    <x v="1"/>
  </r>
  <r>
    <x v="0"/>
    <x v="30"/>
    <x v="30"/>
    <x v="10"/>
    <x v="10"/>
    <x v="10"/>
    <x v="7"/>
    <x v="137"/>
    <x v="126"/>
    <x v="76"/>
    <x v="304"/>
    <x v="69"/>
    <x v="252"/>
    <x v="1"/>
  </r>
  <r>
    <x v="0"/>
    <x v="30"/>
    <x v="30"/>
    <x v="87"/>
    <x v="87"/>
    <x v="87"/>
    <x v="8"/>
    <x v="138"/>
    <x v="145"/>
    <x v="76"/>
    <x v="304"/>
    <x v="72"/>
    <x v="77"/>
    <x v="1"/>
  </r>
  <r>
    <x v="0"/>
    <x v="30"/>
    <x v="30"/>
    <x v="98"/>
    <x v="98"/>
    <x v="98"/>
    <x v="8"/>
    <x v="138"/>
    <x v="145"/>
    <x v="102"/>
    <x v="196"/>
    <x v="70"/>
    <x v="253"/>
    <x v="1"/>
  </r>
  <r>
    <x v="0"/>
    <x v="30"/>
    <x v="30"/>
    <x v="40"/>
    <x v="40"/>
    <x v="40"/>
    <x v="8"/>
    <x v="138"/>
    <x v="145"/>
    <x v="102"/>
    <x v="196"/>
    <x v="70"/>
    <x v="253"/>
    <x v="1"/>
  </r>
  <r>
    <x v="0"/>
    <x v="30"/>
    <x v="30"/>
    <x v="42"/>
    <x v="42"/>
    <x v="42"/>
    <x v="8"/>
    <x v="138"/>
    <x v="145"/>
    <x v="110"/>
    <x v="184"/>
    <x v="78"/>
    <x v="251"/>
    <x v="1"/>
  </r>
  <r>
    <x v="0"/>
    <x v="30"/>
    <x v="30"/>
    <x v="13"/>
    <x v="13"/>
    <x v="13"/>
    <x v="12"/>
    <x v="139"/>
    <x v="96"/>
    <x v="73"/>
    <x v="305"/>
    <x v="70"/>
    <x v="253"/>
    <x v="1"/>
  </r>
  <r>
    <x v="0"/>
    <x v="30"/>
    <x v="30"/>
    <x v="35"/>
    <x v="35"/>
    <x v="35"/>
    <x v="12"/>
    <x v="139"/>
    <x v="96"/>
    <x v="73"/>
    <x v="305"/>
    <x v="70"/>
    <x v="253"/>
    <x v="1"/>
  </r>
  <r>
    <x v="0"/>
    <x v="30"/>
    <x v="30"/>
    <x v="45"/>
    <x v="45"/>
    <x v="45"/>
    <x v="12"/>
    <x v="139"/>
    <x v="96"/>
    <x v="102"/>
    <x v="196"/>
    <x v="69"/>
    <x v="252"/>
    <x v="1"/>
  </r>
  <r>
    <x v="0"/>
    <x v="30"/>
    <x v="30"/>
    <x v="99"/>
    <x v="99"/>
    <x v="99"/>
    <x v="12"/>
    <x v="139"/>
    <x v="96"/>
    <x v="73"/>
    <x v="305"/>
    <x v="70"/>
    <x v="253"/>
    <x v="1"/>
  </r>
  <r>
    <x v="0"/>
    <x v="30"/>
    <x v="30"/>
    <x v="53"/>
    <x v="53"/>
    <x v="53"/>
    <x v="12"/>
    <x v="139"/>
    <x v="96"/>
    <x v="102"/>
    <x v="196"/>
    <x v="69"/>
    <x v="252"/>
    <x v="1"/>
  </r>
  <r>
    <x v="0"/>
    <x v="30"/>
    <x v="30"/>
    <x v="16"/>
    <x v="16"/>
    <x v="16"/>
    <x v="12"/>
    <x v="139"/>
    <x v="96"/>
    <x v="73"/>
    <x v="305"/>
    <x v="70"/>
    <x v="253"/>
    <x v="1"/>
  </r>
  <r>
    <x v="0"/>
    <x v="30"/>
    <x v="30"/>
    <x v="31"/>
    <x v="31"/>
    <x v="31"/>
    <x v="12"/>
    <x v="139"/>
    <x v="96"/>
    <x v="77"/>
    <x v="306"/>
    <x v="72"/>
    <x v="77"/>
    <x v="1"/>
  </r>
  <r>
    <x v="0"/>
    <x v="30"/>
    <x v="30"/>
    <x v="15"/>
    <x v="15"/>
    <x v="15"/>
    <x v="12"/>
    <x v="139"/>
    <x v="96"/>
    <x v="73"/>
    <x v="305"/>
    <x v="70"/>
    <x v="253"/>
    <x v="1"/>
  </r>
  <r>
    <x v="0"/>
    <x v="30"/>
    <x v="30"/>
    <x v="8"/>
    <x v="8"/>
    <x v="8"/>
    <x v="12"/>
    <x v="139"/>
    <x v="96"/>
    <x v="77"/>
    <x v="306"/>
    <x v="72"/>
    <x v="77"/>
    <x v="1"/>
  </r>
  <r>
    <x v="0"/>
    <x v="30"/>
    <x v="30"/>
    <x v="33"/>
    <x v="33"/>
    <x v="33"/>
    <x v="12"/>
    <x v="139"/>
    <x v="96"/>
    <x v="110"/>
    <x v="184"/>
    <x v="84"/>
    <x v="250"/>
    <x v="1"/>
  </r>
  <r>
    <x v="0"/>
    <x v="30"/>
    <x v="30"/>
    <x v="4"/>
    <x v="4"/>
    <x v="4"/>
    <x v="12"/>
    <x v="139"/>
    <x v="96"/>
    <x v="77"/>
    <x v="306"/>
    <x v="72"/>
    <x v="77"/>
    <x v="1"/>
  </r>
  <r>
    <x v="0"/>
    <x v="31"/>
    <x v="31"/>
    <x v="1"/>
    <x v="1"/>
    <x v="1"/>
    <x v="0"/>
    <x v="101"/>
    <x v="232"/>
    <x v="48"/>
    <x v="307"/>
    <x v="84"/>
    <x v="254"/>
    <x v="1"/>
  </r>
  <r>
    <x v="0"/>
    <x v="31"/>
    <x v="31"/>
    <x v="0"/>
    <x v="0"/>
    <x v="0"/>
    <x v="1"/>
    <x v="83"/>
    <x v="233"/>
    <x v="52"/>
    <x v="308"/>
    <x v="76"/>
    <x v="255"/>
    <x v="1"/>
  </r>
  <r>
    <x v="0"/>
    <x v="31"/>
    <x v="31"/>
    <x v="3"/>
    <x v="3"/>
    <x v="3"/>
    <x v="2"/>
    <x v="84"/>
    <x v="234"/>
    <x v="107"/>
    <x v="309"/>
    <x v="84"/>
    <x v="254"/>
    <x v="1"/>
  </r>
  <r>
    <x v="0"/>
    <x v="31"/>
    <x v="31"/>
    <x v="4"/>
    <x v="4"/>
    <x v="4"/>
    <x v="3"/>
    <x v="112"/>
    <x v="209"/>
    <x v="107"/>
    <x v="309"/>
    <x v="69"/>
    <x v="256"/>
    <x v="1"/>
  </r>
  <r>
    <x v="0"/>
    <x v="31"/>
    <x v="31"/>
    <x v="6"/>
    <x v="6"/>
    <x v="6"/>
    <x v="4"/>
    <x v="122"/>
    <x v="235"/>
    <x v="66"/>
    <x v="310"/>
    <x v="72"/>
    <x v="77"/>
    <x v="1"/>
  </r>
  <r>
    <x v="0"/>
    <x v="31"/>
    <x v="31"/>
    <x v="13"/>
    <x v="13"/>
    <x v="13"/>
    <x v="5"/>
    <x v="123"/>
    <x v="210"/>
    <x v="102"/>
    <x v="311"/>
    <x v="76"/>
    <x v="255"/>
    <x v="1"/>
  </r>
  <r>
    <x v="0"/>
    <x v="31"/>
    <x v="31"/>
    <x v="16"/>
    <x v="16"/>
    <x v="16"/>
    <x v="5"/>
    <x v="123"/>
    <x v="210"/>
    <x v="70"/>
    <x v="312"/>
    <x v="84"/>
    <x v="254"/>
    <x v="1"/>
  </r>
  <r>
    <x v="0"/>
    <x v="31"/>
    <x v="31"/>
    <x v="21"/>
    <x v="21"/>
    <x v="21"/>
    <x v="7"/>
    <x v="124"/>
    <x v="12"/>
    <x v="81"/>
    <x v="313"/>
    <x v="84"/>
    <x v="254"/>
    <x v="1"/>
  </r>
  <r>
    <x v="0"/>
    <x v="31"/>
    <x v="31"/>
    <x v="14"/>
    <x v="14"/>
    <x v="14"/>
    <x v="7"/>
    <x v="124"/>
    <x v="12"/>
    <x v="80"/>
    <x v="169"/>
    <x v="69"/>
    <x v="256"/>
    <x v="1"/>
  </r>
  <r>
    <x v="0"/>
    <x v="31"/>
    <x v="31"/>
    <x v="8"/>
    <x v="8"/>
    <x v="8"/>
    <x v="7"/>
    <x v="124"/>
    <x v="12"/>
    <x v="80"/>
    <x v="169"/>
    <x v="69"/>
    <x v="256"/>
    <x v="1"/>
  </r>
  <r>
    <x v="0"/>
    <x v="31"/>
    <x v="31"/>
    <x v="5"/>
    <x v="5"/>
    <x v="5"/>
    <x v="10"/>
    <x v="126"/>
    <x v="211"/>
    <x v="77"/>
    <x v="314"/>
    <x v="42"/>
    <x v="257"/>
    <x v="1"/>
  </r>
  <r>
    <x v="0"/>
    <x v="31"/>
    <x v="31"/>
    <x v="100"/>
    <x v="100"/>
    <x v="100"/>
    <x v="10"/>
    <x v="126"/>
    <x v="211"/>
    <x v="75"/>
    <x v="315"/>
    <x v="78"/>
    <x v="258"/>
    <x v="1"/>
  </r>
  <r>
    <x v="0"/>
    <x v="31"/>
    <x v="31"/>
    <x v="23"/>
    <x v="23"/>
    <x v="23"/>
    <x v="10"/>
    <x v="126"/>
    <x v="211"/>
    <x v="75"/>
    <x v="315"/>
    <x v="78"/>
    <x v="258"/>
    <x v="1"/>
  </r>
  <r>
    <x v="0"/>
    <x v="31"/>
    <x v="31"/>
    <x v="10"/>
    <x v="10"/>
    <x v="10"/>
    <x v="10"/>
    <x v="126"/>
    <x v="211"/>
    <x v="101"/>
    <x v="218"/>
    <x v="56"/>
    <x v="50"/>
    <x v="1"/>
  </r>
  <r>
    <x v="0"/>
    <x v="31"/>
    <x v="31"/>
    <x v="9"/>
    <x v="9"/>
    <x v="9"/>
    <x v="10"/>
    <x v="126"/>
    <x v="211"/>
    <x v="81"/>
    <x v="313"/>
    <x v="70"/>
    <x v="259"/>
    <x v="1"/>
  </r>
  <r>
    <x v="0"/>
    <x v="31"/>
    <x v="31"/>
    <x v="18"/>
    <x v="18"/>
    <x v="18"/>
    <x v="10"/>
    <x v="126"/>
    <x v="211"/>
    <x v="102"/>
    <x v="311"/>
    <x v="44"/>
    <x v="206"/>
    <x v="1"/>
  </r>
  <r>
    <x v="0"/>
    <x v="31"/>
    <x v="31"/>
    <x v="26"/>
    <x v="26"/>
    <x v="26"/>
    <x v="10"/>
    <x v="126"/>
    <x v="211"/>
    <x v="70"/>
    <x v="312"/>
    <x v="69"/>
    <x v="256"/>
    <x v="1"/>
  </r>
  <r>
    <x v="0"/>
    <x v="31"/>
    <x v="31"/>
    <x v="11"/>
    <x v="11"/>
    <x v="11"/>
    <x v="10"/>
    <x v="126"/>
    <x v="211"/>
    <x v="101"/>
    <x v="218"/>
    <x v="56"/>
    <x v="50"/>
    <x v="1"/>
  </r>
  <r>
    <x v="0"/>
    <x v="31"/>
    <x v="31"/>
    <x v="12"/>
    <x v="12"/>
    <x v="12"/>
    <x v="18"/>
    <x v="133"/>
    <x v="60"/>
    <x v="76"/>
    <x v="316"/>
    <x v="56"/>
    <x v="50"/>
    <x v="1"/>
  </r>
  <r>
    <x v="0"/>
    <x v="31"/>
    <x v="31"/>
    <x v="28"/>
    <x v="28"/>
    <x v="28"/>
    <x v="19"/>
    <x v="143"/>
    <x v="18"/>
    <x v="77"/>
    <x v="314"/>
    <x v="56"/>
    <x v="50"/>
    <x v="1"/>
  </r>
  <r>
    <x v="0"/>
    <x v="31"/>
    <x v="31"/>
    <x v="2"/>
    <x v="2"/>
    <x v="2"/>
    <x v="19"/>
    <x v="143"/>
    <x v="18"/>
    <x v="75"/>
    <x v="315"/>
    <x v="70"/>
    <x v="259"/>
    <x v="1"/>
  </r>
  <r>
    <x v="0"/>
    <x v="31"/>
    <x v="31"/>
    <x v="7"/>
    <x v="7"/>
    <x v="7"/>
    <x v="19"/>
    <x v="143"/>
    <x v="18"/>
    <x v="74"/>
    <x v="132"/>
    <x v="69"/>
    <x v="256"/>
    <x v="1"/>
  </r>
  <r>
    <x v="0"/>
    <x v="32"/>
    <x v="32"/>
    <x v="2"/>
    <x v="2"/>
    <x v="2"/>
    <x v="0"/>
    <x v="113"/>
    <x v="236"/>
    <x v="66"/>
    <x v="317"/>
    <x v="70"/>
    <x v="260"/>
    <x v="1"/>
  </r>
  <r>
    <x v="0"/>
    <x v="32"/>
    <x v="32"/>
    <x v="12"/>
    <x v="12"/>
    <x v="12"/>
    <x v="1"/>
    <x v="123"/>
    <x v="237"/>
    <x v="75"/>
    <x v="25"/>
    <x v="60"/>
    <x v="261"/>
    <x v="1"/>
  </r>
  <r>
    <x v="0"/>
    <x v="32"/>
    <x v="32"/>
    <x v="1"/>
    <x v="1"/>
    <x v="1"/>
    <x v="1"/>
    <x v="123"/>
    <x v="237"/>
    <x v="80"/>
    <x v="318"/>
    <x v="70"/>
    <x v="260"/>
    <x v="1"/>
  </r>
  <r>
    <x v="0"/>
    <x v="32"/>
    <x v="32"/>
    <x v="5"/>
    <x v="5"/>
    <x v="5"/>
    <x v="3"/>
    <x v="126"/>
    <x v="3"/>
    <x v="73"/>
    <x v="319"/>
    <x v="25"/>
    <x v="180"/>
    <x v="1"/>
  </r>
  <r>
    <x v="0"/>
    <x v="32"/>
    <x v="32"/>
    <x v="3"/>
    <x v="3"/>
    <x v="3"/>
    <x v="3"/>
    <x v="126"/>
    <x v="3"/>
    <x v="74"/>
    <x v="320"/>
    <x v="84"/>
    <x v="262"/>
    <x v="1"/>
  </r>
  <r>
    <x v="0"/>
    <x v="32"/>
    <x v="32"/>
    <x v="11"/>
    <x v="11"/>
    <x v="11"/>
    <x v="3"/>
    <x v="126"/>
    <x v="3"/>
    <x v="75"/>
    <x v="25"/>
    <x v="78"/>
    <x v="263"/>
    <x v="1"/>
  </r>
  <r>
    <x v="0"/>
    <x v="32"/>
    <x v="32"/>
    <x v="7"/>
    <x v="7"/>
    <x v="7"/>
    <x v="3"/>
    <x v="126"/>
    <x v="3"/>
    <x v="80"/>
    <x v="318"/>
    <x v="72"/>
    <x v="77"/>
    <x v="1"/>
  </r>
  <r>
    <x v="0"/>
    <x v="32"/>
    <x v="32"/>
    <x v="46"/>
    <x v="46"/>
    <x v="46"/>
    <x v="7"/>
    <x v="133"/>
    <x v="133"/>
    <x v="81"/>
    <x v="309"/>
    <x v="69"/>
    <x v="26"/>
    <x v="1"/>
  </r>
  <r>
    <x v="0"/>
    <x v="32"/>
    <x v="32"/>
    <x v="13"/>
    <x v="13"/>
    <x v="13"/>
    <x v="8"/>
    <x v="143"/>
    <x v="223"/>
    <x v="73"/>
    <x v="319"/>
    <x v="42"/>
    <x v="264"/>
    <x v="1"/>
  </r>
  <r>
    <x v="0"/>
    <x v="32"/>
    <x v="32"/>
    <x v="23"/>
    <x v="23"/>
    <x v="23"/>
    <x v="8"/>
    <x v="143"/>
    <x v="223"/>
    <x v="76"/>
    <x v="321"/>
    <x v="78"/>
    <x v="263"/>
    <x v="1"/>
  </r>
  <r>
    <x v="0"/>
    <x v="32"/>
    <x v="32"/>
    <x v="14"/>
    <x v="14"/>
    <x v="14"/>
    <x v="10"/>
    <x v="136"/>
    <x v="150"/>
    <x v="101"/>
    <x v="322"/>
    <x v="70"/>
    <x v="260"/>
    <x v="1"/>
  </r>
  <r>
    <x v="0"/>
    <x v="32"/>
    <x v="32"/>
    <x v="26"/>
    <x v="26"/>
    <x v="26"/>
    <x v="10"/>
    <x v="136"/>
    <x v="150"/>
    <x v="74"/>
    <x v="320"/>
    <x v="72"/>
    <x v="77"/>
    <x v="1"/>
  </r>
  <r>
    <x v="0"/>
    <x v="32"/>
    <x v="32"/>
    <x v="33"/>
    <x v="33"/>
    <x v="33"/>
    <x v="10"/>
    <x v="136"/>
    <x v="150"/>
    <x v="110"/>
    <x v="184"/>
    <x v="42"/>
    <x v="264"/>
    <x v="1"/>
  </r>
  <r>
    <x v="0"/>
    <x v="32"/>
    <x v="32"/>
    <x v="25"/>
    <x v="25"/>
    <x v="25"/>
    <x v="10"/>
    <x v="136"/>
    <x v="150"/>
    <x v="77"/>
    <x v="323"/>
    <x v="78"/>
    <x v="263"/>
    <x v="1"/>
  </r>
  <r>
    <x v="0"/>
    <x v="32"/>
    <x v="32"/>
    <x v="101"/>
    <x v="101"/>
    <x v="101"/>
    <x v="14"/>
    <x v="140"/>
    <x v="151"/>
    <x v="73"/>
    <x v="319"/>
    <x v="56"/>
    <x v="265"/>
    <x v="1"/>
  </r>
  <r>
    <x v="0"/>
    <x v="32"/>
    <x v="32"/>
    <x v="4"/>
    <x v="4"/>
    <x v="4"/>
    <x v="14"/>
    <x v="140"/>
    <x v="151"/>
    <x v="75"/>
    <x v="25"/>
    <x v="72"/>
    <x v="77"/>
    <x v="1"/>
  </r>
  <r>
    <x v="0"/>
    <x v="32"/>
    <x v="32"/>
    <x v="35"/>
    <x v="35"/>
    <x v="35"/>
    <x v="16"/>
    <x v="137"/>
    <x v="46"/>
    <x v="102"/>
    <x v="324"/>
    <x v="84"/>
    <x v="262"/>
    <x v="1"/>
  </r>
  <r>
    <x v="0"/>
    <x v="32"/>
    <x v="32"/>
    <x v="36"/>
    <x v="36"/>
    <x v="36"/>
    <x v="16"/>
    <x v="137"/>
    <x v="46"/>
    <x v="76"/>
    <x v="321"/>
    <x v="69"/>
    <x v="26"/>
    <x v="1"/>
  </r>
  <r>
    <x v="0"/>
    <x v="32"/>
    <x v="32"/>
    <x v="98"/>
    <x v="98"/>
    <x v="98"/>
    <x v="16"/>
    <x v="137"/>
    <x v="46"/>
    <x v="110"/>
    <x v="184"/>
    <x v="56"/>
    <x v="265"/>
    <x v="1"/>
  </r>
  <r>
    <x v="0"/>
    <x v="32"/>
    <x v="32"/>
    <x v="102"/>
    <x v="102"/>
    <x v="102"/>
    <x v="16"/>
    <x v="137"/>
    <x v="46"/>
    <x v="77"/>
    <x v="323"/>
    <x v="70"/>
    <x v="260"/>
    <x v="1"/>
  </r>
  <r>
    <x v="0"/>
    <x v="32"/>
    <x v="32"/>
    <x v="21"/>
    <x v="21"/>
    <x v="21"/>
    <x v="16"/>
    <x v="137"/>
    <x v="46"/>
    <x v="73"/>
    <x v="319"/>
    <x v="78"/>
    <x v="263"/>
    <x v="1"/>
  </r>
  <r>
    <x v="0"/>
    <x v="32"/>
    <x v="32"/>
    <x v="62"/>
    <x v="62"/>
    <x v="62"/>
    <x v="16"/>
    <x v="137"/>
    <x v="46"/>
    <x v="101"/>
    <x v="322"/>
    <x v="72"/>
    <x v="77"/>
    <x v="1"/>
  </r>
  <r>
    <x v="0"/>
    <x v="33"/>
    <x v="33"/>
    <x v="2"/>
    <x v="2"/>
    <x v="2"/>
    <x v="0"/>
    <x v="144"/>
    <x v="238"/>
    <x v="127"/>
    <x v="325"/>
    <x v="60"/>
    <x v="266"/>
    <x v="1"/>
  </r>
  <r>
    <x v="0"/>
    <x v="33"/>
    <x v="33"/>
    <x v="5"/>
    <x v="5"/>
    <x v="5"/>
    <x v="1"/>
    <x v="122"/>
    <x v="239"/>
    <x v="81"/>
    <x v="326"/>
    <x v="42"/>
    <x v="267"/>
    <x v="1"/>
  </r>
  <r>
    <x v="0"/>
    <x v="33"/>
    <x v="33"/>
    <x v="13"/>
    <x v="13"/>
    <x v="13"/>
    <x v="2"/>
    <x v="143"/>
    <x v="240"/>
    <x v="77"/>
    <x v="144"/>
    <x v="56"/>
    <x v="268"/>
    <x v="1"/>
  </r>
  <r>
    <x v="0"/>
    <x v="33"/>
    <x v="33"/>
    <x v="19"/>
    <x v="19"/>
    <x v="19"/>
    <x v="2"/>
    <x v="143"/>
    <x v="240"/>
    <x v="101"/>
    <x v="304"/>
    <x v="84"/>
    <x v="0"/>
    <x v="1"/>
  </r>
  <r>
    <x v="0"/>
    <x v="33"/>
    <x v="33"/>
    <x v="26"/>
    <x v="26"/>
    <x v="26"/>
    <x v="2"/>
    <x v="143"/>
    <x v="240"/>
    <x v="81"/>
    <x v="326"/>
    <x v="72"/>
    <x v="77"/>
    <x v="1"/>
  </r>
  <r>
    <x v="0"/>
    <x v="33"/>
    <x v="33"/>
    <x v="12"/>
    <x v="12"/>
    <x v="12"/>
    <x v="5"/>
    <x v="136"/>
    <x v="241"/>
    <x v="101"/>
    <x v="304"/>
    <x v="70"/>
    <x v="269"/>
    <x v="1"/>
  </r>
  <r>
    <x v="0"/>
    <x v="33"/>
    <x v="33"/>
    <x v="17"/>
    <x v="17"/>
    <x v="17"/>
    <x v="6"/>
    <x v="140"/>
    <x v="8"/>
    <x v="76"/>
    <x v="9"/>
    <x v="70"/>
    <x v="269"/>
    <x v="1"/>
  </r>
  <r>
    <x v="0"/>
    <x v="33"/>
    <x v="33"/>
    <x v="1"/>
    <x v="1"/>
    <x v="1"/>
    <x v="6"/>
    <x v="140"/>
    <x v="8"/>
    <x v="101"/>
    <x v="304"/>
    <x v="69"/>
    <x v="164"/>
    <x v="1"/>
  </r>
  <r>
    <x v="0"/>
    <x v="33"/>
    <x v="33"/>
    <x v="36"/>
    <x v="36"/>
    <x v="36"/>
    <x v="8"/>
    <x v="137"/>
    <x v="76"/>
    <x v="76"/>
    <x v="9"/>
    <x v="69"/>
    <x v="164"/>
    <x v="1"/>
  </r>
  <r>
    <x v="0"/>
    <x v="33"/>
    <x v="33"/>
    <x v="29"/>
    <x v="29"/>
    <x v="29"/>
    <x v="8"/>
    <x v="137"/>
    <x v="76"/>
    <x v="77"/>
    <x v="144"/>
    <x v="70"/>
    <x v="269"/>
    <x v="1"/>
  </r>
  <r>
    <x v="0"/>
    <x v="33"/>
    <x v="33"/>
    <x v="10"/>
    <x v="10"/>
    <x v="10"/>
    <x v="8"/>
    <x v="137"/>
    <x v="76"/>
    <x v="76"/>
    <x v="9"/>
    <x v="69"/>
    <x v="164"/>
    <x v="1"/>
  </r>
  <r>
    <x v="0"/>
    <x v="33"/>
    <x v="33"/>
    <x v="69"/>
    <x v="69"/>
    <x v="69"/>
    <x v="8"/>
    <x v="137"/>
    <x v="76"/>
    <x v="73"/>
    <x v="142"/>
    <x v="78"/>
    <x v="270"/>
    <x v="1"/>
  </r>
  <r>
    <x v="0"/>
    <x v="33"/>
    <x v="33"/>
    <x v="15"/>
    <x v="15"/>
    <x v="15"/>
    <x v="8"/>
    <x v="137"/>
    <x v="76"/>
    <x v="102"/>
    <x v="54"/>
    <x v="84"/>
    <x v="0"/>
    <x v="1"/>
  </r>
  <r>
    <x v="0"/>
    <x v="33"/>
    <x v="33"/>
    <x v="62"/>
    <x v="62"/>
    <x v="62"/>
    <x v="8"/>
    <x v="137"/>
    <x v="76"/>
    <x v="76"/>
    <x v="9"/>
    <x v="69"/>
    <x v="164"/>
    <x v="1"/>
  </r>
  <r>
    <x v="0"/>
    <x v="33"/>
    <x v="33"/>
    <x v="30"/>
    <x v="30"/>
    <x v="30"/>
    <x v="14"/>
    <x v="138"/>
    <x v="78"/>
    <x v="77"/>
    <x v="144"/>
    <x v="69"/>
    <x v="164"/>
    <x v="1"/>
  </r>
  <r>
    <x v="0"/>
    <x v="33"/>
    <x v="33"/>
    <x v="23"/>
    <x v="23"/>
    <x v="23"/>
    <x v="14"/>
    <x v="138"/>
    <x v="78"/>
    <x v="77"/>
    <x v="144"/>
    <x v="69"/>
    <x v="164"/>
    <x v="1"/>
  </r>
  <r>
    <x v="0"/>
    <x v="33"/>
    <x v="33"/>
    <x v="46"/>
    <x v="46"/>
    <x v="46"/>
    <x v="14"/>
    <x v="138"/>
    <x v="78"/>
    <x v="76"/>
    <x v="9"/>
    <x v="72"/>
    <x v="77"/>
    <x v="1"/>
  </r>
  <r>
    <x v="0"/>
    <x v="33"/>
    <x v="33"/>
    <x v="4"/>
    <x v="4"/>
    <x v="4"/>
    <x v="14"/>
    <x v="138"/>
    <x v="78"/>
    <x v="76"/>
    <x v="9"/>
    <x v="72"/>
    <x v="77"/>
    <x v="1"/>
  </r>
  <r>
    <x v="0"/>
    <x v="33"/>
    <x v="33"/>
    <x v="11"/>
    <x v="11"/>
    <x v="11"/>
    <x v="14"/>
    <x v="138"/>
    <x v="78"/>
    <x v="76"/>
    <x v="9"/>
    <x v="72"/>
    <x v="77"/>
    <x v="1"/>
  </r>
  <r>
    <x v="0"/>
    <x v="33"/>
    <x v="33"/>
    <x v="25"/>
    <x v="25"/>
    <x v="25"/>
    <x v="14"/>
    <x v="138"/>
    <x v="78"/>
    <x v="76"/>
    <x v="9"/>
    <x v="72"/>
    <x v="77"/>
    <x v="1"/>
  </r>
  <r>
    <x v="0"/>
    <x v="34"/>
    <x v="34"/>
    <x v="1"/>
    <x v="1"/>
    <x v="1"/>
    <x v="0"/>
    <x v="110"/>
    <x v="242"/>
    <x v="34"/>
    <x v="327"/>
    <x v="78"/>
    <x v="9"/>
    <x v="1"/>
  </r>
  <r>
    <x v="0"/>
    <x v="34"/>
    <x v="34"/>
    <x v="0"/>
    <x v="0"/>
    <x v="0"/>
    <x v="1"/>
    <x v="84"/>
    <x v="109"/>
    <x v="79"/>
    <x v="328"/>
    <x v="60"/>
    <x v="271"/>
    <x v="1"/>
  </r>
  <r>
    <x v="0"/>
    <x v="34"/>
    <x v="34"/>
    <x v="5"/>
    <x v="5"/>
    <x v="5"/>
    <x v="2"/>
    <x v="114"/>
    <x v="243"/>
    <x v="77"/>
    <x v="329"/>
    <x v="75"/>
    <x v="272"/>
    <x v="1"/>
  </r>
  <r>
    <x v="0"/>
    <x v="34"/>
    <x v="34"/>
    <x v="13"/>
    <x v="13"/>
    <x v="13"/>
    <x v="2"/>
    <x v="114"/>
    <x v="243"/>
    <x v="76"/>
    <x v="62"/>
    <x v="76"/>
    <x v="273"/>
    <x v="1"/>
  </r>
  <r>
    <x v="0"/>
    <x v="34"/>
    <x v="34"/>
    <x v="14"/>
    <x v="14"/>
    <x v="14"/>
    <x v="2"/>
    <x v="114"/>
    <x v="243"/>
    <x v="94"/>
    <x v="238"/>
    <x v="70"/>
    <x v="58"/>
    <x v="1"/>
  </r>
  <r>
    <x v="0"/>
    <x v="34"/>
    <x v="34"/>
    <x v="8"/>
    <x v="8"/>
    <x v="8"/>
    <x v="2"/>
    <x v="114"/>
    <x v="243"/>
    <x v="79"/>
    <x v="328"/>
    <x v="72"/>
    <x v="77"/>
    <x v="1"/>
  </r>
  <r>
    <x v="0"/>
    <x v="34"/>
    <x v="34"/>
    <x v="6"/>
    <x v="6"/>
    <x v="6"/>
    <x v="6"/>
    <x v="115"/>
    <x v="182"/>
    <x v="94"/>
    <x v="238"/>
    <x v="69"/>
    <x v="274"/>
    <x v="1"/>
  </r>
  <r>
    <x v="0"/>
    <x v="34"/>
    <x v="34"/>
    <x v="27"/>
    <x v="27"/>
    <x v="27"/>
    <x v="7"/>
    <x v="123"/>
    <x v="42"/>
    <x v="76"/>
    <x v="62"/>
    <x v="44"/>
    <x v="275"/>
    <x v="1"/>
  </r>
  <r>
    <x v="0"/>
    <x v="34"/>
    <x v="34"/>
    <x v="16"/>
    <x v="16"/>
    <x v="16"/>
    <x v="7"/>
    <x v="123"/>
    <x v="42"/>
    <x v="74"/>
    <x v="330"/>
    <x v="56"/>
    <x v="32"/>
    <x v="1"/>
  </r>
  <r>
    <x v="0"/>
    <x v="34"/>
    <x v="34"/>
    <x v="17"/>
    <x v="17"/>
    <x v="17"/>
    <x v="9"/>
    <x v="124"/>
    <x v="210"/>
    <x v="101"/>
    <x v="16"/>
    <x v="60"/>
    <x v="271"/>
    <x v="1"/>
  </r>
  <r>
    <x v="0"/>
    <x v="34"/>
    <x v="34"/>
    <x v="103"/>
    <x v="103"/>
    <x v="103"/>
    <x v="9"/>
    <x v="124"/>
    <x v="210"/>
    <x v="101"/>
    <x v="16"/>
    <x v="60"/>
    <x v="271"/>
    <x v="1"/>
  </r>
  <r>
    <x v="0"/>
    <x v="34"/>
    <x v="34"/>
    <x v="21"/>
    <x v="21"/>
    <x v="21"/>
    <x v="9"/>
    <x v="124"/>
    <x v="210"/>
    <x v="101"/>
    <x v="16"/>
    <x v="60"/>
    <x v="271"/>
    <x v="1"/>
  </r>
  <r>
    <x v="0"/>
    <x v="34"/>
    <x v="34"/>
    <x v="4"/>
    <x v="4"/>
    <x v="4"/>
    <x v="9"/>
    <x v="124"/>
    <x v="210"/>
    <x v="52"/>
    <x v="105"/>
    <x v="72"/>
    <x v="77"/>
    <x v="1"/>
  </r>
  <r>
    <x v="0"/>
    <x v="34"/>
    <x v="34"/>
    <x v="11"/>
    <x v="11"/>
    <x v="11"/>
    <x v="9"/>
    <x v="124"/>
    <x v="210"/>
    <x v="80"/>
    <x v="292"/>
    <x v="69"/>
    <x v="274"/>
    <x v="1"/>
  </r>
  <r>
    <x v="0"/>
    <x v="34"/>
    <x v="34"/>
    <x v="12"/>
    <x v="12"/>
    <x v="12"/>
    <x v="14"/>
    <x v="126"/>
    <x v="171"/>
    <x v="77"/>
    <x v="329"/>
    <x v="42"/>
    <x v="276"/>
    <x v="1"/>
  </r>
  <r>
    <x v="0"/>
    <x v="34"/>
    <x v="34"/>
    <x v="19"/>
    <x v="19"/>
    <x v="19"/>
    <x v="14"/>
    <x v="126"/>
    <x v="171"/>
    <x v="74"/>
    <x v="330"/>
    <x v="84"/>
    <x v="277"/>
    <x v="1"/>
  </r>
  <r>
    <x v="0"/>
    <x v="34"/>
    <x v="34"/>
    <x v="9"/>
    <x v="9"/>
    <x v="9"/>
    <x v="14"/>
    <x v="126"/>
    <x v="171"/>
    <x v="74"/>
    <x v="330"/>
    <x v="84"/>
    <x v="277"/>
    <x v="1"/>
  </r>
  <r>
    <x v="0"/>
    <x v="34"/>
    <x v="34"/>
    <x v="15"/>
    <x v="15"/>
    <x v="15"/>
    <x v="14"/>
    <x v="126"/>
    <x v="171"/>
    <x v="77"/>
    <x v="329"/>
    <x v="42"/>
    <x v="276"/>
    <x v="1"/>
  </r>
  <r>
    <x v="0"/>
    <x v="34"/>
    <x v="34"/>
    <x v="7"/>
    <x v="7"/>
    <x v="7"/>
    <x v="18"/>
    <x v="143"/>
    <x v="119"/>
    <x v="81"/>
    <x v="331"/>
    <x v="72"/>
    <x v="77"/>
    <x v="1"/>
  </r>
  <r>
    <x v="0"/>
    <x v="34"/>
    <x v="34"/>
    <x v="93"/>
    <x v="93"/>
    <x v="93"/>
    <x v="19"/>
    <x v="136"/>
    <x v="68"/>
    <x v="77"/>
    <x v="329"/>
    <x v="78"/>
    <x v="9"/>
    <x v="1"/>
  </r>
  <r>
    <x v="0"/>
    <x v="34"/>
    <x v="34"/>
    <x v="28"/>
    <x v="28"/>
    <x v="28"/>
    <x v="19"/>
    <x v="136"/>
    <x v="68"/>
    <x v="102"/>
    <x v="33"/>
    <x v="56"/>
    <x v="32"/>
    <x v="1"/>
  </r>
  <r>
    <x v="0"/>
    <x v="34"/>
    <x v="34"/>
    <x v="42"/>
    <x v="42"/>
    <x v="42"/>
    <x v="19"/>
    <x v="136"/>
    <x v="68"/>
    <x v="110"/>
    <x v="184"/>
    <x v="42"/>
    <x v="276"/>
    <x v="1"/>
  </r>
  <r>
    <x v="0"/>
    <x v="34"/>
    <x v="34"/>
    <x v="24"/>
    <x v="24"/>
    <x v="24"/>
    <x v="19"/>
    <x v="136"/>
    <x v="68"/>
    <x v="101"/>
    <x v="16"/>
    <x v="70"/>
    <x v="58"/>
    <x v="1"/>
  </r>
  <r>
    <x v="0"/>
    <x v="34"/>
    <x v="34"/>
    <x v="104"/>
    <x v="104"/>
    <x v="104"/>
    <x v="19"/>
    <x v="136"/>
    <x v="68"/>
    <x v="74"/>
    <x v="330"/>
    <x v="72"/>
    <x v="77"/>
    <x v="1"/>
  </r>
  <r>
    <x v="0"/>
    <x v="35"/>
    <x v="35"/>
    <x v="1"/>
    <x v="1"/>
    <x v="1"/>
    <x v="0"/>
    <x v="82"/>
    <x v="244"/>
    <x v="90"/>
    <x v="332"/>
    <x v="70"/>
    <x v="24"/>
    <x v="1"/>
  </r>
  <r>
    <x v="0"/>
    <x v="35"/>
    <x v="35"/>
    <x v="27"/>
    <x v="27"/>
    <x v="27"/>
    <x v="1"/>
    <x v="83"/>
    <x v="140"/>
    <x v="80"/>
    <x v="61"/>
    <x v="75"/>
    <x v="232"/>
    <x v="1"/>
  </r>
  <r>
    <x v="0"/>
    <x v="35"/>
    <x v="35"/>
    <x v="10"/>
    <x v="10"/>
    <x v="10"/>
    <x v="2"/>
    <x v="112"/>
    <x v="166"/>
    <x v="101"/>
    <x v="129"/>
    <x v="57"/>
    <x v="278"/>
    <x v="1"/>
  </r>
  <r>
    <x v="0"/>
    <x v="35"/>
    <x v="35"/>
    <x v="3"/>
    <x v="3"/>
    <x v="3"/>
    <x v="3"/>
    <x v="121"/>
    <x v="245"/>
    <x v="70"/>
    <x v="333"/>
    <x v="42"/>
    <x v="279"/>
    <x v="1"/>
  </r>
  <r>
    <x v="0"/>
    <x v="35"/>
    <x v="35"/>
    <x v="6"/>
    <x v="6"/>
    <x v="6"/>
    <x v="3"/>
    <x v="121"/>
    <x v="245"/>
    <x v="80"/>
    <x v="61"/>
    <x v="60"/>
    <x v="168"/>
    <x v="1"/>
  </r>
  <r>
    <x v="0"/>
    <x v="35"/>
    <x v="35"/>
    <x v="0"/>
    <x v="0"/>
    <x v="0"/>
    <x v="5"/>
    <x v="122"/>
    <x v="246"/>
    <x v="52"/>
    <x v="45"/>
    <x v="78"/>
    <x v="84"/>
    <x v="1"/>
  </r>
  <r>
    <x v="0"/>
    <x v="35"/>
    <x v="35"/>
    <x v="12"/>
    <x v="12"/>
    <x v="12"/>
    <x v="6"/>
    <x v="114"/>
    <x v="247"/>
    <x v="81"/>
    <x v="162"/>
    <x v="60"/>
    <x v="168"/>
    <x v="1"/>
  </r>
  <r>
    <x v="0"/>
    <x v="35"/>
    <x v="35"/>
    <x v="4"/>
    <x v="4"/>
    <x v="4"/>
    <x v="6"/>
    <x v="114"/>
    <x v="247"/>
    <x v="52"/>
    <x v="45"/>
    <x v="84"/>
    <x v="167"/>
    <x v="1"/>
  </r>
  <r>
    <x v="0"/>
    <x v="35"/>
    <x v="35"/>
    <x v="8"/>
    <x v="8"/>
    <x v="8"/>
    <x v="8"/>
    <x v="115"/>
    <x v="41"/>
    <x v="104"/>
    <x v="151"/>
    <x v="72"/>
    <x v="77"/>
    <x v="1"/>
  </r>
  <r>
    <x v="0"/>
    <x v="35"/>
    <x v="35"/>
    <x v="28"/>
    <x v="28"/>
    <x v="28"/>
    <x v="9"/>
    <x v="124"/>
    <x v="248"/>
    <x v="76"/>
    <x v="156"/>
    <x v="42"/>
    <x v="279"/>
    <x v="1"/>
  </r>
  <r>
    <x v="0"/>
    <x v="35"/>
    <x v="35"/>
    <x v="16"/>
    <x v="16"/>
    <x v="16"/>
    <x v="9"/>
    <x v="124"/>
    <x v="248"/>
    <x v="75"/>
    <x v="334"/>
    <x v="56"/>
    <x v="280"/>
    <x v="1"/>
  </r>
  <r>
    <x v="0"/>
    <x v="35"/>
    <x v="35"/>
    <x v="21"/>
    <x v="21"/>
    <x v="21"/>
    <x v="9"/>
    <x v="124"/>
    <x v="248"/>
    <x v="101"/>
    <x v="129"/>
    <x v="60"/>
    <x v="168"/>
    <x v="1"/>
  </r>
  <r>
    <x v="0"/>
    <x v="35"/>
    <x v="35"/>
    <x v="13"/>
    <x v="13"/>
    <x v="13"/>
    <x v="12"/>
    <x v="126"/>
    <x v="75"/>
    <x v="73"/>
    <x v="96"/>
    <x v="25"/>
    <x v="175"/>
    <x v="1"/>
  </r>
  <r>
    <x v="0"/>
    <x v="35"/>
    <x v="35"/>
    <x v="36"/>
    <x v="36"/>
    <x v="36"/>
    <x v="12"/>
    <x v="126"/>
    <x v="75"/>
    <x v="70"/>
    <x v="333"/>
    <x v="69"/>
    <x v="4"/>
    <x v="1"/>
  </r>
  <r>
    <x v="0"/>
    <x v="35"/>
    <x v="35"/>
    <x v="105"/>
    <x v="105"/>
    <x v="105"/>
    <x v="14"/>
    <x v="133"/>
    <x v="30"/>
    <x v="77"/>
    <x v="154"/>
    <x v="60"/>
    <x v="168"/>
    <x v="1"/>
  </r>
  <r>
    <x v="0"/>
    <x v="35"/>
    <x v="35"/>
    <x v="11"/>
    <x v="11"/>
    <x v="11"/>
    <x v="14"/>
    <x v="133"/>
    <x v="30"/>
    <x v="75"/>
    <x v="334"/>
    <x v="84"/>
    <x v="167"/>
    <x v="1"/>
  </r>
  <r>
    <x v="0"/>
    <x v="35"/>
    <x v="35"/>
    <x v="7"/>
    <x v="7"/>
    <x v="7"/>
    <x v="14"/>
    <x v="133"/>
    <x v="30"/>
    <x v="70"/>
    <x v="333"/>
    <x v="72"/>
    <x v="77"/>
    <x v="1"/>
  </r>
  <r>
    <x v="0"/>
    <x v="35"/>
    <x v="35"/>
    <x v="102"/>
    <x v="102"/>
    <x v="102"/>
    <x v="17"/>
    <x v="143"/>
    <x v="45"/>
    <x v="76"/>
    <x v="156"/>
    <x v="78"/>
    <x v="84"/>
    <x v="1"/>
  </r>
  <r>
    <x v="0"/>
    <x v="35"/>
    <x v="35"/>
    <x v="22"/>
    <x v="22"/>
    <x v="22"/>
    <x v="17"/>
    <x v="143"/>
    <x v="45"/>
    <x v="102"/>
    <x v="92"/>
    <x v="60"/>
    <x v="168"/>
    <x v="1"/>
  </r>
  <r>
    <x v="0"/>
    <x v="35"/>
    <x v="35"/>
    <x v="25"/>
    <x v="25"/>
    <x v="25"/>
    <x v="17"/>
    <x v="143"/>
    <x v="45"/>
    <x v="101"/>
    <x v="129"/>
    <x v="84"/>
    <x v="167"/>
    <x v="1"/>
  </r>
  <r>
    <x v="0"/>
    <x v="36"/>
    <x v="36"/>
    <x v="1"/>
    <x v="1"/>
    <x v="1"/>
    <x v="0"/>
    <x v="113"/>
    <x v="249"/>
    <x v="68"/>
    <x v="335"/>
    <x v="69"/>
    <x v="96"/>
    <x v="1"/>
  </r>
  <r>
    <x v="0"/>
    <x v="36"/>
    <x v="36"/>
    <x v="5"/>
    <x v="5"/>
    <x v="5"/>
    <x v="1"/>
    <x v="115"/>
    <x v="250"/>
    <x v="101"/>
    <x v="336"/>
    <x v="44"/>
    <x v="281"/>
    <x v="1"/>
  </r>
  <r>
    <x v="0"/>
    <x v="36"/>
    <x v="36"/>
    <x v="7"/>
    <x v="7"/>
    <x v="7"/>
    <x v="2"/>
    <x v="123"/>
    <x v="251"/>
    <x v="94"/>
    <x v="337"/>
    <x v="72"/>
    <x v="77"/>
    <x v="1"/>
  </r>
  <r>
    <x v="0"/>
    <x v="36"/>
    <x v="36"/>
    <x v="3"/>
    <x v="3"/>
    <x v="3"/>
    <x v="3"/>
    <x v="126"/>
    <x v="252"/>
    <x v="81"/>
    <x v="338"/>
    <x v="70"/>
    <x v="103"/>
    <x v="1"/>
  </r>
  <r>
    <x v="0"/>
    <x v="36"/>
    <x v="36"/>
    <x v="23"/>
    <x v="23"/>
    <x v="23"/>
    <x v="4"/>
    <x v="143"/>
    <x v="253"/>
    <x v="75"/>
    <x v="141"/>
    <x v="70"/>
    <x v="103"/>
    <x v="1"/>
  </r>
  <r>
    <x v="0"/>
    <x v="36"/>
    <x v="36"/>
    <x v="11"/>
    <x v="11"/>
    <x v="11"/>
    <x v="4"/>
    <x v="143"/>
    <x v="253"/>
    <x v="81"/>
    <x v="338"/>
    <x v="72"/>
    <x v="77"/>
    <x v="1"/>
  </r>
  <r>
    <x v="0"/>
    <x v="36"/>
    <x v="36"/>
    <x v="13"/>
    <x v="13"/>
    <x v="13"/>
    <x v="6"/>
    <x v="136"/>
    <x v="52"/>
    <x v="77"/>
    <x v="129"/>
    <x v="78"/>
    <x v="282"/>
    <x v="1"/>
  </r>
  <r>
    <x v="0"/>
    <x v="36"/>
    <x v="36"/>
    <x v="15"/>
    <x v="15"/>
    <x v="15"/>
    <x v="6"/>
    <x v="136"/>
    <x v="52"/>
    <x v="76"/>
    <x v="339"/>
    <x v="70"/>
    <x v="103"/>
    <x v="1"/>
  </r>
  <r>
    <x v="0"/>
    <x v="36"/>
    <x v="36"/>
    <x v="8"/>
    <x v="8"/>
    <x v="8"/>
    <x v="6"/>
    <x v="136"/>
    <x v="52"/>
    <x v="74"/>
    <x v="228"/>
    <x v="72"/>
    <x v="77"/>
    <x v="1"/>
  </r>
  <r>
    <x v="0"/>
    <x v="36"/>
    <x v="36"/>
    <x v="4"/>
    <x v="4"/>
    <x v="4"/>
    <x v="6"/>
    <x v="136"/>
    <x v="52"/>
    <x v="74"/>
    <x v="228"/>
    <x v="72"/>
    <x v="77"/>
    <x v="1"/>
  </r>
  <r>
    <x v="0"/>
    <x v="36"/>
    <x v="36"/>
    <x v="12"/>
    <x v="12"/>
    <x v="12"/>
    <x v="10"/>
    <x v="140"/>
    <x v="254"/>
    <x v="76"/>
    <x v="339"/>
    <x v="70"/>
    <x v="103"/>
    <x v="1"/>
  </r>
  <r>
    <x v="0"/>
    <x v="36"/>
    <x v="36"/>
    <x v="36"/>
    <x v="36"/>
    <x v="36"/>
    <x v="10"/>
    <x v="140"/>
    <x v="254"/>
    <x v="76"/>
    <x v="339"/>
    <x v="70"/>
    <x v="103"/>
    <x v="1"/>
  </r>
  <r>
    <x v="0"/>
    <x v="36"/>
    <x v="36"/>
    <x v="106"/>
    <x v="106"/>
    <x v="106"/>
    <x v="12"/>
    <x v="137"/>
    <x v="144"/>
    <x v="101"/>
    <x v="336"/>
    <x v="72"/>
    <x v="77"/>
    <x v="1"/>
  </r>
  <r>
    <x v="0"/>
    <x v="36"/>
    <x v="36"/>
    <x v="6"/>
    <x v="6"/>
    <x v="6"/>
    <x v="12"/>
    <x v="137"/>
    <x v="144"/>
    <x v="101"/>
    <x v="336"/>
    <x v="72"/>
    <x v="77"/>
    <x v="1"/>
  </r>
  <r>
    <x v="0"/>
    <x v="36"/>
    <x v="36"/>
    <x v="26"/>
    <x v="26"/>
    <x v="26"/>
    <x v="12"/>
    <x v="137"/>
    <x v="144"/>
    <x v="101"/>
    <x v="336"/>
    <x v="72"/>
    <x v="77"/>
    <x v="1"/>
  </r>
  <r>
    <x v="0"/>
    <x v="36"/>
    <x v="36"/>
    <x v="25"/>
    <x v="25"/>
    <x v="25"/>
    <x v="12"/>
    <x v="137"/>
    <x v="144"/>
    <x v="77"/>
    <x v="129"/>
    <x v="70"/>
    <x v="103"/>
    <x v="1"/>
  </r>
  <r>
    <x v="0"/>
    <x v="36"/>
    <x v="36"/>
    <x v="35"/>
    <x v="35"/>
    <x v="35"/>
    <x v="16"/>
    <x v="138"/>
    <x v="31"/>
    <x v="102"/>
    <x v="340"/>
    <x v="70"/>
    <x v="103"/>
    <x v="1"/>
  </r>
  <r>
    <x v="0"/>
    <x v="36"/>
    <x v="36"/>
    <x v="30"/>
    <x v="30"/>
    <x v="30"/>
    <x v="16"/>
    <x v="138"/>
    <x v="31"/>
    <x v="102"/>
    <x v="340"/>
    <x v="70"/>
    <x v="103"/>
    <x v="1"/>
  </r>
  <r>
    <x v="0"/>
    <x v="36"/>
    <x v="36"/>
    <x v="17"/>
    <x v="17"/>
    <x v="17"/>
    <x v="16"/>
    <x v="138"/>
    <x v="31"/>
    <x v="77"/>
    <x v="129"/>
    <x v="69"/>
    <x v="96"/>
    <x v="1"/>
  </r>
  <r>
    <x v="0"/>
    <x v="36"/>
    <x v="36"/>
    <x v="27"/>
    <x v="27"/>
    <x v="27"/>
    <x v="16"/>
    <x v="138"/>
    <x v="31"/>
    <x v="102"/>
    <x v="340"/>
    <x v="70"/>
    <x v="103"/>
    <x v="1"/>
  </r>
  <r>
    <x v="0"/>
    <x v="36"/>
    <x v="36"/>
    <x v="22"/>
    <x v="22"/>
    <x v="22"/>
    <x v="16"/>
    <x v="138"/>
    <x v="31"/>
    <x v="73"/>
    <x v="18"/>
    <x v="84"/>
    <x v="94"/>
    <x v="1"/>
  </r>
  <r>
    <x v="0"/>
    <x v="36"/>
    <x v="36"/>
    <x v="10"/>
    <x v="10"/>
    <x v="10"/>
    <x v="16"/>
    <x v="138"/>
    <x v="31"/>
    <x v="76"/>
    <x v="339"/>
    <x v="72"/>
    <x v="77"/>
    <x v="1"/>
  </r>
  <r>
    <x v="0"/>
    <x v="36"/>
    <x v="36"/>
    <x v="14"/>
    <x v="14"/>
    <x v="14"/>
    <x v="16"/>
    <x v="138"/>
    <x v="31"/>
    <x v="77"/>
    <x v="129"/>
    <x v="69"/>
    <x v="96"/>
    <x v="1"/>
  </r>
  <r>
    <x v="0"/>
    <x v="36"/>
    <x v="36"/>
    <x v="34"/>
    <x v="34"/>
    <x v="34"/>
    <x v="16"/>
    <x v="138"/>
    <x v="31"/>
    <x v="76"/>
    <x v="339"/>
    <x v="72"/>
    <x v="77"/>
    <x v="1"/>
  </r>
  <r>
    <x v="0"/>
    <x v="37"/>
    <x v="37"/>
    <x v="1"/>
    <x v="1"/>
    <x v="1"/>
    <x v="0"/>
    <x v="82"/>
    <x v="255"/>
    <x v="108"/>
    <x v="341"/>
    <x v="69"/>
    <x v="158"/>
    <x v="1"/>
  </r>
  <r>
    <x v="0"/>
    <x v="37"/>
    <x v="37"/>
    <x v="11"/>
    <x v="11"/>
    <x v="11"/>
    <x v="1"/>
    <x v="121"/>
    <x v="256"/>
    <x v="79"/>
    <x v="342"/>
    <x v="70"/>
    <x v="166"/>
    <x v="1"/>
  </r>
  <r>
    <x v="0"/>
    <x v="37"/>
    <x v="37"/>
    <x v="10"/>
    <x v="10"/>
    <x v="10"/>
    <x v="2"/>
    <x v="126"/>
    <x v="72"/>
    <x v="102"/>
    <x v="343"/>
    <x v="44"/>
    <x v="283"/>
    <x v="1"/>
  </r>
  <r>
    <x v="0"/>
    <x v="37"/>
    <x v="37"/>
    <x v="4"/>
    <x v="4"/>
    <x v="4"/>
    <x v="2"/>
    <x v="126"/>
    <x v="72"/>
    <x v="80"/>
    <x v="344"/>
    <x v="72"/>
    <x v="77"/>
    <x v="1"/>
  </r>
  <r>
    <x v="0"/>
    <x v="37"/>
    <x v="37"/>
    <x v="7"/>
    <x v="7"/>
    <x v="7"/>
    <x v="2"/>
    <x v="126"/>
    <x v="72"/>
    <x v="80"/>
    <x v="344"/>
    <x v="72"/>
    <x v="77"/>
    <x v="1"/>
  </r>
  <r>
    <x v="0"/>
    <x v="37"/>
    <x v="37"/>
    <x v="5"/>
    <x v="5"/>
    <x v="5"/>
    <x v="5"/>
    <x v="133"/>
    <x v="257"/>
    <x v="77"/>
    <x v="345"/>
    <x v="60"/>
    <x v="270"/>
    <x v="1"/>
  </r>
  <r>
    <x v="0"/>
    <x v="37"/>
    <x v="37"/>
    <x v="27"/>
    <x v="27"/>
    <x v="27"/>
    <x v="6"/>
    <x v="136"/>
    <x v="241"/>
    <x v="73"/>
    <x v="37"/>
    <x v="60"/>
    <x v="270"/>
    <x v="1"/>
  </r>
  <r>
    <x v="0"/>
    <x v="37"/>
    <x v="37"/>
    <x v="0"/>
    <x v="0"/>
    <x v="0"/>
    <x v="6"/>
    <x v="136"/>
    <x v="241"/>
    <x v="101"/>
    <x v="346"/>
    <x v="70"/>
    <x v="166"/>
    <x v="1"/>
  </r>
  <r>
    <x v="0"/>
    <x v="37"/>
    <x v="37"/>
    <x v="25"/>
    <x v="25"/>
    <x v="25"/>
    <x v="6"/>
    <x v="136"/>
    <x v="241"/>
    <x v="76"/>
    <x v="347"/>
    <x v="84"/>
    <x v="269"/>
    <x v="1"/>
  </r>
  <r>
    <x v="0"/>
    <x v="37"/>
    <x v="37"/>
    <x v="13"/>
    <x v="13"/>
    <x v="13"/>
    <x v="9"/>
    <x v="140"/>
    <x v="8"/>
    <x v="102"/>
    <x v="343"/>
    <x v="78"/>
    <x v="235"/>
    <x v="1"/>
  </r>
  <r>
    <x v="0"/>
    <x v="37"/>
    <x v="37"/>
    <x v="19"/>
    <x v="19"/>
    <x v="19"/>
    <x v="10"/>
    <x v="137"/>
    <x v="76"/>
    <x v="76"/>
    <x v="347"/>
    <x v="69"/>
    <x v="158"/>
    <x v="1"/>
  </r>
  <r>
    <x v="0"/>
    <x v="37"/>
    <x v="37"/>
    <x v="107"/>
    <x v="107"/>
    <x v="107"/>
    <x v="10"/>
    <x v="137"/>
    <x v="76"/>
    <x v="73"/>
    <x v="37"/>
    <x v="78"/>
    <x v="235"/>
    <x v="1"/>
  </r>
  <r>
    <x v="0"/>
    <x v="37"/>
    <x v="37"/>
    <x v="108"/>
    <x v="108"/>
    <x v="108"/>
    <x v="10"/>
    <x v="137"/>
    <x v="76"/>
    <x v="76"/>
    <x v="347"/>
    <x v="69"/>
    <x v="158"/>
    <x v="1"/>
  </r>
  <r>
    <x v="0"/>
    <x v="37"/>
    <x v="37"/>
    <x v="3"/>
    <x v="3"/>
    <x v="3"/>
    <x v="10"/>
    <x v="137"/>
    <x v="76"/>
    <x v="77"/>
    <x v="345"/>
    <x v="70"/>
    <x v="166"/>
    <x v="1"/>
  </r>
  <r>
    <x v="0"/>
    <x v="37"/>
    <x v="37"/>
    <x v="17"/>
    <x v="17"/>
    <x v="17"/>
    <x v="14"/>
    <x v="138"/>
    <x v="78"/>
    <x v="102"/>
    <x v="343"/>
    <x v="70"/>
    <x v="166"/>
    <x v="1"/>
  </r>
  <r>
    <x v="0"/>
    <x v="37"/>
    <x v="37"/>
    <x v="29"/>
    <x v="29"/>
    <x v="29"/>
    <x v="14"/>
    <x v="138"/>
    <x v="78"/>
    <x v="77"/>
    <x v="345"/>
    <x v="69"/>
    <x v="158"/>
    <x v="1"/>
  </r>
  <r>
    <x v="0"/>
    <x v="37"/>
    <x v="37"/>
    <x v="37"/>
    <x v="37"/>
    <x v="37"/>
    <x v="14"/>
    <x v="138"/>
    <x v="78"/>
    <x v="110"/>
    <x v="184"/>
    <x v="78"/>
    <x v="235"/>
    <x v="1"/>
  </r>
  <r>
    <x v="0"/>
    <x v="37"/>
    <x v="37"/>
    <x v="32"/>
    <x v="32"/>
    <x v="32"/>
    <x v="14"/>
    <x v="138"/>
    <x v="78"/>
    <x v="110"/>
    <x v="184"/>
    <x v="78"/>
    <x v="235"/>
    <x v="1"/>
  </r>
  <r>
    <x v="0"/>
    <x v="37"/>
    <x v="37"/>
    <x v="9"/>
    <x v="9"/>
    <x v="9"/>
    <x v="14"/>
    <x v="138"/>
    <x v="78"/>
    <x v="73"/>
    <x v="37"/>
    <x v="84"/>
    <x v="269"/>
    <x v="1"/>
  </r>
  <r>
    <x v="0"/>
    <x v="37"/>
    <x v="37"/>
    <x v="24"/>
    <x v="24"/>
    <x v="24"/>
    <x v="14"/>
    <x v="138"/>
    <x v="78"/>
    <x v="73"/>
    <x v="37"/>
    <x v="84"/>
    <x v="269"/>
    <x v="1"/>
  </r>
  <r>
    <x v="0"/>
    <x v="37"/>
    <x v="37"/>
    <x v="109"/>
    <x v="109"/>
    <x v="109"/>
    <x v="14"/>
    <x v="138"/>
    <x v="78"/>
    <x v="77"/>
    <x v="345"/>
    <x v="69"/>
    <x v="158"/>
    <x v="1"/>
  </r>
  <r>
    <x v="0"/>
    <x v="38"/>
    <x v="38"/>
    <x v="3"/>
    <x v="3"/>
    <x v="3"/>
    <x v="0"/>
    <x v="136"/>
    <x v="50"/>
    <x v="74"/>
    <x v="348"/>
    <x v="72"/>
    <x v="77"/>
    <x v="1"/>
  </r>
  <r>
    <x v="0"/>
    <x v="38"/>
    <x v="38"/>
    <x v="1"/>
    <x v="1"/>
    <x v="1"/>
    <x v="0"/>
    <x v="136"/>
    <x v="50"/>
    <x v="74"/>
    <x v="348"/>
    <x v="72"/>
    <x v="77"/>
    <x v="1"/>
  </r>
  <r>
    <x v="0"/>
    <x v="38"/>
    <x v="38"/>
    <x v="5"/>
    <x v="5"/>
    <x v="5"/>
    <x v="2"/>
    <x v="137"/>
    <x v="258"/>
    <x v="110"/>
    <x v="184"/>
    <x v="56"/>
    <x v="284"/>
    <x v="1"/>
  </r>
  <r>
    <x v="0"/>
    <x v="38"/>
    <x v="38"/>
    <x v="13"/>
    <x v="13"/>
    <x v="13"/>
    <x v="2"/>
    <x v="137"/>
    <x v="258"/>
    <x v="102"/>
    <x v="349"/>
    <x v="84"/>
    <x v="222"/>
    <x v="1"/>
  </r>
  <r>
    <x v="0"/>
    <x v="38"/>
    <x v="38"/>
    <x v="93"/>
    <x v="93"/>
    <x v="93"/>
    <x v="2"/>
    <x v="137"/>
    <x v="258"/>
    <x v="76"/>
    <x v="350"/>
    <x v="69"/>
    <x v="171"/>
    <x v="1"/>
  </r>
  <r>
    <x v="0"/>
    <x v="38"/>
    <x v="38"/>
    <x v="7"/>
    <x v="7"/>
    <x v="7"/>
    <x v="2"/>
    <x v="137"/>
    <x v="258"/>
    <x v="76"/>
    <x v="350"/>
    <x v="69"/>
    <x v="171"/>
    <x v="1"/>
  </r>
  <r>
    <x v="0"/>
    <x v="38"/>
    <x v="38"/>
    <x v="23"/>
    <x v="23"/>
    <x v="23"/>
    <x v="6"/>
    <x v="138"/>
    <x v="204"/>
    <x v="76"/>
    <x v="350"/>
    <x v="72"/>
    <x v="77"/>
    <x v="1"/>
  </r>
  <r>
    <x v="0"/>
    <x v="38"/>
    <x v="38"/>
    <x v="16"/>
    <x v="16"/>
    <x v="16"/>
    <x v="7"/>
    <x v="139"/>
    <x v="168"/>
    <x v="102"/>
    <x v="349"/>
    <x v="69"/>
    <x v="171"/>
    <x v="1"/>
  </r>
  <r>
    <x v="0"/>
    <x v="38"/>
    <x v="38"/>
    <x v="42"/>
    <x v="42"/>
    <x v="42"/>
    <x v="7"/>
    <x v="139"/>
    <x v="168"/>
    <x v="73"/>
    <x v="226"/>
    <x v="70"/>
    <x v="285"/>
    <x v="1"/>
  </r>
  <r>
    <x v="0"/>
    <x v="38"/>
    <x v="38"/>
    <x v="25"/>
    <x v="25"/>
    <x v="25"/>
    <x v="7"/>
    <x v="139"/>
    <x v="168"/>
    <x v="73"/>
    <x v="226"/>
    <x v="70"/>
    <x v="285"/>
    <x v="1"/>
  </r>
  <r>
    <x v="0"/>
    <x v="38"/>
    <x v="38"/>
    <x v="12"/>
    <x v="12"/>
    <x v="12"/>
    <x v="10"/>
    <x v="141"/>
    <x v="44"/>
    <x v="73"/>
    <x v="226"/>
    <x v="69"/>
    <x v="171"/>
    <x v="1"/>
  </r>
  <r>
    <x v="0"/>
    <x v="38"/>
    <x v="38"/>
    <x v="35"/>
    <x v="35"/>
    <x v="35"/>
    <x v="10"/>
    <x v="141"/>
    <x v="44"/>
    <x v="73"/>
    <x v="226"/>
    <x v="69"/>
    <x v="171"/>
    <x v="1"/>
  </r>
  <r>
    <x v="0"/>
    <x v="38"/>
    <x v="38"/>
    <x v="36"/>
    <x v="36"/>
    <x v="36"/>
    <x v="10"/>
    <x v="141"/>
    <x v="44"/>
    <x v="102"/>
    <x v="349"/>
    <x v="72"/>
    <x v="77"/>
    <x v="1"/>
  </r>
  <r>
    <x v="0"/>
    <x v="38"/>
    <x v="38"/>
    <x v="87"/>
    <x v="87"/>
    <x v="87"/>
    <x v="10"/>
    <x v="141"/>
    <x v="44"/>
    <x v="102"/>
    <x v="349"/>
    <x v="72"/>
    <x v="77"/>
    <x v="1"/>
  </r>
  <r>
    <x v="0"/>
    <x v="38"/>
    <x v="38"/>
    <x v="19"/>
    <x v="19"/>
    <x v="19"/>
    <x v="10"/>
    <x v="141"/>
    <x v="44"/>
    <x v="102"/>
    <x v="349"/>
    <x v="72"/>
    <x v="77"/>
    <x v="1"/>
  </r>
  <r>
    <x v="0"/>
    <x v="38"/>
    <x v="38"/>
    <x v="17"/>
    <x v="17"/>
    <x v="17"/>
    <x v="10"/>
    <x v="141"/>
    <x v="44"/>
    <x v="73"/>
    <x v="226"/>
    <x v="69"/>
    <x v="171"/>
    <x v="1"/>
  </r>
  <r>
    <x v="0"/>
    <x v="38"/>
    <x v="38"/>
    <x v="110"/>
    <x v="110"/>
    <x v="110"/>
    <x v="10"/>
    <x v="141"/>
    <x v="44"/>
    <x v="110"/>
    <x v="184"/>
    <x v="70"/>
    <x v="285"/>
    <x v="1"/>
  </r>
  <r>
    <x v="0"/>
    <x v="38"/>
    <x v="38"/>
    <x v="64"/>
    <x v="64"/>
    <x v="64"/>
    <x v="10"/>
    <x v="141"/>
    <x v="44"/>
    <x v="102"/>
    <x v="349"/>
    <x v="72"/>
    <x v="77"/>
    <x v="1"/>
  </r>
  <r>
    <x v="0"/>
    <x v="38"/>
    <x v="38"/>
    <x v="92"/>
    <x v="92"/>
    <x v="92"/>
    <x v="10"/>
    <x v="141"/>
    <x v="44"/>
    <x v="73"/>
    <x v="226"/>
    <x v="69"/>
    <x v="171"/>
    <x v="1"/>
  </r>
  <r>
    <x v="0"/>
    <x v="38"/>
    <x v="38"/>
    <x v="111"/>
    <x v="111"/>
    <x v="111"/>
    <x v="10"/>
    <x v="141"/>
    <x v="44"/>
    <x v="102"/>
    <x v="349"/>
    <x v="72"/>
    <x v="77"/>
    <x v="1"/>
  </r>
  <r>
    <x v="0"/>
    <x v="38"/>
    <x v="38"/>
    <x v="103"/>
    <x v="103"/>
    <x v="103"/>
    <x v="10"/>
    <x v="141"/>
    <x v="44"/>
    <x v="73"/>
    <x v="226"/>
    <x v="69"/>
    <x v="171"/>
    <x v="1"/>
  </r>
  <r>
    <x v="0"/>
    <x v="38"/>
    <x v="38"/>
    <x v="21"/>
    <x v="21"/>
    <x v="21"/>
    <x v="10"/>
    <x v="141"/>
    <x v="44"/>
    <x v="73"/>
    <x v="226"/>
    <x v="69"/>
    <x v="171"/>
    <x v="1"/>
  </r>
  <r>
    <x v="0"/>
    <x v="38"/>
    <x v="38"/>
    <x v="62"/>
    <x v="62"/>
    <x v="62"/>
    <x v="10"/>
    <x v="141"/>
    <x v="44"/>
    <x v="102"/>
    <x v="349"/>
    <x v="72"/>
    <x v="77"/>
    <x v="1"/>
  </r>
  <r>
    <x v="0"/>
    <x v="38"/>
    <x v="38"/>
    <x v="8"/>
    <x v="8"/>
    <x v="8"/>
    <x v="10"/>
    <x v="141"/>
    <x v="44"/>
    <x v="73"/>
    <x v="226"/>
    <x v="69"/>
    <x v="171"/>
    <x v="1"/>
  </r>
  <r>
    <x v="0"/>
    <x v="38"/>
    <x v="38"/>
    <x v="4"/>
    <x v="4"/>
    <x v="4"/>
    <x v="10"/>
    <x v="141"/>
    <x v="44"/>
    <x v="102"/>
    <x v="349"/>
    <x v="72"/>
    <x v="77"/>
    <x v="1"/>
  </r>
  <r>
    <x v="0"/>
    <x v="38"/>
    <x v="38"/>
    <x v="48"/>
    <x v="48"/>
    <x v="48"/>
    <x v="10"/>
    <x v="141"/>
    <x v="44"/>
    <x v="110"/>
    <x v="184"/>
    <x v="72"/>
    <x v="77"/>
    <x v="1"/>
  </r>
  <r>
    <x v="0"/>
    <x v="39"/>
    <x v="39"/>
    <x v="1"/>
    <x v="1"/>
    <x v="1"/>
    <x v="0"/>
    <x v="83"/>
    <x v="259"/>
    <x v="90"/>
    <x v="351"/>
    <x v="69"/>
    <x v="86"/>
    <x v="1"/>
  </r>
  <r>
    <x v="0"/>
    <x v="39"/>
    <x v="39"/>
    <x v="7"/>
    <x v="7"/>
    <x v="7"/>
    <x v="1"/>
    <x v="133"/>
    <x v="260"/>
    <x v="70"/>
    <x v="138"/>
    <x v="72"/>
    <x v="77"/>
    <x v="1"/>
  </r>
  <r>
    <x v="0"/>
    <x v="39"/>
    <x v="39"/>
    <x v="23"/>
    <x v="23"/>
    <x v="23"/>
    <x v="2"/>
    <x v="136"/>
    <x v="261"/>
    <x v="75"/>
    <x v="141"/>
    <x v="69"/>
    <x v="86"/>
    <x v="1"/>
  </r>
  <r>
    <x v="0"/>
    <x v="39"/>
    <x v="39"/>
    <x v="3"/>
    <x v="3"/>
    <x v="3"/>
    <x v="2"/>
    <x v="136"/>
    <x v="261"/>
    <x v="75"/>
    <x v="141"/>
    <x v="69"/>
    <x v="86"/>
    <x v="1"/>
  </r>
  <r>
    <x v="0"/>
    <x v="39"/>
    <x v="39"/>
    <x v="4"/>
    <x v="4"/>
    <x v="4"/>
    <x v="2"/>
    <x v="136"/>
    <x v="261"/>
    <x v="74"/>
    <x v="228"/>
    <x v="72"/>
    <x v="77"/>
    <x v="1"/>
  </r>
  <r>
    <x v="0"/>
    <x v="39"/>
    <x v="39"/>
    <x v="13"/>
    <x v="13"/>
    <x v="13"/>
    <x v="5"/>
    <x v="140"/>
    <x v="262"/>
    <x v="73"/>
    <x v="18"/>
    <x v="56"/>
    <x v="286"/>
    <x v="1"/>
  </r>
  <r>
    <x v="0"/>
    <x v="39"/>
    <x v="39"/>
    <x v="36"/>
    <x v="36"/>
    <x v="36"/>
    <x v="5"/>
    <x v="140"/>
    <x v="262"/>
    <x v="75"/>
    <x v="141"/>
    <x v="72"/>
    <x v="77"/>
    <x v="1"/>
  </r>
  <r>
    <x v="0"/>
    <x v="39"/>
    <x v="39"/>
    <x v="9"/>
    <x v="9"/>
    <x v="9"/>
    <x v="5"/>
    <x v="140"/>
    <x v="262"/>
    <x v="101"/>
    <x v="336"/>
    <x v="69"/>
    <x v="86"/>
    <x v="1"/>
  </r>
  <r>
    <x v="0"/>
    <x v="39"/>
    <x v="39"/>
    <x v="12"/>
    <x v="12"/>
    <x v="12"/>
    <x v="8"/>
    <x v="137"/>
    <x v="263"/>
    <x v="76"/>
    <x v="339"/>
    <x v="69"/>
    <x v="86"/>
    <x v="1"/>
  </r>
  <r>
    <x v="0"/>
    <x v="39"/>
    <x v="39"/>
    <x v="31"/>
    <x v="31"/>
    <x v="31"/>
    <x v="8"/>
    <x v="137"/>
    <x v="263"/>
    <x v="77"/>
    <x v="129"/>
    <x v="70"/>
    <x v="189"/>
    <x v="1"/>
  </r>
  <r>
    <x v="0"/>
    <x v="39"/>
    <x v="39"/>
    <x v="21"/>
    <x v="21"/>
    <x v="21"/>
    <x v="8"/>
    <x v="137"/>
    <x v="263"/>
    <x v="76"/>
    <x v="339"/>
    <x v="69"/>
    <x v="86"/>
    <x v="1"/>
  </r>
  <r>
    <x v="0"/>
    <x v="39"/>
    <x v="39"/>
    <x v="34"/>
    <x v="34"/>
    <x v="34"/>
    <x v="8"/>
    <x v="137"/>
    <x v="263"/>
    <x v="76"/>
    <x v="339"/>
    <x v="69"/>
    <x v="86"/>
    <x v="1"/>
  </r>
  <r>
    <x v="0"/>
    <x v="39"/>
    <x v="39"/>
    <x v="5"/>
    <x v="5"/>
    <x v="5"/>
    <x v="12"/>
    <x v="138"/>
    <x v="30"/>
    <x v="102"/>
    <x v="340"/>
    <x v="70"/>
    <x v="189"/>
    <x v="1"/>
  </r>
  <r>
    <x v="0"/>
    <x v="39"/>
    <x v="39"/>
    <x v="45"/>
    <x v="45"/>
    <x v="45"/>
    <x v="12"/>
    <x v="138"/>
    <x v="30"/>
    <x v="102"/>
    <x v="340"/>
    <x v="70"/>
    <x v="189"/>
    <x v="1"/>
  </r>
  <r>
    <x v="0"/>
    <x v="39"/>
    <x v="39"/>
    <x v="19"/>
    <x v="19"/>
    <x v="19"/>
    <x v="12"/>
    <x v="138"/>
    <x v="30"/>
    <x v="77"/>
    <x v="129"/>
    <x v="69"/>
    <x v="86"/>
    <x v="1"/>
  </r>
  <r>
    <x v="0"/>
    <x v="39"/>
    <x v="39"/>
    <x v="17"/>
    <x v="17"/>
    <x v="17"/>
    <x v="12"/>
    <x v="138"/>
    <x v="30"/>
    <x v="77"/>
    <x v="129"/>
    <x v="69"/>
    <x v="86"/>
    <x v="1"/>
  </r>
  <r>
    <x v="0"/>
    <x v="39"/>
    <x v="39"/>
    <x v="66"/>
    <x v="66"/>
    <x v="66"/>
    <x v="12"/>
    <x v="138"/>
    <x v="30"/>
    <x v="110"/>
    <x v="184"/>
    <x v="78"/>
    <x v="272"/>
    <x v="1"/>
  </r>
  <r>
    <x v="0"/>
    <x v="39"/>
    <x v="39"/>
    <x v="10"/>
    <x v="10"/>
    <x v="10"/>
    <x v="12"/>
    <x v="138"/>
    <x v="30"/>
    <x v="73"/>
    <x v="18"/>
    <x v="84"/>
    <x v="287"/>
    <x v="1"/>
  </r>
  <r>
    <x v="0"/>
    <x v="39"/>
    <x v="39"/>
    <x v="0"/>
    <x v="0"/>
    <x v="0"/>
    <x v="12"/>
    <x v="138"/>
    <x v="30"/>
    <x v="77"/>
    <x v="129"/>
    <x v="69"/>
    <x v="86"/>
    <x v="1"/>
  </r>
  <r>
    <x v="0"/>
    <x v="39"/>
    <x v="39"/>
    <x v="72"/>
    <x v="72"/>
    <x v="72"/>
    <x v="12"/>
    <x v="138"/>
    <x v="30"/>
    <x v="76"/>
    <x v="339"/>
    <x v="72"/>
    <x v="77"/>
    <x v="1"/>
  </r>
  <r>
    <x v="0"/>
    <x v="39"/>
    <x v="39"/>
    <x v="14"/>
    <x v="14"/>
    <x v="14"/>
    <x v="12"/>
    <x v="138"/>
    <x v="30"/>
    <x v="102"/>
    <x v="340"/>
    <x v="70"/>
    <x v="189"/>
    <x v="1"/>
  </r>
  <r>
    <x v="0"/>
    <x v="39"/>
    <x v="39"/>
    <x v="11"/>
    <x v="11"/>
    <x v="11"/>
    <x v="12"/>
    <x v="138"/>
    <x v="30"/>
    <x v="77"/>
    <x v="129"/>
    <x v="69"/>
    <x v="86"/>
    <x v="1"/>
  </r>
  <r>
    <x v="0"/>
    <x v="40"/>
    <x v="40"/>
    <x v="1"/>
    <x v="1"/>
    <x v="1"/>
    <x v="0"/>
    <x v="107"/>
    <x v="264"/>
    <x v="115"/>
    <x v="352"/>
    <x v="70"/>
    <x v="166"/>
    <x v="1"/>
  </r>
  <r>
    <x v="0"/>
    <x v="40"/>
    <x v="40"/>
    <x v="3"/>
    <x v="3"/>
    <x v="3"/>
    <x v="1"/>
    <x v="122"/>
    <x v="265"/>
    <x v="94"/>
    <x v="258"/>
    <x v="84"/>
    <x v="269"/>
    <x v="1"/>
  </r>
  <r>
    <x v="0"/>
    <x v="40"/>
    <x v="40"/>
    <x v="7"/>
    <x v="7"/>
    <x v="7"/>
    <x v="2"/>
    <x v="114"/>
    <x v="252"/>
    <x v="104"/>
    <x v="353"/>
    <x v="69"/>
    <x v="158"/>
    <x v="1"/>
  </r>
  <r>
    <x v="0"/>
    <x v="40"/>
    <x v="40"/>
    <x v="5"/>
    <x v="5"/>
    <x v="5"/>
    <x v="3"/>
    <x v="123"/>
    <x v="266"/>
    <x v="102"/>
    <x v="19"/>
    <x v="76"/>
    <x v="288"/>
    <x v="1"/>
  </r>
  <r>
    <x v="0"/>
    <x v="40"/>
    <x v="40"/>
    <x v="8"/>
    <x v="8"/>
    <x v="8"/>
    <x v="4"/>
    <x v="124"/>
    <x v="123"/>
    <x v="52"/>
    <x v="354"/>
    <x v="72"/>
    <x v="77"/>
    <x v="1"/>
  </r>
  <r>
    <x v="0"/>
    <x v="40"/>
    <x v="40"/>
    <x v="4"/>
    <x v="4"/>
    <x v="4"/>
    <x v="4"/>
    <x v="124"/>
    <x v="123"/>
    <x v="52"/>
    <x v="354"/>
    <x v="72"/>
    <x v="77"/>
    <x v="1"/>
  </r>
  <r>
    <x v="0"/>
    <x v="40"/>
    <x v="40"/>
    <x v="12"/>
    <x v="12"/>
    <x v="12"/>
    <x v="6"/>
    <x v="143"/>
    <x v="223"/>
    <x v="74"/>
    <x v="189"/>
    <x v="69"/>
    <x v="158"/>
    <x v="1"/>
  </r>
  <r>
    <x v="0"/>
    <x v="40"/>
    <x v="40"/>
    <x v="93"/>
    <x v="93"/>
    <x v="93"/>
    <x v="6"/>
    <x v="143"/>
    <x v="223"/>
    <x v="77"/>
    <x v="64"/>
    <x v="56"/>
    <x v="138"/>
    <x v="1"/>
  </r>
  <r>
    <x v="0"/>
    <x v="40"/>
    <x v="40"/>
    <x v="66"/>
    <x v="66"/>
    <x v="66"/>
    <x v="8"/>
    <x v="136"/>
    <x v="144"/>
    <x v="110"/>
    <x v="184"/>
    <x v="42"/>
    <x v="289"/>
    <x v="1"/>
  </r>
  <r>
    <x v="0"/>
    <x v="40"/>
    <x v="40"/>
    <x v="10"/>
    <x v="10"/>
    <x v="10"/>
    <x v="8"/>
    <x v="136"/>
    <x v="144"/>
    <x v="76"/>
    <x v="188"/>
    <x v="84"/>
    <x v="269"/>
    <x v="1"/>
  </r>
  <r>
    <x v="0"/>
    <x v="40"/>
    <x v="40"/>
    <x v="42"/>
    <x v="42"/>
    <x v="42"/>
    <x v="8"/>
    <x v="136"/>
    <x v="144"/>
    <x v="102"/>
    <x v="19"/>
    <x v="56"/>
    <x v="138"/>
    <x v="1"/>
  </r>
  <r>
    <x v="0"/>
    <x v="40"/>
    <x v="40"/>
    <x v="9"/>
    <x v="9"/>
    <x v="9"/>
    <x v="8"/>
    <x v="136"/>
    <x v="144"/>
    <x v="76"/>
    <x v="188"/>
    <x v="84"/>
    <x v="269"/>
    <x v="1"/>
  </r>
  <r>
    <x v="0"/>
    <x v="40"/>
    <x v="40"/>
    <x v="0"/>
    <x v="0"/>
    <x v="0"/>
    <x v="8"/>
    <x v="136"/>
    <x v="144"/>
    <x v="101"/>
    <x v="285"/>
    <x v="70"/>
    <x v="166"/>
    <x v="1"/>
  </r>
  <r>
    <x v="0"/>
    <x v="40"/>
    <x v="40"/>
    <x v="6"/>
    <x v="6"/>
    <x v="6"/>
    <x v="8"/>
    <x v="136"/>
    <x v="144"/>
    <x v="75"/>
    <x v="213"/>
    <x v="69"/>
    <x v="158"/>
    <x v="1"/>
  </r>
  <r>
    <x v="0"/>
    <x v="40"/>
    <x v="40"/>
    <x v="13"/>
    <x v="13"/>
    <x v="13"/>
    <x v="14"/>
    <x v="140"/>
    <x v="151"/>
    <x v="73"/>
    <x v="355"/>
    <x v="56"/>
    <x v="138"/>
    <x v="1"/>
  </r>
  <r>
    <x v="0"/>
    <x v="40"/>
    <x v="40"/>
    <x v="21"/>
    <x v="21"/>
    <x v="21"/>
    <x v="14"/>
    <x v="140"/>
    <x v="151"/>
    <x v="73"/>
    <x v="355"/>
    <x v="56"/>
    <x v="138"/>
    <x v="1"/>
  </r>
  <r>
    <x v="0"/>
    <x v="40"/>
    <x v="40"/>
    <x v="85"/>
    <x v="85"/>
    <x v="85"/>
    <x v="14"/>
    <x v="140"/>
    <x v="151"/>
    <x v="73"/>
    <x v="355"/>
    <x v="56"/>
    <x v="138"/>
    <x v="1"/>
  </r>
  <r>
    <x v="0"/>
    <x v="40"/>
    <x v="40"/>
    <x v="112"/>
    <x v="112"/>
    <x v="112"/>
    <x v="17"/>
    <x v="137"/>
    <x v="46"/>
    <x v="101"/>
    <x v="285"/>
    <x v="72"/>
    <x v="77"/>
    <x v="1"/>
  </r>
  <r>
    <x v="0"/>
    <x v="40"/>
    <x v="40"/>
    <x v="19"/>
    <x v="19"/>
    <x v="19"/>
    <x v="17"/>
    <x v="137"/>
    <x v="46"/>
    <x v="73"/>
    <x v="355"/>
    <x v="78"/>
    <x v="235"/>
    <x v="1"/>
  </r>
  <r>
    <x v="0"/>
    <x v="40"/>
    <x v="40"/>
    <x v="17"/>
    <x v="17"/>
    <x v="17"/>
    <x v="17"/>
    <x v="137"/>
    <x v="46"/>
    <x v="73"/>
    <x v="355"/>
    <x v="78"/>
    <x v="235"/>
    <x v="1"/>
  </r>
  <r>
    <x v="0"/>
    <x v="40"/>
    <x v="40"/>
    <x v="23"/>
    <x v="23"/>
    <x v="23"/>
    <x v="17"/>
    <x v="137"/>
    <x v="46"/>
    <x v="76"/>
    <x v="188"/>
    <x v="69"/>
    <x v="158"/>
    <x v="1"/>
  </r>
  <r>
    <x v="0"/>
    <x v="40"/>
    <x v="40"/>
    <x v="34"/>
    <x v="34"/>
    <x v="34"/>
    <x v="17"/>
    <x v="137"/>
    <x v="46"/>
    <x v="101"/>
    <x v="285"/>
    <x v="72"/>
    <x v="77"/>
    <x v="1"/>
  </r>
  <r>
    <x v="0"/>
    <x v="40"/>
    <x v="40"/>
    <x v="11"/>
    <x v="11"/>
    <x v="11"/>
    <x v="17"/>
    <x v="137"/>
    <x v="46"/>
    <x v="101"/>
    <x v="285"/>
    <x v="72"/>
    <x v="77"/>
    <x v="1"/>
  </r>
  <r>
    <x v="0"/>
    <x v="41"/>
    <x v="41"/>
    <x v="1"/>
    <x v="1"/>
    <x v="1"/>
    <x v="0"/>
    <x v="113"/>
    <x v="267"/>
    <x v="68"/>
    <x v="38"/>
    <x v="69"/>
    <x v="290"/>
    <x v="1"/>
  </r>
  <r>
    <x v="0"/>
    <x v="41"/>
    <x v="41"/>
    <x v="3"/>
    <x v="3"/>
    <x v="3"/>
    <x v="1"/>
    <x v="114"/>
    <x v="81"/>
    <x v="70"/>
    <x v="356"/>
    <x v="56"/>
    <x v="291"/>
    <x v="1"/>
  </r>
  <r>
    <x v="0"/>
    <x v="41"/>
    <x v="41"/>
    <x v="10"/>
    <x v="10"/>
    <x v="10"/>
    <x v="2"/>
    <x v="126"/>
    <x v="268"/>
    <x v="76"/>
    <x v="349"/>
    <x v="60"/>
    <x v="292"/>
    <x v="1"/>
  </r>
  <r>
    <x v="0"/>
    <x v="41"/>
    <x v="41"/>
    <x v="5"/>
    <x v="5"/>
    <x v="5"/>
    <x v="3"/>
    <x v="143"/>
    <x v="269"/>
    <x v="102"/>
    <x v="226"/>
    <x v="60"/>
    <x v="292"/>
    <x v="1"/>
  </r>
  <r>
    <x v="0"/>
    <x v="41"/>
    <x v="41"/>
    <x v="12"/>
    <x v="12"/>
    <x v="12"/>
    <x v="3"/>
    <x v="143"/>
    <x v="269"/>
    <x v="102"/>
    <x v="226"/>
    <x v="60"/>
    <x v="292"/>
    <x v="1"/>
  </r>
  <r>
    <x v="0"/>
    <x v="41"/>
    <x v="41"/>
    <x v="6"/>
    <x v="6"/>
    <x v="6"/>
    <x v="3"/>
    <x v="143"/>
    <x v="269"/>
    <x v="74"/>
    <x v="357"/>
    <x v="69"/>
    <x v="290"/>
    <x v="1"/>
  </r>
  <r>
    <x v="0"/>
    <x v="41"/>
    <x v="41"/>
    <x v="7"/>
    <x v="7"/>
    <x v="7"/>
    <x v="3"/>
    <x v="143"/>
    <x v="269"/>
    <x v="74"/>
    <x v="357"/>
    <x v="69"/>
    <x v="290"/>
    <x v="1"/>
  </r>
  <r>
    <x v="0"/>
    <x v="41"/>
    <x v="41"/>
    <x v="13"/>
    <x v="13"/>
    <x v="13"/>
    <x v="7"/>
    <x v="136"/>
    <x v="41"/>
    <x v="110"/>
    <x v="184"/>
    <x v="42"/>
    <x v="293"/>
    <x v="1"/>
  </r>
  <r>
    <x v="0"/>
    <x v="41"/>
    <x v="41"/>
    <x v="17"/>
    <x v="17"/>
    <x v="17"/>
    <x v="8"/>
    <x v="140"/>
    <x v="84"/>
    <x v="102"/>
    <x v="226"/>
    <x v="78"/>
    <x v="78"/>
    <x v="1"/>
  </r>
  <r>
    <x v="0"/>
    <x v="41"/>
    <x v="41"/>
    <x v="9"/>
    <x v="9"/>
    <x v="9"/>
    <x v="8"/>
    <x v="140"/>
    <x v="84"/>
    <x v="77"/>
    <x v="49"/>
    <x v="84"/>
    <x v="263"/>
    <x v="1"/>
  </r>
  <r>
    <x v="0"/>
    <x v="41"/>
    <x v="41"/>
    <x v="15"/>
    <x v="15"/>
    <x v="15"/>
    <x v="8"/>
    <x v="140"/>
    <x v="84"/>
    <x v="76"/>
    <x v="349"/>
    <x v="70"/>
    <x v="144"/>
    <x v="1"/>
  </r>
  <r>
    <x v="0"/>
    <x v="41"/>
    <x v="41"/>
    <x v="24"/>
    <x v="24"/>
    <x v="24"/>
    <x v="8"/>
    <x v="140"/>
    <x v="84"/>
    <x v="76"/>
    <x v="349"/>
    <x v="70"/>
    <x v="144"/>
    <x v="1"/>
  </r>
  <r>
    <x v="0"/>
    <x v="41"/>
    <x v="41"/>
    <x v="4"/>
    <x v="4"/>
    <x v="4"/>
    <x v="8"/>
    <x v="140"/>
    <x v="84"/>
    <x v="75"/>
    <x v="358"/>
    <x v="72"/>
    <x v="77"/>
    <x v="1"/>
  </r>
  <r>
    <x v="0"/>
    <x v="41"/>
    <x v="41"/>
    <x v="85"/>
    <x v="85"/>
    <x v="85"/>
    <x v="8"/>
    <x v="140"/>
    <x v="84"/>
    <x v="110"/>
    <x v="184"/>
    <x v="56"/>
    <x v="291"/>
    <x v="0"/>
  </r>
  <r>
    <x v="0"/>
    <x v="41"/>
    <x v="41"/>
    <x v="112"/>
    <x v="112"/>
    <x v="112"/>
    <x v="14"/>
    <x v="137"/>
    <x v="58"/>
    <x v="102"/>
    <x v="226"/>
    <x v="84"/>
    <x v="263"/>
    <x v="1"/>
  </r>
  <r>
    <x v="0"/>
    <x v="41"/>
    <x v="41"/>
    <x v="29"/>
    <x v="29"/>
    <x v="29"/>
    <x v="14"/>
    <x v="137"/>
    <x v="58"/>
    <x v="102"/>
    <x v="226"/>
    <x v="84"/>
    <x v="263"/>
    <x v="1"/>
  </r>
  <r>
    <x v="0"/>
    <x v="41"/>
    <x v="41"/>
    <x v="8"/>
    <x v="8"/>
    <x v="8"/>
    <x v="14"/>
    <x v="137"/>
    <x v="58"/>
    <x v="76"/>
    <x v="349"/>
    <x v="69"/>
    <x v="290"/>
    <x v="1"/>
  </r>
  <r>
    <x v="0"/>
    <x v="41"/>
    <x v="41"/>
    <x v="107"/>
    <x v="107"/>
    <x v="107"/>
    <x v="17"/>
    <x v="138"/>
    <x v="19"/>
    <x v="110"/>
    <x v="184"/>
    <x v="78"/>
    <x v="78"/>
    <x v="1"/>
  </r>
  <r>
    <x v="0"/>
    <x v="41"/>
    <x v="41"/>
    <x v="22"/>
    <x v="22"/>
    <x v="22"/>
    <x v="17"/>
    <x v="138"/>
    <x v="19"/>
    <x v="73"/>
    <x v="209"/>
    <x v="84"/>
    <x v="263"/>
    <x v="1"/>
  </r>
  <r>
    <x v="0"/>
    <x v="41"/>
    <x v="41"/>
    <x v="16"/>
    <x v="16"/>
    <x v="16"/>
    <x v="17"/>
    <x v="138"/>
    <x v="19"/>
    <x v="77"/>
    <x v="49"/>
    <x v="69"/>
    <x v="290"/>
    <x v="1"/>
  </r>
  <r>
    <x v="0"/>
    <x v="41"/>
    <x v="41"/>
    <x v="31"/>
    <x v="31"/>
    <x v="31"/>
    <x v="17"/>
    <x v="138"/>
    <x v="19"/>
    <x v="77"/>
    <x v="49"/>
    <x v="69"/>
    <x v="290"/>
    <x v="1"/>
  </r>
  <r>
    <x v="0"/>
    <x v="41"/>
    <x v="41"/>
    <x v="21"/>
    <x v="21"/>
    <x v="21"/>
    <x v="17"/>
    <x v="138"/>
    <x v="19"/>
    <x v="73"/>
    <x v="209"/>
    <x v="84"/>
    <x v="263"/>
    <x v="1"/>
  </r>
  <r>
    <x v="0"/>
    <x v="41"/>
    <x v="41"/>
    <x v="42"/>
    <x v="42"/>
    <x v="42"/>
    <x v="17"/>
    <x v="138"/>
    <x v="19"/>
    <x v="110"/>
    <x v="184"/>
    <x v="78"/>
    <x v="78"/>
    <x v="1"/>
  </r>
  <r>
    <x v="0"/>
    <x v="41"/>
    <x v="41"/>
    <x v="38"/>
    <x v="38"/>
    <x v="38"/>
    <x v="17"/>
    <x v="138"/>
    <x v="19"/>
    <x v="73"/>
    <x v="209"/>
    <x v="84"/>
    <x v="263"/>
    <x v="1"/>
  </r>
  <r>
    <x v="0"/>
    <x v="41"/>
    <x v="41"/>
    <x v="106"/>
    <x v="106"/>
    <x v="106"/>
    <x v="17"/>
    <x v="138"/>
    <x v="19"/>
    <x v="76"/>
    <x v="349"/>
    <x v="72"/>
    <x v="77"/>
    <x v="1"/>
  </r>
  <r>
    <x v="0"/>
    <x v="41"/>
    <x v="41"/>
    <x v="55"/>
    <x v="55"/>
    <x v="55"/>
    <x v="17"/>
    <x v="138"/>
    <x v="19"/>
    <x v="73"/>
    <x v="209"/>
    <x v="84"/>
    <x v="263"/>
    <x v="1"/>
  </r>
  <r>
    <x v="0"/>
    <x v="41"/>
    <x v="41"/>
    <x v="34"/>
    <x v="34"/>
    <x v="34"/>
    <x v="17"/>
    <x v="138"/>
    <x v="19"/>
    <x v="102"/>
    <x v="226"/>
    <x v="70"/>
    <x v="144"/>
    <x v="1"/>
  </r>
  <r>
    <x v="0"/>
    <x v="42"/>
    <x v="42"/>
    <x v="5"/>
    <x v="5"/>
    <x v="5"/>
    <x v="0"/>
    <x v="124"/>
    <x v="270"/>
    <x v="77"/>
    <x v="26"/>
    <x v="44"/>
    <x v="294"/>
    <x v="1"/>
  </r>
  <r>
    <x v="0"/>
    <x v="42"/>
    <x v="42"/>
    <x v="13"/>
    <x v="13"/>
    <x v="13"/>
    <x v="1"/>
    <x v="143"/>
    <x v="271"/>
    <x v="77"/>
    <x v="26"/>
    <x v="56"/>
    <x v="295"/>
    <x v="1"/>
  </r>
  <r>
    <x v="0"/>
    <x v="42"/>
    <x v="42"/>
    <x v="36"/>
    <x v="36"/>
    <x v="36"/>
    <x v="2"/>
    <x v="140"/>
    <x v="272"/>
    <x v="101"/>
    <x v="359"/>
    <x v="69"/>
    <x v="296"/>
    <x v="1"/>
  </r>
  <r>
    <x v="0"/>
    <x v="42"/>
    <x v="42"/>
    <x v="4"/>
    <x v="4"/>
    <x v="4"/>
    <x v="2"/>
    <x v="140"/>
    <x v="272"/>
    <x v="75"/>
    <x v="360"/>
    <x v="72"/>
    <x v="77"/>
    <x v="1"/>
  </r>
  <r>
    <x v="0"/>
    <x v="42"/>
    <x v="42"/>
    <x v="12"/>
    <x v="12"/>
    <x v="12"/>
    <x v="4"/>
    <x v="137"/>
    <x v="273"/>
    <x v="76"/>
    <x v="272"/>
    <x v="69"/>
    <x v="296"/>
    <x v="1"/>
  </r>
  <r>
    <x v="0"/>
    <x v="42"/>
    <x v="42"/>
    <x v="40"/>
    <x v="40"/>
    <x v="40"/>
    <x v="4"/>
    <x v="137"/>
    <x v="273"/>
    <x v="101"/>
    <x v="359"/>
    <x v="72"/>
    <x v="77"/>
    <x v="1"/>
  </r>
  <r>
    <x v="0"/>
    <x v="42"/>
    <x v="42"/>
    <x v="17"/>
    <x v="17"/>
    <x v="17"/>
    <x v="6"/>
    <x v="138"/>
    <x v="274"/>
    <x v="76"/>
    <x v="272"/>
    <x v="72"/>
    <x v="77"/>
    <x v="1"/>
  </r>
  <r>
    <x v="0"/>
    <x v="42"/>
    <x v="42"/>
    <x v="10"/>
    <x v="10"/>
    <x v="10"/>
    <x v="6"/>
    <x v="138"/>
    <x v="274"/>
    <x v="102"/>
    <x v="69"/>
    <x v="70"/>
    <x v="278"/>
    <x v="1"/>
  </r>
  <r>
    <x v="0"/>
    <x v="42"/>
    <x v="42"/>
    <x v="42"/>
    <x v="42"/>
    <x v="42"/>
    <x v="6"/>
    <x v="138"/>
    <x v="274"/>
    <x v="73"/>
    <x v="275"/>
    <x v="84"/>
    <x v="297"/>
    <x v="1"/>
  </r>
  <r>
    <x v="0"/>
    <x v="42"/>
    <x v="42"/>
    <x v="1"/>
    <x v="1"/>
    <x v="1"/>
    <x v="6"/>
    <x v="138"/>
    <x v="274"/>
    <x v="76"/>
    <x v="272"/>
    <x v="72"/>
    <x v="77"/>
    <x v="1"/>
  </r>
  <r>
    <x v="0"/>
    <x v="42"/>
    <x v="42"/>
    <x v="30"/>
    <x v="30"/>
    <x v="30"/>
    <x v="10"/>
    <x v="139"/>
    <x v="275"/>
    <x v="77"/>
    <x v="26"/>
    <x v="72"/>
    <x v="77"/>
    <x v="1"/>
  </r>
  <r>
    <x v="0"/>
    <x v="42"/>
    <x v="42"/>
    <x v="19"/>
    <x v="19"/>
    <x v="19"/>
    <x v="10"/>
    <x v="139"/>
    <x v="275"/>
    <x v="102"/>
    <x v="69"/>
    <x v="69"/>
    <x v="296"/>
    <x v="1"/>
  </r>
  <r>
    <x v="0"/>
    <x v="42"/>
    <x v="42"/>
    <x v="22"/>
    <x v="22"/>
    <x v="22"/>
    <x v="10"/>
    <x v="139"/>
    <x v="275"/>
    <x v="102"/>
    <x v="69"/>
    <x v="69"/>
    <x v="296"/>
    <x v="1"/>
  </r>
  <r>
    <x v="0"/>
    <x v="42"/>
    <x v="42"/>
    <x v="59"/>
    <x v="59"/>
    <x v="59"/>
    <x v="10"/>
    <x v="139"/>
    <x v="275"/>
    <x v="102"/>
    <x v="69"/>
    <x v="69"/>
    <x v="296"/>
    <x v="1"/>
  </r>
  <r>
    <x v="0"/>
    <x v="42"/>
    <x v="42"/>
    <x v="44"/>
    <x v="44"/>
    <x v="44"/>
    <x v="10"/>
    <x v="139"/>
    <x v="275"/>
    <x v="77"/>
    <x v="26"/>
    <x v="72"/>
    <x v="77"/>
    <x v="1"/>
  </r>
  <r>
    <x v="0"/>
    <x v="42"/>
    <x v="42"/>
    <x v="21"/>
    <x v="21"/>
    <x v="21"/>
    <x v="10"/>
    <x v="139"/>
    <x v="275"/>
    <x v="73"/>
    <x v="275"/>
    <x v="70"/>
    <x v="278"/>
    <x v="1"/>
  </r>
  <r>
    <x v="0"/>
    <x v="42"/>
    <x v="42"/>
    <x v="3"/>
    <x v="3"/>
    <x v="3"/>
    <x v="10"/>
    <x v="139"/>
    <x v="275"/>
    <x v="77"/>
    <x v="26"/>
    <x v="72"/>
    <x v="77"/>
    <x v="1"/>
  </r>
  <r>
    <x v="0"/>
    <x v="42"/>
    <x v="42"/>
    <x v="11"/>
    <x v="11"/>
    <x v="11"/>
    <x v="10"/>
    <x v="139"/>
    <x v="275"/>
    <x v="77"/>
    <x v="26"/>
    <x v="72"/>
    <x v="77"/>
    <x v="1"/>
  </r>
  <r>
    <x v="0"/>
    <x v="42"/>
    <x v="42"/>
    <x v="85"/>
    <x v="85"/>
    <x v="85"/>
    <x v="10"/>
    <x v="139"/>
    <x v="275"/>
    <x v="77"/>
    <x v="26"/>
    <x v="72"/>
    <x v="77"/>
    <x v="1"/>
  </r>
  <r>
    <x v="0"/>
    <x v="42"/>
    <x v="42"/>
    <x v="78"/>
    <x v="78"/>
    <x v="78"/>
    <x v="19"/>
    <x v="141"/>
    <x v="276"/>
    <x v="110"/>
    <x v="184"/>
    <x v="70"/>
    <x v="278"/>
    <x v="1"/>
  </r>
  <r>
    <x v="0"/>
    <x v="42"/>
    <x v="42"/>
    <x v="113"/>
    <x v="113"/>
    <x v="113"/>
    <x v="19"/>
    <x v="141"/>
    <x v="276"/>
    <x v="110"/>
    <x v="184"/>
    <x v="70"/>
    <x v="278"/>
    <x v="1"/>
  </r>
  <r>
    <x v="0"/>
    <x v="42"/>
    <x v="42"/>
    <x v="112"/>
    <x v="112"/>
    <x v="112"/>
    <x v="19"/>
    <x v="141"/>
    <x v="276"/>
    <x v="102"/>
    <x v="69"/>
    <x v="72"/>
    <x v="77"/>
    <x v="1"/>
  </r>
  <r>
    <x v="0"/>
    <x v="42"/>
    <x v="42"/>
    <x v="57"/>
    <x v="57"/>
    <x v="57"/>
    <x v="19"/>
    <x v="141"/>
    <x v="276"/>
    <x v="102"/>
    <x v="69"/>
    <x v="72"/>
    <x v="77"/>
    <x v="1"/>
  </r>
  <r>
    <x v="0"/>
    <x v="42"/>
    <x v="42"/>
    <x v="37"/>
    <x v="37"/>
    <x v="37"/>
    <x v="19"/>
    <x v="141"/>
    <x v="276"/>
    <x v="110"/>
    <x v="184"/>
    <x v="70"/>
    <x v="278"/>
    <x v="1"/>
  </r>
  <r>
    <x v="0"/>
    <x v="42"/>
    <x v="42"/>
    <x v="114"/>
    <x v="114"/>
    <x v="114"/>
    <x v="19"/>
    <x v="141"/>
    <x v="276"/>
    <x v="102"/>
    <x v="69"/>
    <x v="72"/>
    <x v="77"/>
    <x v="1"/>
  </r>
  <r>
    <x v="0"/>
    <x v="42"/>
    <x v="42"/>
    <x v="70"/>
    <x v="70"/>
    <x v="70"/>
    <x v="19"/>
    <x v="141"/>
    <x v="276"/>
    <x v="102"/>
    <x v="69"/>
    <x v="72"/>
    <x v="77"/>
    <x v="1"/>
  </r>
  <r>
    <x v="0"/>
    <x v="42"/>
    <x v="42"/>
    <x v="15"/>
    <x v="15"/>
    <x v="15"/>
    <x v="19"/>
    <x v="141"/>
    <x v="276"/>
    <x v="73"/>
    <x v="275"/>
    <x v="69"/>
    <x v="296"/>
    <x v="1"/>
  </r>
  <r>
    <x v="0"/>
    <x v="42"/>
    <x v="42"/>
    <x v="2"/>
    <x v="2"/>
    <x v="2"/>
    <x v="19"/>
    <x v="141"/>
    <x v="276"/>
    <x v="102"/>
    <x v="69"/>
    <x v="72"/>
    <x v="77"/>
    <x v="1"/>
  </r>
  <r>
    <x v="0"/>
    <x v="42"/>
    <x v="42"/>
    <x v="14"/>
    <x v="14"/>
    <x v="14"/>
    <x v="19"/>
    <x v="141"/>
    <x v="276"/>
    <x v="102"/>
    <x v="69"/>
    <x v="72"/>
    <x v="77"/>
    <x v="1"/>
  </r>
  <r>
    <x v="0"/>
    <x v="42"/>
    <x v="42"/>
    <x v="46"/>
    <x v="46"/>
    <x v="46"/>
    <x v="19"/>
    <x v="141"/>
    <x v="276"/>
    <x v="102"/>
    <x v="69"/>
    <x v="72"/>
    <x v="77"/>
    <x v="1"/>
  </r>
  <r>
    <x v="0"/>
    <x v="42"/>
    <x v="42"/>
    <x v="7"/>
    <x v="7"/>
    <x v="7"/>
    <x v="19"/>
    <x v="141"/>
    <x v="276"/>
    <x v="102"/>
    <x v="69"/>
    <x v="72"/>
    <x v="77"/>
    <x v="1"/>
  </r>
  <r>
    <x v="0"/>
    <x v="42"/>
    <x v="42"/>
    <x v="97"/>
    <x v="97"/>
    <x v="97"/>
    <x v="19"/>
    <x v="141"/>
    <x v="276"/>
    <x v="110"/>
    <x v="184"/>
    <x v="70"/>
    <x v="278"/>
    <x v="1"/>
  </r>
  <r>
    <x v="0"/>
    <x v="42"/>
    <x v="42"/>
    <x v="25"/>
    <x v="25"/>
    <x v="25"/>
    <x v="19"/>
    <x v="141"/>
    <x v="276"/>
    <x v="102"/>
    <x v="69"/>
    <x v="72"/>
    <x v="77"/>
    <x v="1"/>
  </r>
  <r>
    <x v="0"/>
    <x v="43"/>
    <x v="43"/>
    <x v="12"/>
    <x v="12"/>
    <x v="12"/>
    <x v="0"/>
    <x v="115"/>
    <x v="277"/>
    <x v="81"/>
    <x v="176"/>
    <x v="56"/>
    <x v="298"/>
    <x v="1"/>
  </r>
  <r>
    <x v="0"/>
    <x v="43"/>
    <x v="43"/>
    <x v="5"/>
    <x v="5"/>
    <x v="5"/>
    <x v="1"/>
    <x v="124"/>
    <x v="278"/>
    <x v="77"/>
    <x v="361"/>
    <x v="44"/>
    <x v="299"/>
    <x v="1"/>
  </r>
  <r>
    <x v="0"/>
    <x v="43"/>
    <x v="43"/>
    <x v="7"/>
    <x v="7"/>
    <x v="7"/>
    <x v="1"/>
    <x v="124"/>
    <x v="278"/>
    <x v="70"/>
    <x v="362"/>
    <x v="70"/>
    <x v="185"/>
    <x v="1"/>
  </r>
  <r>
    <x v="0"/>
    <x v="43"/>
    <x v="43"/>
    <x v="1"/>
    <x v="1"/>
    <x v="1"/>
    <x v="3"/>
    <x v="126"/>
    <x v="279"/>
    <x v="70"/>
    <x v="362"/>
    <x v="69"/>
    <x v="54"/>
    <x v="1"/>
  </r>
  <r>
    <x v="0"/>
    <x v="43"/>
    <x v="43"/>
    <x v="9"/>
    <x v="9"/>
    <x v="9"/>
    <x v="4"/>
    <x v="143"/>
    <x v="167"/>
    <x v="75"/>
    <x v="363"/>
    <x v="70"/>
    <x v="185"/>
    <x v="1"/>
  </r>
  <r>
    <x v="0"/>
    <x v="43"/>
    <x v="43"/>
    <x v="14"/>
    <x v="14"/>
    <x v="14"/>
    <x v="4"/>
    <x v="143"/>
    <x v="167"/>
    <x v="75"/>
    <x v="363"/>
    <x v="70"/>
    <x v="185"/>
    <x v="1"/>
  </r>
  <r>
    <x v="0"/>
    <x v="43"/>
    <x v="43"/>
    <x v="53"/>
    <x v="53"/>
    <x v="53"/>
    <x v="6"/>
    <x v="136"/>
    <x v="101"/>
    <x v="75"/>
    <x v="363"/>
    <x v="69"/>
    <x v="54"/>
    <x v="1"/>
  </r>
  <r>
    <x v="0"/>
    <x v="43"/>
    <x v="43"/>
    <x v="16"/>
    <x v="16"/>
    <x v="16"/>
    <x v="6"/>
    <x v="136"/>
    <x v="101"/>
    <x v="75"/>
    <x v="363"/>
    <x v="69"/>
    <x v="54"/>
    <x v="1"/>
  </r>
  <r>
    <x v="0"/>
    <x v="43"/>
    <x v="43"/>
    <x v="46"/>
    <x v="46"/>
    <x v="46"/>
    <x v="6"/>
    <x v="136"/>
    <x v="101"/>
    <x v="77"/>
    <x v="361"/>
    <x v="78"/>
    <x v="300"/>
    <x v="1"/>
  </r>
  <r>
    <x v="0"/>
    <x v="43"/>
    <x v="43"/>
    <x v="26"/>
    <x v="26"/>
    <x v="26"/>
    <x v="6"/>
    <x v="136"/>
    <x v="101"/>
    <x v="74"/>
    <x v="326"/>
    <x v="72"/>
    <x v="77"/>
    <x v="1"/>
  </r>
  <r>
    <x v="0"/>
    <x v="43"/>
    <x v="43"/>
    <x v="23"/>
    <x v="23"/>
    <x v="23"/>
    <x v="10"/>
    <x v="140"/>
    <x v="41"/>
    <x v="101"/>
    <x v="253"/>
    <x v="69"/>
    <x v="54"/>
    <x v="1"/>
  </r>
  <r>
    <x v="0"/>
    <x v="43"/>
    <x v="43"/>
    <x v="11"/>
    <x v="11"/>
    <x v="11"/>
    <x v="10"/>
    <x v="140"/>
    <x v="41"/>
    <x v="101"/>
    <x v="253"/>
    <x v="69"/>
    <x v="54"/>
    <x v="1"/>
  </r>
  <r>
    <x v="0"/>
    <x v="43"/>
    <x v="43"/>
    <x v="17"/>
    <x v="17"/>
    <x v="17"/>
    <x v="12"/>
    <x v="137"/>
    <x v="85"/>
    <x v="77"/>
    <x v="361"/>
    <x v="70"/>
    <x v="185"/>
    <x v="1"/>
  </r>
  <r>
    <x v="0"/>
    <x v="43"/>
    <x v="43"/>
    <x v="3"/>
    <x v="3"/>
    <x v="3"/>
    <x v="12"/>
    <x v="137"/>
    <x v="85"/>
    <x v="101"/>
    <x v="253"/>
    <x v="72"/>
    <x v="77"/>
    <x v="1"/>
  </r>
  <r>
    <x v="0"/>
    <x v="43"/>
    <x v="43"/>
    <x v="13"/>
    <x v="13"/>
    <x v="13"/>
    <x v="14"/>
    <x v="138"/>
    <x v="280"/>
    <x v="102"/>
    <x v="316"/>
    <x v="70"/>
    <x v="185"/>
    <x v="1"/>
  </r>
  <r>
    <x v="0"/>
    <x v="43"/>
    <x v="43"/>
    <x v="50"/>
    <x v="50"/>
    <x v="50"/>
    <x v="14"/>
    <x v="138"/>
    <x v="280"/>
    <x v="76"/>
    <x v="206"/>
    <x v="72"/>
    <x v="77"/>
    <x v="1"/>
  </r>
  <r>
    <x v="0"/>
    <x v="43"/>
    <x v="43"/>
    <x v="30"/>
    <x v="30"/>
    <x v="30"/>
    <x v="14"/>
    <x v="138"/>
    <x v="280"/>
    <x v="102"/>
    <x v="316"/>
    <x v="70"/>
    <x v="185"/>
    <x v="1"/>
  </r>
  <r>
    <x v="0"/>
    <x v="43"/>
    <x v="43"/>
    <x v="21"/>
    <x v="21"/>
    <x v="21"/>
    <x v="14"/>
    <x v="138"/>
    <x v="280"/>
    <x v="77"/>
    <x v="361"/>
    <x v="69"/>
    <x v="54"/>
    <x v="1"/>
  </r>
  <r>
    <x v="0"/>
    <x v="43"/>
    <x v="43"/>
    <x v="114"/>
    <x v="114"/>
    <x v="114"/>
    <x v="14"/>
    <x v="138"/>
    <x v="280"/>
    <x v="77"/>
    <x v="361"/>
    <x v="69"/>
    <x v="54"/>
    <x v="1"/>
  </r>
  <r>
    <x v="0"/>
    <x v="43"/>
    <x v="43"/>
    <x v="4"/>
    <x v="4"/>
    <x v="4"/>
    <x v="14"/>
    <x v="138"/>
    <x v="280"/>
    <x v="76"/>
    <x v="206"/>
    <x v="72"/>
    <x v="77"/>
    <x v="1"/>
  </r>
  <r>
    <x v="0"/>
    <x v="44"/>
    <x v="44"/>
    <x v="14"/>
    <x v="14"/>
    <x v="14"/>
    <x v="0"/>
    <x v="138"/>
    <x v="281"/>
    <x v="76"/>
    <x v="364"/>
    <x v="72"/>
    <x v="77"/>
    <x v="1"/>
  </r>
  <r>
    <x v="0"/>
    <x v="44"/>
    <x v="44"/>
    <x v="5"/>
    <x v="5"/>
    <x v="5"/>
    <x v="1"/>
    <x v="141"/>
    <x v="282"/>
    <x v="110"/>
    <x v="184"/>
    <x v="70"/>
    <x v="301"/>
    <x v="1"/>
  </r>
  <r>
    <x v="0"/>
    <x v="44"/>
    <x v="44"/>
    <x v="42"/>
    <x v="42"/>
    <x v="42"/>
    <x v="1"/>
    <x v="141"/>
    <x v="282"/>
    <x v="73"/>
    <x v="365"/>
    <x v="69"/>
    <x v="302"/>
    <x v="1"/>
  </r>
  <r>
    <x v="0"/>
    <x v="44"/>
    <x v="44"/>
    <x v="3"/>
    <x v="3"/>
    <x v="3"/>
    <x v="1"/>
    <x v="141"/>
    <x v="282"/>
    <x v="102"/>
    <x v="366"/>
    <x v="72"/>
    <x v="77"/>
    <x v="1"/>
  </r>
  <r>
    <x v="0"/>
    <x v="44"/>
    <x v="44"/>
    <x v="75"/>
    <x v="75"/>
    <x v="75"/>
    <x v="1"/>
    <x v="141"/>
    <x v="282"/>
    <x v="110"/>
    <x v="184"/>
    <x v="70"/>
    <x v="301"/>
    <x v="1"/>
  </r>
  <r>
    <x v="0"/>
    <x v="44"/>
    <x v="44"/>
    <x v="13"/>
    <x v="13"/>
    <x v="13"/>
    <x v="5"/>
    <x v="142"/>
    <x v="283"/>
    <x v="110"/>
    <x v="184"/>
    <x v="69"/>
    <x v="302"/>
    <x v="1"/>
  </r>
  <r>
    <x v="0"/>
    <x v="44"/>
    <x v="44"/>
    <x v="112"/>
    <x v="112"/>
    <x v="112"/>
    <x v="5"/>
    <x v="142"/>
    <x v="283"/>
    <x v="73"/>
    <x v="365"/>
    <x v="72"/>
    <x v="77"/>
    <x v="1"/>
  </r>
  <r>
    <x v="0"/>
    <x v="44"/>
    <x v="44"/>
    <x v="58"/>
    <x v="58"/>
    <x v="58"/>
    <x v="5"/>
    <x v="142"/>
    <x v="283"/>
    <x v="110"/>
    <x v="184"/>
    <x v="72"/>
    <x v="77"/>
    <x v="1"/>
  </r>
  <r>
    <x v="0"/>
    <x v="44"/>
    <x v="44"/>
    <x v="40"/>
    <x v="40"/>
    <x v="40"/>
    <x v="5"/>
    <x v="142"/>
    <x v="283"/>
    <x v="73"/>
    <x v="365"/>
    <x v="72"/>
    <x v="77"/>
    <x v="1"/>
  </r>
  <r>
    <x v="0"/>
    <x v="44"/>
    <x v="44"/>
    <x v="23"/>
    <x v="23"/>
    <x v="23"/>
    <x v="5"/>
    <x v="142"/>
    <x v="283"/>
    <x v="73"/>
    <x v="365"/>
    <x v="72"/>
    <x v="77"/>
    <x v="1"/>
  </r>
  <r>
    <x v="0"/>
    <x v="44"/>
    <x v="44"/>
    <x v="16"/>
    <x v="16"/>
    <x v="16"/>
    <x v="5"/>
    <x v="142"/>
    <x v="283"/>
    <x v="73"/>
    <x v="365"/>
    <x v="72"/>
    <x v="77"/>
    <x v="1"/>
  </r>
  <r>
    <x v="0"/>
    <x v="44"/>
    <x v="44"/>
    <x v="114"/>
    <x v="114"/>
    <x v="114"/>
    <x v="5"/>
    <x v="142"/>
    <x v="283"/>
    <x v="73"/>
    <x v="365"/>
    <x v="72"/>
    <x v="77"/>
    <x v="1"/>
  </r>
  <r>
    <x v="0"/>
    <x v="44"/>
    <x v="44"/>
    <x v="108"/>
    <x v="108"/>
    <x v="108"/>
    <x v="5"/>
    <x v="142"/>
    <x v="283"/>
    <x v="110"/>
    <x v="184"/>
    <x v="69"/>
    <x v="302"/>
    <x v="1"/>
  </r>
  <r>
    <x v="0"/>
    <x v="44"/>
    <x v="44"/>
    <x v="62"/>
    <x v="62"/>
    <x v="62"/>
    <x v="5"/>
    <x v="142"/>
    <x v="283"/>
    <x v="110"/>
    <x v="184"/>
    <x v="69"/>
    <x v="302"/>
    <x v="1"/>
  </r>
  <r>
    <x v="0"/>
    <x v="44"/>
    <x v="44"/>
    <x v="60"/>
    <x v="60"/>
    <x v="60"/>
    <x v="5"/>
    <x v="142"/>
    <x v="283"/>
    <x v="110"/>
    <x v="184"/>
    <x v="69"/>
    <x v="302"/>
    <x v="1"/>
  </r>
  <r>
    <x v="0"/>
    <x v="44"/>
    <x v="44"/>
    <x v="46"/>
    <x v="46"/>
    <x v="46"/>
    <x v="5"/>
    <x v="142"/>
    <x v="283"/>
    <x v="73"/>
    <x v="365"/>
    <x v="72"/>
    <x v="77"/>
    <x v="1"/>
  </r>
  <r>
    <x v="0"/>
    <x v="44"/>
    <x v="44"/>
    <x v="26"/>
    <x v="26"/>
    <x v="26"/>
    <x v="5"/>
    <x v="142"/>
    <x v="283"/>
    <x v="73"/>
    <x v="365"/>
    <x v="72"/>
    <x v="77"/>
    <x v="1"/>
  </r>
  <r>
    <x v="0"/>
    <x v="44"/>
    <x v="44"/>
    <x v="4"/>
    <x v="4"/>
    <x v="4"/>
    <x v="5"/>
    <x v="142"/>
    <x v="283"/>
    <x v="73"/>
    <x v="365"/>
    <x v="72"/>
    <x v="77"/>
    <x v="1"/>
  </r>
  <r>
    <x v="0"/>
    <x v="44"/>
    <x v="44"/>
    <x v="55"/>
    <x v="55"/>
    <x v="55"/>
    <x v="5"/>
    <x v="142"/>
    <x v="283"/>
    <x v="73"/>
    <x v="365"/>
    <x v="72"/>
    <x v="77"/>
    <x v="1"/>
  </r>
  <r>
    <x v="0"/>
    <x v="44"/>
    <x v="44"/>
    <x v="7"/>
    <x v="7"/>
    <x v="7"/>
    <x v="5"/>
    <x v="142"/>
    <x v="283"/>
    <x v="73"/>
    <x v="365"/>
    <x v="72"/>
    <x v="77"/>
    <x v="1"/>
  </r>
  <r>
    <x v="0"/>
    <x v="44"/>
    <x v="44"/>
    <x v="43"/>
    <x v="43"/>
    <x v="43"/>
    <x v="5"/>
    <x v="142"/>
    <x v="283"/>
    <x v="110"/>
    <x v="184"/>
    <x v="72"/>
    <x v="77"/>
    <x v="1"/>
  </r>
  <r>
    <x v="0"/>
    <x v="44"/>
    <x v="44"/>
    <x v="115"/>
    <x v="115"/>
    <x v="115"/>
    <x v="5"/>
    <x v="142"/>
    <x v="283"/>
    <x v="110"/>
    <x v="184"/>
    <x v="69"/>
    <x v="302"/>
    <x v="1"/>
  </r>
  <r>
    <x v="0"/>
    <x v="44"/>
    <x v="44"/>
    <x v="116"/>
    <x v="116"/>
    <x v="116"/>
    <x v="5"/>
    <x v="142"/>
    <x v="283"/>
    <x v="110"/>
    <x v="184"/>
    <x v="69"/>
    <x v="302"/>
    <x v="1"/>
  </r>
  <r>
    <x v="0"/>
    <x v="44"/>
    <x v="44"/>
    <x v="25"/>
    <x v="25"/>
    <x v="25"/>
    <x v="5"/>
    <x v="142"/>
    <x v="283"/>
    <x v="73"/>
    <x v="365"/>
    <x v="72"/>
    <x v="77"/>
    <x v="1"/>
  </r>
  <r>
    <x v="0"/>
    <x v="45"/>
    <x v="45"/>
    <x v="90"/>
    <x v="90"/>
    <x v="90"/>
    <x v="0"/>
    <x v="139"/>
    <x v="284"/>
    <x v="110"/>
    <x v="184"/>
    <x v="84"/>
    <x v="303"/>
    <x v="1"/>
  </r>
  <r>
    <x v="0"/>
    <x v="45"/>
    <x v="45"/>
    <x v="5"/>
    <x v="5"/>
    <x v="5"/>
    <x v="1"/>
    <x v="141"/>
    <x v="285"/>
    <x v="110"/>
    <x v="184"/>
    <x v="70"/>
    <x v="301"/>
    <x v="1"/>
  </r>
  <r>
    <x v="0"/>
    <x v="45"/>
    <x v="45"/>
    <x v="88"/>
    <x v="88"/>
    <x v="88"/>
    <x v="1"/>
    <x v="141"/>
    <x v="285"/>
    <x v="110"/>
    <x v="184"/>
    <x v="70"/>
    <x v="301"/>
    <x v="1"/>
  </r>
  <r>
    <x v="0"/>
    <x v="45"/>
    <x v="45"/>
    <x v="31"/>
    <x v="31"/>
    <x v="31"/>
    <x v="1"/>
    <x v="141"/>
    <x v="285"/>
    <x v="102"/>
    <x v="367"/>
    <x v="72"/>
    <x v="77"/>
    <x v="1"/>
  </r>
  <r>
    <x v="0"/>
    <x v="45"/>
    <x v="45"/>
    <x v="114"/>
    <x v="114"/>
    <x v="114"/>
    <x v="1"/>
    <x v="141"/>
    <x v="285"/>
    <x v="73"/>
    <x v="368"/>
    <x v="69"/>
    <x v="302"/>
    <x v="1"/>
  </r>
  <r>
    <x v="0"/>
    <x v="45"/>
    <x v="45"/>
    <x v="4"/>
    <x v="4"/>
    <x v="4"/>
    <x v="1"/>
    <x v="141"/>
    <x v="285"/>
    <x v="102"/>
    <x v="367"/>
    <x v="72"/>
    <x v="77"/>
    <x v="1"/>
  </r>
  <r>
    <x v="0"/>
    <x v="45"/>
    <x v="45"/>
    <x v="35"/>
    <x v="35"/>
    <x v="35"/>
    <x v="6"/>
    <x v="142"/>
    <x v="286"/>
    <x v="73"/>
    <x v="368"/>
    <x v="72"/>
    <x v="77"/>
    <x v="1"/>
  </r>
  <r>
    <x v="0"/>
    <x v="45"/>
    <x v="45"/>
    <x v="36"/>
    <x v="36"/>
    <x v="36"/>
    <x v="6"/>
    <x v="142"/>
    <x v="286"/>
    <x v="73"/>
    <x v="368"/>
    <x v="72"/>
    <x v="77"/>
    <x v="1"/>
  </r>
  <r>
    <x v="0"/>
    <x v="45"/>
    <x v="45"/>
    <x v="50"/>
    <x v="50"/>
    <x v="50"/>
    <x v="6"/>
    <x v="142"/>
    <x v="286"/>
    <x v="73"/>
    <x v="368"/>
    <x v="72"/>
    <x v="77"/>
    <x v="1"/>
  </r>
  <r>
    <x v="0"/>
    <x v="45"/>
    <x v="45"/>
    <x v="63"/>
    <x v="63"/>
    <x v="63"/>
    <x v="6"/>
    <x v="142"/>
    <x v="286"/>
    <x v="110"/>
    <x v="184"/>
    <x v="72"/>
    <x v="77"/>
    <x v="0"/>
  </r>
  <r>
    <x v="0"/>
    <x v="45"/>
    <x v="45"/>
    <x v="117"/>
    <x v="117"/>
    <x v="117"/>
    <x v="6"/>
    <x v="142"/>
    <x v="286"/>
    <x v="110"/>
    <x v="184"/>
    <x v="69"/>
    <x v="302"/>
    <x v="1"/>
  </r>
  <r>
    <x v="0"/>
    <x v="45"/>
    <x v="45"/>
    <x v="39"/>
    <x v="39"/>
    <x v="39"/>
    <x v="6"/>
    <x v="142"/>
    <x v="286"/>
    <x v="73"/>
    <x v="368"/>
    <x v="72"/>
    <x v="77"/>
    <x v="1"/>
  </r>
  <r>
    <x v="0"/>
    <x v="45"/>
    <x v="45"/>
    <x v="59"/>
    <x v="59"/>
    <x v="59"/>
    <x v="6"/>
    <x v="142"/>
    <x v="286"/>
    <x v="73"/>
    <x v="368"/>
    <x v="72"/>
    <x v="77"/>
    <x v="1"/>
  </r>
  <r>
    <x v="0"/>
    <x v="45"/>
    <x v="45"/>
    <x v="53"/>
    <x v="53"/>
    <x v="53"/>
    <x v="6"/>
    <x v="142"/>
    <x v="286"/>
    <x v="73"/>
    <x v="368"/>
    <x v="72"/>
    <x v="77"/>
    <x v="1"/>
  </r>
  <r>
    <x v="0"/>
    <x v="45"/>
    <x v="45"/>
    <x v="40"/>
    <x v="40"/>
    <x v="40"/>
    <x v="6"/>
    <x v="142"/>
    <x v="286"/>
    <x v="73"/>
    <x v="368"/>
    <x v="72"/>
    <x v="77"/>
    <x v="1"/>
  </r>
  <r>
    <x v="0"/>
    <x v="45"/>
    <x v="45"/>
    <x v="10"/>
    <x v="10"/>
    <x v="10"/>
    <x v="6"/>
    <x v="142"/>
    <x v="286"/>
    <x v="110"/>
    <x v="184"/>
    <x v="69"/>
    <x v="302"/>
    <x v="1"/>
  </r>
  <r>
    <x v="0"/>
    <x v="45"/>
    <x v="45"/>
    <x v="44"/>
    <x v="44"/>
    <x v="44"/>
    <x v="6"/>
    <x v="142"/>
    <x v="286"/>
    <x v="73"/>
    <x v="368"/>
    <x v="72"/>
    <x v="77"/>
    <x v="1"/>
  </r>
  <r>
    <x v="0"/>
    <x v="45"/>
    <x v="45"/>
    <x v="42"/>
    <x v="42"/>
    <x v="42"/>
    <x v="6"/>
    <x v="142"/>
    <x v="286"/>
    <x v="73"/>
    <x v="368"/>
    <x v="72"/>
    <x v="77"/>
    <x v="1"/>
  </r>
  <r>
    <x v="0"/>
    <x v="45"/>
    <x v="45"/>
    <x v="0"/>
    <x v="0"/>
    <x v="0"/>
    <x v="6"/>
    <x v="142"/>
    <x v="286"/>
    <x v="73"/>
    <x v="368"/>
    <x v="72"/>
    <x v="77"/>
    <x v="1"/>
  </r>
  <r>
    <x v="0"/>
    <x v="45"/>
    <x v="45"/>
    <x v="118"/>
    <x v="118"/>
    <x v="118"/>
    <x v="6"/>
    <x v="142"/>
    <x v="286"/>
    <x v="73"/>
    <x v="368"/>
    <x v="72"/>
    <x v="77"/>
    <x v="1"/>
  </r>
  <r>
    <x v="0"/>
    <x v="45"/>
    <x v="45"/>
    <x v="3"/>
    <x v="3"/>
    <x v="3"/>
    <x v="6"/>
    <x v="142"/>
    <x v="286"/>
    <x v="73"/>
    <x v="368"/>
    <x v="72"/>
    <x v="77"/>
    <x v="1"/>
  </r>
  <r>
    <x v="0"/>
    <x v="45"/>
    <x v="45"/>
    <x v="46"/>
    <x v="46"/>
    <x v="46"/>
    <x v="6"/>
    <x v="142"/>
    <x v="286"/>
    <x v="73"/>
    <x v="368"/>
    <x v="72"/>
    <x v="77"/>
    <x v="1"/>
  </r>
  <r>
    <x v="0"/>
    <x v="45"/>
    <x v="45"/>
    <x v="26"/>
    <x v="26"/>
    <x v="26"/>
    <x v="6"/>
    <x v="142"/>
    <x v="286"/>
    <x v="73"/>
    <x v="368"/>
    <x v="72"/>
    <x v="77"/>
    <x v="1"/>
  </r>
  <r>
    <x v="0"/>
    <x v="45"/>
    <x v="45"/>
    <x v="119"/>
    <x v="119"/>
    <x v="119"/>
    <x v="6"/>
    <x v="142"/>
    <x v="286"/>
    <x v="73"/>
    <x v="368"/>
    <x v="72"/>
    <x v="77"/>
    <x v="1"/>
  </r>
  <r>
    <x v="0"/>
    <x v="45"/>
    <x v="45"/>
    <x v="1"/>
    <x v="1"/>
    <x v="1"/>
    <x v="6"/>
    <x v="142"/>
    <x v="286"/>
    <x v="73"/>
    <x v="368"/>
    <x v="72"/>
    <x v="77"/>
    <x v="1"/>
  </r>
  <r>
    <x v="0"/>
    <x v="45"/>
    <x v="45"/>
    <x v="11"/>
    <x v="11"/>
    <x v="11"/>
    <x v="6"/>
    <x v="142"/>
    <x v="286"/>
    <x v="110"/>
    <x v="184"/>
    <x v="69"/>
    <x v="302"/>
    <x v="1"/>
  </r>
  <r>
    <x v="0"/>
    <x v="45"/>
    <x v="45"/>
    <x v="7"/>
    <x v="7"/>
    <x v="7"/>
    <x v="6"/>
    <x v="142"/>
    <x v="286"/>
    <x v="73"/>
    <x v="368"/>
    <x v="72"/>
    <x v="77"/>
    <x v="1"/>
  </r>
  <r>
    <x v="0"/>
    <x v="45"/>
    <x v="45"/>
    <x v="25"/>
    <x v="25"/>
    <x v="25"/>
    <x v="6"/>
    <x v="142"/>
    <x v="286"/>
    <x v="73"/>
    <x v="368"/>
    <x v="72"/>
    <x v="77"/>
    <x v="1"/>
  </r>
  <r>
    <x v="0"/>
    <x v="46"/>
    <x v="46"/>
    <x v="5"/>
    <x v="5"/>
    <x v="5"/>
    <x v="0"/>
    <x v="136"/>
    <x v="287"/>
    <x v="77"/>
    <x v="369"/>
    <x v="78"/>
    <x v="219"/>
    <x v="1"/>
  </r>
  <r>
    <x v="0"/>
    <x v="46"/>
    <x v="46"/>
    <x v="12"/>
    <x v="12"/>
    <x v="12"/>
    <x v="1"/>
    <x v="137"/>
    <x v="288"/>
    <x v="101"/>
    <x v="370"/>
    <x v="72"/>
    <x v="77"/>
    <x v="1"/>
  </r>
  <r>
    <x v="0"/>
    <x v="46"/>
    <x v="46"/>
    <x v="36"/>
    <x v="36"/>
    <x v="36"/>
    <x v="1"/>
    <x v="137"/>
    <x v="288"/>
    <x v="76"/>
    <x v="371"/>
    <x v="69"/>
    <x v="218"/>
    <x v="1"/>
  </r>
  <r>
    <x v="0"/>
    <x v="46"/>
    <x v="46"/>
    <x v="35"/>
    <x v="35"/>
    <x v="35"/>
    <x v="3"/>
    <x v="138"/>
    <x v="289"/>
    <x v="77"/>
    <x v="369"/>
    <x v="69"/>
    <x v="218"/>
    <x v="1"/>
  </r>
  <r>
    <x v="0"/>
    <x v="46"/>
    <x v="46"/>
    <x v="10"/>
    <x v="10"/>
    <x v="10"/>
    <x v="3"/>
    <x v="138"/>
    <x v="289"/>
    <x v="76"/>
    <x v="371"/>
    <x v="72"/>
    <x v="77"/>
    <x v="1"/>
  </r>
  <r>
    <x v="0"/>
    <x v="46"/>
    <x v="46"/>
    <x v="42"/>
    <x v="42"/>
    <x v="42"/>
    <x v="3"/>
    <x v="138"/>
    <x v="289"/>
    <x v="102"/>
    <x v="372"/>
    <x v="70"/>
    <x v="220"/>
    <x v="1"/>
  </r>
  <r>
    <x v="0"/>
    <x v="46"/>
    <x v="46"/>
    <x v="4"/>
    <x v="4"/>
    <x v="4"/>
    <x v="3"/>
    <x v="138"/>
    <x v="289"/>
    <x v="76"/>
    <x v="371"/>
    <x v="72"/>
    <x v="77"/>
    <x v="1"/>
  </r>
  <r>
    <x v="0"/>
    <x v="46"/>
    <x v="46"/>
    <x v="66"/>
    <x v="66"/>
    <x v="66"/>
    <x v="7"/>
    <x v="139"/>
    <x v="111"/>
    <x v="102"/>
    <x v="372"/>
    <x v="69"/>
    <x v="218"/>
    <x v="1"/>
  </r>
  <r>
    <x v="0"/>
    <x v="46"/>
    <x v="46"/>
    <x v="31"/>
    <x v="31"/>
    <x v="31"/>
    <x v="7"/>
    <x v="139"/>
    <x v="111"/>
    <x v="102"/>
    <x v="372"/>
    <x v="69"/>
    <x v="218"/>
    <x v="1"/>
  </r>
  <r>
    <x v="0"/>
    <x v="46"/>
    <x v="46"/>
    <x v="9"/>
    <x v="9"/>
    <x v="9"/>
    <x v="7"/>
    <x v="139"/>
    <x v="111"/>
    <x v="77"/>
    <x v="369"/>
    <x v="72"/>
    <x v="77"/>
    <x v="1"/>
  </r>
  <r>
    <x v="0"/>
    <x v="46"/>
    <x v="46"/>
    <x v="7"/>
    <x v="7"/>
    <x v="7"/>
    <x v="7"/>
    <x v="139"/>
    <x v="111"/>
    <x v="77"/>
    <x v="369"/>
    <x v="72"/>
    <x v="77"/>
    <x v="1"/>
  </r>
  <r>
    <x v="0"/>
    <x v="46"/>
    <x v="46"/>
    <x v="13"/>
    <x v="13"/>
    <x v="13"/>
    <x v="11"/>
    <x v="141"/>
    <x v="115"/>
    <x v="110"/>
    <x v="184"/>
    <x v="70"/>
    <x v="220"/>
    <x v="1"/>
  </r>
  <r>
    <x v="0"/>
    <x v="46"/>
    <x v="46"/>
    <x v="50"/>
    <x v="50"/>
    <x v="50"/>
    <x v="11"/>
    <x v="141"/>
    <x v="115"/>
    <x v="102"/>
    <x v="372"/>
    <x v="72"/>
    <x v="77"/>
    <x v="1"/>
  </r>
  <r>
    <x v="0"/>
    <x v="46"/>
    <x v="46"/>
    <x v="87"/>
    <x v="87"/>
    <x v="87"/>
    <x v="11"/>
    <x v="141"/>
    <x v="115"/>
    <x v="102"/>
    <x v="372"/>
    <x v="72"/>
    <x v="77"/>
    <x v="1"/>
  </r>
  <r>
    <x v="0"/>
    <x v="46"/>
    <x v="46"/>
    <x v="17"/>
    <x v="17"/>
    <x v="17"/>
    <x v="11"/>
    <x v="141"/>
    <x v="115"/>
    <x v="73"/>
    <x v="373"/>
    <x v="69"/>
    <x v="218"/>
    <x v="1"/>
  </r>
  <r>
    <x v="0"/>
    <x v="46"/>
    <x v="46"/>
    <x v="120"/>
    <x v="120"/>
    <x v="120"/>
    <x v="11"/>
    <x v="141"/>
    <x v="115"/>
    <x v="102"/>
    <x v="372"/>
    <x v="72"/>
    <x v="77"/>
    <x v="1"/>
  </r>
  <r>
    <x v="0"/>
    <x v="46"/>
    <x v="46"/>
    <x v="121"/>
    <x v="121"/>
    <x v="121"/>
    <x v="11"/>
    <x v="141"/>
    <x v="115"/>
    <x v="73"/>
    <x v="373"/>
    <x v="69"/>
    <x v="218"/>
    <x v="1"/>
  </r>
  <r>
    <x v="0"/>
    <x v="46"/>
    <x v="46"/>
    <x v="122"/>
    <x v="122"/>
    <x v="122"/>
    <x v="11"/>
    <x v="141"/>
    <x v="115"/>
    <x v="73"/>
    <x v="373"/>
    <x v="69"/>
    <x v="218"/>
    <x v="1"/>
  </r>
  <r>
    <x v="0"/>
    <x v="46"/>
    <x v="46"/>
    <x v="41"/>
    <x v="41"/>
    <x v="41"/>
    <x v="11"/>
    <x v="141"/>
    <x v="115"/>
    <x v="73"/>
    <x v="373"/>
    <x v="69"/>
    <x v="218"/>
    <x v="1"/>
  </r>
  <r>
    <x v="0"/>
    <x v="46"/>
    <x v="46"/>
    <x v="123"/>
    <x v="123"/>
    <x v="123"/>
    <x v="11"/>
    <x v="141"/>
    <x v="115"/>
    <x v="102"/>
    <x v="372"/>
    <x v="72"/>
    <x v="77"/>
    <x v="1"/>
  </r>
  <r>
    <x v="0"/>
    <x v="46"/>
    <x v="46"/>
    <x v="1"/>
    <x v="1"/>
    <x v="1"/>
    <x v="11"/>
    <x v="141"/>
    <x v="115"/>
    <x v="102"/>
    <x v="372"/>
    <x v="72"/>
    <x v="77"/>
    <x v="1"/>
  </r>
  <r>
    <x v="0"/>
    <x v="46"/>
    <x v="46"/>
    <x v="11"/>
    <x v="11"/>
    <x v="11"/>
    <x v="11"/>
    <x v="141"/>
    <x v="115"/>
    <x v="102"/>
    <x v="372"/>
    <x v="72"/>
    <x v="77"/>
    <x v="1"/>
  </r>
  <r>
    <x v="0"/>
    <x v="46"/>
    <x v="46"/>
    <x v="25"/>
    <x v="25"/>
    <x v="25"/>
    <x v="11"/>
    <x v="141"/>
    <x v="115"/>
    <x v="73"/>
    <x v="373"/>
    <x v="69"/>
    <x v="218"/>
    <x v="1"/>
  </r>
  <r>
    <x v="0"/>
    <x v="47"/>
    <x v="47"/>
    <x v="53"/>
    <x v="53"/>
    <x v="53"/>
    <x v="0"/>
    <x v="141"/>
    <x v="290"/>
    <x v="102"/>
    <x v="374"/>
    <x v="72"/>
    <x v="77"/>
    <x v="1"/>
  </r>
  <r>
    <x v="0"/>
    <x v="47"/>
    <x v="47"/>
    <x v="42"/>
    <x v="42"/>
    <x v="42"/>
    <x v="0"/>
    <x v="141"/>
    <x v="290"/>
    <x v="73"/>
    <x v="375"/>
    <x v="72"/>
    <x v="77"/>
    <x v="0"/>
  </r>
  <r>
    <x v="0"/>
    <x v="47"/>
    <x v="47"/>
    <x v="2"/>
    <x v="2"/>
    <x v="2"/>
    <x v="0"/>
    <x v="141"/>
    <x v="290"/>
    <x v="102"/>
    <x v="374"/>
    <x v="72"/>
    <x v="77"/>
    <x v="1"/>
  </r>
  <r>
    <x v="0"/>
    <x v="47"/>
    <x v="47"/>
    <x v="12"/>
    <x v="12"/>
    <x v="12"/>
    <x v="3"/>
    <x v="142"/>
    <x v="258"/>
    <x v="110"/>
    <x v="184"/>
    <x v="69"/>
    <x v="224"/>
    <x v="1"/>
  </r>
  <r>
    <x v="0"/>
    <x v="47"/>
    <x v="47"/>
    <x v="88"/>
    <x v="88"/>
    <x v="88"/>
    <x v="3"/>
    <x v="142"/>
    <x v="258"/>
    <x v="110"/>
    <x v="184"/>
    <x v="69"/>
    <x v="224"/>
    <x v="1"/>
  </r>
  <r>
    <x v="0"/>
    <x v="47"/>
    <x v="47"/>
    <x v="124"/>
    <x v="124"/>
    <x v="124"/>
    <x v="3"/>
    <x v="142"/>
    <x v="258"/>
    <x v="73"/>
    <x v="375"/>
    <x v="72"/>
    <x v="77"/>
    <x v="1"/>
  </r>
  <r>
    <x v="0"/>
    <x v="47"/>
    <x v="47"/>
    <x v="125"/>
    <x v="125"/>
    <x v="125"/>
    <x v="3"/>
    <x v="142"/>
    <x v="258"/>
    <x v="110"/>
    <x v="184"/>
    <x v="69"/>
    <x v="224"/>
    <x v="1"/>
  </r>
  <r>
    <x v="0"/>
    <x v="47"/>
    <x v="47"/>
    <x v="126"/>
    <x v="126"/>
    <x v="126"/>
    <x v="3"/>
    <x v="142"/>
    <x v="258"/>
    <x v="73"/>
    <x v="375"/>
    <x v="72"/>
    <x v="77"/>
    <x v="1"/>
  </r>
  <r>
    <x v="0"/>
    <x v="47"/>
    <x v="47"/>
    <x v="39"/>
    <x v="39"/>
    <x v="39"/>
    <x v="3"/>
    <x v="142"/>
    <x v="258"/>
    <x v="73"/>
    <x v="375"/>
    <x v="72"/>
    <x v="77"/>
    <x v="1"/>
  </r>
  <r>
    <x v="0"/>
    <x v="47"/>
    <x v="47"/>
    <x v="59"/>
    <x v="59"/>
    <x v="59"/>
    <x v="3"/>
    <x v="142"/>
    <x v="258"/>
    <x v="73"/>
    <x v="375"/>
    <x v="72"/>
    <x v="77"/>
    <x v="1"/>
  </r>
  <r>
    <x v="0"/>
    <x v="47"/>
    <x v="47"/>
    <x v="16"/>
    <x v="16"/>
    <x v="16"/>
    <x v="3"/>
    <x v="142"/>
    <x v="258"/>
    <x v="73"/>
    <x v="375"/>
    <x v="72"/>
    <x v="77"/>
    <x v="1"/>
  </r>
  <r>
    <x v="0"/>
    <x v="47"/>
    <x v="47"/>
    <x v="10"/>
    <x v="10"/>
    <x v="10"/>
    <x v="3"/>
    <x v="142"/>
    <x v="258"/>
    <x v="73"/>
    <x v="375"/>
    <x v="72"/>
    <x v="77"/>
    <x v="1"/>
  </r>
  <r>
    <x v="0"/>
    <x v="47"/>
    <x v="47"/>
    <x v="114"/>
    <x v="114"/>
    <x v="114"/>
    <x v="3"/>
    <x v="142"/>
    <x v="258"/>
    <x v="73"/>
    <x v="375"/>
    <x v="72"/>
    <x v="77"/>
    <x v="1"/>
  </r>
  <r>
    <x v="0"/>
    <x v="47"/>
    <x v="47"/>
    <x v="127"/>
    <x v="127"/>
    <x v="127"/>
    <x v="3"/>
    <x v="142"/>
    <x v="258"/>
    <x v="73"/>
    <x v="375"/>
    <x v="72"/>
    <x v="77"/>
    <x v="1"/>
  </r>
  <r>
    <x v="0"/>
    <x v="47"/>
    <x v="47"/>
    <x v="128"/>
    <x v="128"/>
    <x v="128"/>
    <x v="3"/>
    <x v="142"/>
    <x v="258"/>
    <x v="110"/>
    <x v="184"/>
    <x v="69"/>
    <x v="224"/>
    <x v="1"/>
  </r>
  <r>
    <x v="0"/>
    <x v="47"/>
    <x v="47"/>
    <x v="60"/>
    <x v="60"/>
    <x v="60"/>
    <x v="3"/>
    <x v="142"/>
    <x v="258"/>
    <x v="110"/>
    <x v="184"/>
    <x v="72"/>
    <x v="77"/>
    <x v="1"/>
  </r>
  <r>
    <x v="0"/>
    <x v="47"/>
    <x v="47"/>
    <x v="26"/>
    <x v="26"/>
    <x v="26"/>
    <x v="3"/>
    <x v="142"/>
    <x v="258"/>
    <x v="73"/>
    <x v="375"/>
    <x v="72"/>
    <x v="77"/>
    <x v="1"/>
  </r>
  <r>
    <x v="0"/>
    <x v="47"/>
    <x v="47"/>
    <x v="48"/>
    <x v="48"/>
    <x v="48"/>
    <x v="3"/>
    <x v="142"/>
    <x v="258"/>
    <x v="110"/>
    <x v="184"/>
    <x v="69"/>
    <x v="224"/>
    <x v="1"/>
  </r>
  <r>
    <x v="0"/>
    <x v="47"/>
    <x v="47"/>
    <x v="11"/>
    <x v="11"/>
    <x v="11"/>
    <x v="3"/>
    <x v="142"/>
    <x v="258"/>
    <x v="73"/>
    <x v="375"/>
    <x v="72"/>
    <x v="77"/>
    <x v="1"/>
  </r>
  <r>
    <x v="0"/>
    <x v="47"/>
    <x v="47"/>
    <x v="104"/>
    <x v="104"/>
    <x v="104"/>
    <x v="3"/>
    <x v="142"/>
    <x v="258"/>
    <x v="73"/>
    <x v="375"/>
    <x v="72"/>
    <x v="77"/>
    <x v="1"/>
  </r>
  <r>
    <x v="0"/>
    <x v="47"/>
    <x v="47"/>
    <x v="43"/>
    <x v="43"/>
    <x v="43"/>
    <x v="3"/>
    <x v="142"/>
    <x v="258"/>
    <x v="110"/>
    <x v="184"/>
    <x v="72"/>
    <x v="77"/>
    <x v="1"/>
  </r>
  <r>
    <x v="0"/>
    <x v="48"/>
    <x v="48"/>
    <x v="5"/>
    <x v="5"/>
    <x v="5"/>
    <x v="0"/>
    <x v="143"/>
    <x v="291"/>
    <x v="73"/>
    <x v="236"/>
    <x v="42"/>
    <x v="304"/>
    <x v="1"/>
  </r>
  <r>
    <x v="0"/>
    <x v="48"/>
    <x v="48"/>
    <x v="16"/>
    <x v="16"/>
    <x v="16"/>
    <x v="1"/>
    <x v="138"/>
    <x v="292"/>
    <x v="102"/>
    <x v="172"/>
    <x v="69"/>
    <x v="266"/>
    <x v="0"/>
  </r>
  <r>
    <x v="0"/>
    <x v="48"/>
    <x v="48"/>
    <x v="59"/>
    <x v="59"/>
    <x v="59"/>
    <x v="2"/>
    <x v="139"/>
    <x v="293"/>
    <x v="102"/>
    <x v="172"/>
    <x v="69"/>
    <x v="266"/>
    <x v="1"/>
  </r>
  <r>
    <x v="0"/>
    <x v="48"/>
    <x v="48"/>
    <x v="9"/>
    <x v="9"/>
    <x v="9"/>
    <x v="2"/>
    <x v="139"/>
    <x v="293"/>
    <x v="77"/>
    <x v="376"/>
    <x v="72"/>
    <x v="77"/>
    <x v="1"/>
  </r>
  <r>
    <x v="0"/>
    <x v="48"/>
    <x v="48"/>
    <x v="2"/>
    <x v="2"/>
    <x v="2"/>
    <x v="2"/>
    <x v="139"/>
    <x v="293"/>
    <x v="77"/>
    <x v="376"/>
    <x v="72"/>
    <x v="77"/>
    <x v="1"/>
  </r>
  <r>
    <x v="0"/>
    <x v="48"/>
    <x v="48"/>
    <x v="4"/>
    <x v="4"/>
    <x v="4"/>
    <x v="2"/>
    <x v="139"/>
    <x v="293"/>
    <x v="77"/>
    <x v="376"/>
    <x v="72"/>
    <x v="77"/>
    <x v="1"/>
  </r>
  <r>
    <x v="0"/>
    <x v="48"/>
    <x v="48"/>
    <x v="42"/>
    <x v="42"/>
    <x v="42"/>
    <x v="6"/>
    <x v="141"/>
    <x v="294"/>
    <x v="110"/>
    <x v="184"/>
    <x v="70"/>
    <x v="305"/>
    <x v="1"/>
  </r>
  <r>
    <x v="0"/>
    <x v="48"/>
    <x v="48"/>
    <x v="33"/>
    <x v="33"/>
    <x v="33"/>
    <x v="6"/>
    <x v="141"/>
    <x v="294"/>
    <x v="73"/>
    <x v="236"/>
    <x v="72"/>
    <x v="77"/>
    <x v="1"/>
  </r>
  <r>
    <x v="0"/>
    <x v="48"/>
    <x v="48"/>
    <x v="1"/>
    <x v="1"/>
    <x v="1"/>
    <x v="6"/>
    <x v="141"/>
    <x v="294"/>
    <x v="102"/>
    <x v="172"/>
    <x v="72"/>
    <x v="77"/>
    <x v="1"/>
  </r>
  <r>
    <x v="0"/>
    <x v="48"/>
    <x v="48"/>
    <x v="113"/>
    <x v="113"/>
    <x v="113"/>
    <x v="9"/>
    <x v="142"/>
    <x v="11"/>
    <x v="110"/>
    <x v="184"/>
    <x v="69"/>
    <x v="266"/>
    <x v="1"/>
  </r>
  <r>
    <x v="0"/>
    <x v="48"/>
    <x v="48"/>
    <x v="12"/>
    <x v="12"/>
    <x v="12"/>
    <x v="9"/>
    <x v="142"/>
    <x v="11"/>
    <x v="73"/>
    <x v="236"/>
    <x v="72"/>
    <x v="77"/>
    <x v="1"/>
  </r>
  <r>
    <x v="0"/>
    <x v="48"/>
    <x v="48"/>
    <x v="19"/>
    <x v="19"/>
    <x v="19"/>
    <x v="9"/>
    <x v="142"/>
    <x v="11"/>
    <x v="73"/>
    <x v="236"/>
    <x v="72"/>
    <x v="77"/>
    <x v="1"/>
  </r>
  <r>
    <x v="0"/>
    <x v="48"/>
    <x v="48"/>
    <x v="17"/>
    <x v="17"/>
    <x v="17"/>
    <x v="9"/>
    <x v="142"/>
    <x v="11"/>
    <x v="110"/>
    <x v="184"/>
    <x v="69"/>
    <x v="266"/>
    <x v="1"/>
  </r>
  <r>
    <x v="0"/>
    <x v="48"/>
    <x v="48"/>
    <x v="88"/>
    <x v="88"/>
    <x v="88"/>
    <x v="9"/>
    <x v="142"/>
    <x v="11"/>
    <x v="110"/>
    <x v="184"/>
    <x v="69"/>
    <x v="266"/>
    <x v="1"/>
  </r>
  <r>
    <x v="0"/>
    <x v="48"/>
    <x v="48"/>
    <x v="129"/>
    <x v="129"/>
    <x v="129"/>
    <x v="9"/>
    <x v="142"/>
    <x v="11"/>
    <x v="110"/>
    <x v="184"/>
    <x v="72"/>
    <x v="77"/>
    <x v="0"/>
  </r>
  <r>
    <x v="0"/>
    <x v="48"/>
    <x v="48"/>
    <x v="105"/>
    <x v="105"/>
    <x v="105"/>
    <x v="9"/>
    <x v="142"/>
    <x v="11"/>
    <x v="73"/>
    <x v="236"/>
    <x v="72"/>
    <x v="77"/>
    <x v="1"/>
  </r>
  <r>
    <x v="0"/>
    <x v="48"/>
    <x v="48"/>
    <x v="58"/>
    <x v="58"/>
    <x v="58"/>
    <x v="9"/>
    <x v="142"/>
    <x v="11"/>
    <x v="110"/>
    <x v="184"/>
    <x v="72"/>
    <x v="77"/>
    <x v="1"/>
  </r>
  <r>
    <x v="0"/>
    <x v="48"/>
    <x v="48"/>
    <x v="130"/>
    <x v="130"/>
    <x v="130"/>
    <x v="9"/>
    <x v="142"/>
    <x v="11"/>
    <x v="110"/>
    <x v="184"/>
    <x v="72"/>
    <x v="77"/>
    <x v="1"/>
  </r>
  <r>
    <x v="0"/>
    <x v="48"/>
    <x v="48"/>
    <x v="131"/>
    <x v="131"/>
    <x v="131"/>
    <x v="9"/>
    <x v="142"/>
    <x v="11"/>
    <x v="110"/>
    <x v="184"/>
    <x v="69"/>
    <x v="266"/>
    <x v="1"/>
  </r>
  <r>
    <x v="0"/>
    <x v="48"/>
    <x v="48"/>
    <x v="51"/>
    <x v="51"/>
    <x v="51"/>
    <x v="9"/>
    <x v="142"/>
    <x v="11"/>
    <x v="110"/>
    <x v="184"/>
    <x v="72"/>
    <x v="77"/>
    <x v="0"/>
  </r>
  <r>
    <x v="0"/>
    <x v="48"/>
    <x v="48"/>
    <x v="22"/>
    <x v="22"/>
    <x v="22"/>
    <x v="9"/>
    <x v="142"/>
    <x v="11"/>
    <x v="73"/>
    <x v="236"/>
    <x v="72"/>
    <x v="77"/>
    <x v="1"/>
  </r>
  <r>
    <x v="0"/>
    <x v="48"/>
    <x v="48"/>
    <x v="40"/>
    <x v="40"/>
    <x v="40"/>
    <x v="9"/>
    <x v="142"/>
    <x v="11"/>
    <x v="73"/>
    <x v="236"/>
    <x v="72"/>
    <x v="77"/>
    <x v="1"/>
  </r>
  <r>
    <x v="0"/>
    <x v="48"/>
    <x v="48"/>
    <x v="23"/>
    <x v="23"/>
    <x v="23"/>
    <x v="9"/>
    <x v="142"/>
    <x v="11"/>
    <x v="73"/>
    <x v="236"/>
    <x v="72"/>
    <x v="77"/>
    <x v="1"/>
  </r>
  <r>
    <x v="0"/>
    <x v="48"/>
    <x v="48"/>
    <x v="49"/>
    <x v="49"/>
    <x v="49"/>
    <x v="9"/>
    <x v="142"/>
    <x v="11"/>
    <x v="73"/>
    <x v="236"/>
    <x v="72"/>
    <x v="77"/>
    <x v="1"/>
  </r>
  <r>
    <x v="0"/>
    <x v="48"/>
    <x v="48"/>
    <x v="114"/>
    <x v="114"/>
    <x v="114"/>
    <x v="9"/>
    <x v="142"/>
    <x v="11"/>
    <x v="73"/>
    <x v="236"/>
    <x v="72"/>
    <x v="77"/>
    <x v="1"/>
  </r>
  <r>
    <x v="0"/>
    <x v="48"/>
    <x v="48"/>
    <x v="0"/>
    <x v="0"/>
    <x v="0"/>
    <x v="9"/>
    <x v="142"/>
    <x v="11"/>
    <x v="73"/>
    <x v="236"/>
    <x v="72"/>
    <x v="77"/>
    <x v="1"/>
  </r>
  <r>
    <x v="0"/>
    <x v="48"/>
    <x v="48"/>
    <x v="14"/>
    <x v="14"/>
    <x v="14"/>
    <x v="9"/>
    <x v="142"/>
    <x v="11"/>
    <x v="110"/>
    <x v="184"/>
    <x v="69"/>
    <x v="266"/>
    <x v="1"/>
  </r>
  <r>
    <x v="0"/>
    <x v="48"/>
    <x v="48"/>
    <x v="6"/>
    <x v="6"/>
    <x v="6"/>
    <x v="9"/>
    <x v="142"/>
    <x v="11"/>
    <x v="73"/>
    <x v="236"/>
    <x v="72"/>
    <x v="77"/>
    <x v="1"/>
  </r>
  <r>
    <x v="0"/>
    <x v="48"/>
    <x v="48"/>
    <x v="8"/>
    <x v="8"/>
    <x v="8"/>
    <x v="9"/>
    <x v="142"/>
    <x v="11"/>
    <x v="73"/>
    <x v="236"/>
    <x v="72"/>
    <x v="77"/>
    <x v="1"/>
  </r>
  <r>
    <x v="0"/>
    <x v="48"/>
    <x v="48"/>
    <x v="11"/>
    <x v="11"/>
    <x v="11"/>
    <x v="9"/>
    <x v="142"/>
    <x v="11"/>
    <x v="73"/>
    <x v="236"/>
    <x v="72"/>
    <x v="77"/>
    <x v="1"/>
  </r>
  <r>
    <x v="0"/>
    <x v="48"/>
    <x v="48"/>
    <x v="7"/>
    <x v="7"/>
    <x v="7"/>
    <x v="9"/>
    <x v="142"/>
    <x v="11"/>
    <x v="73"/>
    <x v="236"/>
    <x v="72"/>
    <x v="77"/>
    <x v="1"/>
  </r>
  <r>
    <x v="0"/>
    <x v="48"/>
    <x v="48"/>
    <x v="90"/>
    <x v="90"/>
    <x v="90"/>
    <x v="9"/>
    <x v="142"/>
    <x v="11"/>
    <x v="110"/>
    <x v="184"/>
    <x v="72"/>
    <x v="77"/>
    <x v="1"/>
  </r>
  <r>
    <x v="0"/>
    <x v="48"/>
    <x v="48"/>
    <x v="115"/>
    <x v="115"/>
    <x v="115"/>
    <x v="9"/>
    <x v="142"/>
    <x v="11"/>
    <x v="110"/>
    <x v="184"/>
    <x v="72"/>
    <x v="77"/>
    <x v="1"/>
  </r>
  <r>
    <x v="0"/>
    <x v="48"/>
    <x v="48"/>
    <x v="116"/>
    <x v="116"/>
    <x v="116"/>
    <x v="9"/>
    <x v="142"/>
    <x v="11"/>
    <x v="73"/>
    <x v="236"/>
    <x v="72"/>
    <x v="77"/>
    <x v="1"/>
  </r>
  <r>
    <x v="0"/>
    <x v="48"/>
    <x v="48"/>
    <x v="132"/>
    <x v="132"/>
    <x v="132"/>
    <x v="9"/>
    <x v="142"/>
    <x v="11"/>
    <x v="110"/>
    <x v="184"/>
    <x v="69"/>
    <x v="266"/>
    <x v="1"/>
  </r>
  <r>
    <x v="0"/>
    <x v="49"/>
    <x v="49"/>
    <x v="14"/>
    <x v="14"/>
    <x v="14"/>
    <x v="0"/>
    <x v="138"/>
    <x v="295"/>
    <x v="77"/>
    <x v="263"/>
    <x v="69"/>
    <x v="266"/>
    <x v="1"/>
  </r>
  <r>
    <x v="0"/>
    <x v="49"/>
    <x v="49"/>
    <x v="42"/>
    <x v="42"/>
    <x v="42"/>
    <x v="1"/>
    <x v="139"/>
    <x v="185"/>
    <x v="73"/>
    <x v="264"/>
    <x v="70"/>
    <x v="305"/>
    <x v="1"/>
  </r>
  <r>
    <x v="0"/>
    <x v="49"/>
    <x v="49"/>
    <x v="9"/>
    <x v="9"/>
    <x v="9"/>
    <x v="1"/>
    <x v="139"/>
    <x v="185"/>
    <x v="77"/>
    <x v="263"/>
    <x v="72"/>
    <x v="77"/>
    <x v="1"/>
  </r>
  <r>
    <x v="0"/>
    <x v="49"/>
    <x v="49"/>
    <x v="5"/>
    <x v="5"/>
    <x v="5"/>
    <x v="3"/>
    <x v="141"/>
    <x v="109"/>
    <x v="110"/>
    <x v="184"/>
    <x v="70"/>
    <x v="305"/>
    <x v="1"/>
  </r>
  <r>
    <x v="0"/>
    <x v="49"/>
    <x v="49"/>
    <x v="12"/>
    <x v="12"/>
    <x v="12"/>
    <x v="3"/>
    <x v="141"/>
    <x v="109"/>
    <x v="102"/>
    <x v="138"/>
    <x v="72"/>
    <x v="77"/>
    <x v="1"/>
  </r>
  <r>
    <x v="0"/>
    <x v="49"/>
    <x v="49"/>
    <x v="112"/>
    <x v="112"/>
    <x v="112"/>
    <x v="3"/>
    <x v="141"/>
    <x v="109"/>
    <x v="102"/>
    <x v="138"/>
    <x v="72"/>
    <x v="77"/>
    <x v="1"/>
  </r>
  <r>
    <x v="0"/>
    <x v="49"/>
    <x v="49"/>
    <x v="87"/>
    <x v="87"/>
    <x v="87"/>
    <x v="3"/>
    <x v="141"/>
    <x v="109"/>
    <x v="73"/>
    <x v="264"/>
    <x v="69"/>
    <x v="266"/>
    <x v="1"/>
  </r>
  <r>
    <x v="0"/>
    <x v="49"/>
    <x v="49"/>
    <x v="17"/>
    <x v="17"/>
    <x v="17"/>
    <x v="3"/>
    <x v="141"/>
    <x v="109"/>
    <x v="102"/>
    <x v="138"/>
    <x v="72"/>
    <x v="77"/>
    <x v="1"/>
  </r>
  <r>
    <x v="0"/>
    <x v="49"/>
    <x v="49"/>
    <x v="133"/>
    <x v="133"/>
    <x v="133"/>
    <x v="3"/>
    <x v="141"/>
    <x v="109"/>
    <x v="110"/>
    <x v="184"/>
    <x v="70"/>
    <x v="305"/>
    <x v="1"/>
  </r>
  <r>
    <x v="0"/>
    <x v="49"/>
    <x v="49"/>
    <x v="16"/>
    <x v="16"/>
    <x v="16"/>
    <x v="3"/>
    <x v="141"/>
    <x v="109"/>
    <x v="102"/>
    <x v="138"/>
    <x v="72"/>
    <x v="77"/>
    <x v="1"/>
  </r>
  <r>
    <x v="0"/>
    <x v="49"/>
    <x v="49"/>
    <x v="10"/>
    <x v="10"/>
    <x v="10"/>
    <x v="3"/>
    <x v="141"/>
    <x v="109"/>
    <x v="102"/>
    <x v="138"/>
    <x v="72"/>
    <x v="77"/>
    <x v="1"/>
  </r>
  <r>
    <x v="0"/>
    <x v="49"/>
    <x v="49"/>
    <x v="78"/>
    <x v="78"/>
    <x v="78"/>
    <x v="11"/>
    <x v="142"/>
    <x v="157"/>
    <x v="110"/>
    <x v="184"/>
    <x v="69"/>
    <x v="266"/>
    <x v="1"/>
  </r>
  <r>
    <x v="0"/>
    <x v="49"/>
    <x v="49"/>
    <x v="36"/>
    <x v="36"/>
    <x v="36"/>
    <x v="11"/>
    <x v="142"/>
    <x v="157"/>
    <x v="73"/>
    <x v="264"/>
    <x v="72"/>
    <x v="77"/>
    <x v="1"/>
  </r>
  <r>
    <x v="0"/>
    <x v="49"/>
    <x v="49"/>
    <x v="79"/>
    <x v="79"/>
    <x v="79"/>
    <x v="11"/>
    <x v="142"/>
    <x v="157"/>
    <x v="73"/>
    <x v="264"/>
    <x v="72"/>
    <x v="77"/>
    <x v="1"/>
  </r>
  <r>
    <x v="0"/>
    <x v="49"/>
    <x v="49"/>
    <x v="50"/>
    <x v="50"/>
    <x v="50"/>
    <x v="11"/>
    <x v="142"/>
    <x v="157"/>
    <x v="73"/>
    <x v="264"/>
    <x v="72"/>
    <x v="77"/>
    <x v="1"/>
  </r>
  <r>
    <x v="0"/>
    <x v="49"/>
    <x v="49"/>
    <x v="30"/>
    <x v="30"/>
    <x v="30"/>
    <x v="11"/>
    <x v="142"/>
    <x v="157"/>
    <x v="73"/>
    <x v="264"/>
    <x v="72"/>
    <x v="77"/>
    <x v="1"/>
  </r>
  <r>
    <x v="0"/>
    <x v="49"/>
    <x v="49"/>
    <x v="19"/>
    <x v="19"/>
    <x v="19"/>
    <x v="11"/>
    <x v="142"/>
    <x v="157"/>
    <x v="73"/>
    <x v="264"/>
    <x v="72"/>
    <x v="77"/>
    <x v="1"/>
  </r>
  <r>
    <x v="0"/>
    <x v="49"/>
    <x v="49"/>
    <x v="134"/>
    <x v="134"/>
    <x v="134"/>
    <x v="11"/>
    <x v="142"/>
    <x v="157"/>
    <x v="73"/>
    <x v="264"/>
    <x v="72"/>
    <x v="77"/>
    <x v="1"/>
  </r>
  <r>
    <x v="0"/>
    <x v="49"/>
    <x v="49"/>
    <x v="63"/>
    <x v="63"/>
    <x v="63"/>
    <x v="11"/>
    <x v="142"/>
    <x v="157"/>
    <x v="110"/>
    <x v="184"/>
    <x v="69"/>
    <x v="266"/>
    <x v="1"/>
  </r>
  <r>
    <x v="0"/>
    <x v="49"/>
    <x v="49"/>
    <x v="135"/>
    <x v="135"/>
    <x v="135"/>
    <x v="11"/>
    <x v="142"/>
    <x v="157"/>
    <x v="110"/>
    <x v="184"/>
    <x v="69"/>
    <x v="266"/>
    <x v="1"/>
  </r>
  <r>
    <x v="0"/>
    <x v="49"/>
    <x v="49"/>
    <x v="131"/>
    <x v="131"/>
    <x v="131"/>
    <x v="11"/>
    <x v="142"/>
    <x v="157"/>
    <x v="110"/>
    <x v="184"/>
    <x v="69"/>
    <x v="266"/>
    <x v="1"/>
  </r>
  <r>
    <x v="0"/>
    <x v="49"/>
    <x v="49"/>
    <x v="136"/>
    <x v="136"/>
    <x v="136"/>
    <x v="11"/>
    <x v="142"/>
    <x v="157"/>
    <x v="73"/>
    <x v="264"/>
    <x v="72"/>
    <x v="77"/>
    <x v="1"/>
  </r>
  <r>
    <x v="0"/>
    <x v="49"/>
    <x v="49"/>
    <x v="22"/>
    <x v="22"/>
    <x v="22"/>
    <x v="11"/>
    <x v="142"/>
    <x v="157"/>
    <x v="73"/>
    <x v="264"/>
    <x v="72"/>
    <x v="77"/>
    <x v="1"/>
  </r>
  <r>
    <x v="0"/>
    <x v="49"/>
    <x v="49"/>
    <x v="52"/>
    <x v="52"/>
    <x v="52"/>
    <x v="11"/>
    <x v="142"/>
    <x v="157"/>
    <x v="73"/>
    <x v="264"/>
    <x v="72"/>
    <x v="77"/>
    <x v="1"/>
  </r>
  <r>
    <x v="0"/>
    <x v="49"/>
    <x v="49"/>
    <x v="59"/>
    <x v="59"/>
    <x v="59"/>
    <x v="11"/>
    <x v="142"/>
    <x v="157"/>
    <x v="110"/>
    <x v="184"/>
    <x v="69"/>
    <x v="266"/>
    <x v="1"/>
  </r>
  <r>
    <x v="0"/>
    <x v="49"/>
    <x v="49"/>
    <x v="53"/>
    <x v="53"/>
    <x v="53"/>
    <x v="11"/>
    <x v="142"/>
    <x v="157"/>
    <x v="73"/>
    <x v="264"/>
    <x v="72"/>
    <x v="77"/>
    <x v="1"/>
  </r>
  <r>
    <x v="0"/>
    <x v="49"/>
    <x v="49"/>
    <x v="40"/>
    <x v="40"/>
    <x v="40"/>
    <x v="11"/>
    <x v="142"/>
    <x v="157"/>
    <x v="110"/>
    <x v="184"/>
    <x v="69"/>
    <x v="266"/>
    <x v="1"/>
  </r>
  <r>
    <x v="0"/>
    <x v="49"/>
    <x v="49"/>
    <x v="23"/>
    <x v="23"/>
    <x v="23"/>
    <x v="11"/>
    <x v="142"/>
    <x v="157"/>
    <x v="110"/>
    <x v="184"/>
    <x v="69"/>
    <x v="266"/>
    <x v="1"/>
  </r>
  <r>
    <x v="0"/>
    <x v="49"/>
    <x v="49"/>
    <x v="31"/>
    <x v="31"/>
    <x v="31"/>
    <x v="11"/>
    <x v="142"/>
    <x v="157"/>
    <x v="110"/>
    <x v="184"/>
    <x v="69"/>
    <x v="266"/>
    <x v="1"/>
  </r>
  <r>
    <x v="0"/>
    <x v="49"/>
    <x v="49"/>
    <x v="49"/>
    <x v="49"/>
    <x v="49"/>
    <x v="11"/>
    <x v="142"/>
    <x v="157"/>
    <x v="73"/>
    <x v="264"/>
    <x v="72"/>
    <x v="77"/>
    <x v="1"/>
  </r>
  <r>
    <x v="0"/>
    <x v="49"/>
    <x v="49"/>
    <x v="6"/>
    <x v="6"/>
    <x v="6"/>
    <x v="11"/>
    <x v="142"/>
    <x v="157"/>
    <x v="73"/>
    <x v="264"/>
    <x v="72"/>
    <x v="77"/>
    <x v="1"/>
  </r>
  <r>
    <x v="0"/>
    <x v="49"/>
    <x v="49"/>
    <x v="8"/>
    <x v="8"/>
    <x v="8"/>
    <x v="11"/>
    <x v="142"/>
    <x v="157"/>
    <x v="110"/>
    <x v="184"/>
    <x v="69"/>
    <x v="266"/>
    <x v="1"/>
  </r>
  <r>
    <x v="0"/>
    <x v="49"/>
    <x v="49"/>
    <x v="74"/>
    <x v="74"/>
    <x v="74"/>
    <x v="11"/>
    <x v="142"/>
    <x v="157"/>
    <x v="73"/>
    <x v="264"/>
    <x v="72"/>
    <x v="77"/>
    <x v="1"/>
  </r>
  <r>
    <x v="0"/>
    <x v="49"/>
    <x v="49"/>
    <x v="24"/>
    <x v="24"/>
    <x v="24"/>
    <x v="11"/>
    <x v="142"/>
    <x v="157"/>
    <x v="73"/>
    <x v="264"/>
    <x v="72"/>
    <x v="77"/>
    <x v="1"/>
  </r>
  <r>
    <x v="0"/>
    <x v="49"/>
    <x v="49"/>
    <x v="4"/>
    <x v="4"/>
    <x v="4"/>
    <x v="11"/>
    <x v="142"/>
    <x v="157"/>
    <x v="73"/>
    <x v="264"/>
    <x v="72"/>
    <x v="77"/>
    <x v="1"/>
  </r>
  <r>
    <x v="0"/>
    <x v="49"/>
    <x v="49"/>
    <x v="1"/>
    <x v="1"/>
    <x v="1"/>
    <x v="11"/>
    <x v="142"/>
    <x v="157"/>
    <x v="73"/>
    <x v="264"/>
    <x v="72"/>
    <x v="77"/>
    <x v="1"/>
  </r>
  <r>
    <x v="0"/>
    <x v="49"/>
    <x v="49"/>
    <x v="54"/>
    <x v="54"/>
    <x v="54"/>
    <x v="11"/>
    <x v="142"/>
    <x v="157"/>
    <x v="73"/>
    <x v="264"/>
    <x v="72"/>
    <x v="77"/>
    <x v="1"/>
  </r>
  <r>
    <x v="0"/>
    <x v="49"/>
    <x v="49"/>
    <x v="11"/>
    <x v="11"/>
    <x v="11"/>
    <x v="11"/>
    <x v="142"/>
    <x v="157"/>
    <x v="73"/>
    <x v="264"/>
    <x v="72"/>
    <x v="77"/>
    <x v="1"/>
  </r>
  <r>
    <x v="0"/>
    <x v="49"/>
    <x v="49"/>
    <x v="104"/>
    <x v="104"/>
    <x v="104"/>
    <x v="11"/>
    <x v="142"/>
    <x v="157"/>
    <x v="73"/>
    <x v="264"/>
    <x v="72"/>
    <x v="77"/>
    <x v="1"/>
  </r>
  <r>
    <x v="0"/>
    <x v="49"/>
    <x v="49"/>
    <x v="7"/>
    <x v="7"/>
    <x v="7"/>
    <x v="11"/>
    <x v="142"/>
    <x v="157"/>
    <x v="73"/>
    <x v="264"/>
    <x v="72"/>
    <x v="77"/>
    <x v="1"/>
  </r>
  <r>
    <x v="0"/>
    <x v="49"/>
    <x v="49"/>
    <x v="90"/>
    <x v="90"/>
    <x v="90"/>
    <x v="11"/>
    <x v="142"/>
    <x v="157"/>
    <x v="110"/>
    <x v="184"/>
    <x v="72"/>
    <x v="77"/>
    <x v="1"/>
  </r>
  <r>
    <x v="0"/>
    <x v="49"/>
    <x v="49"/>
    <x v="116"/>
    <x v="116"/>
    <x v="116"/>
    <x v="11"/>
    <x v="142"/>
    <x v="157"/>
    <x v="110"/>
    <x v="184"/>
    <x v="72"/>
    <x v="77"/>
    <x v="1"/>
  </r>
  <r>
    <x v="0"/>
    <x v="50"/>
    <x v="50"/>
    <x v="36"/>
    <x v="36"/>
    <x v="36"/>
    <x v="0"/>
    <x v="124"/>
    <x v="296"/>
    <x v="80"/>
    <x v="185"/>
    <x v="69"/>
    <x v="198"/>
    <x v="1"/>
  </r>
  <r>
    <x v="0"/>
    <x v="50"/>
    <x v="50"/>
    <x v="87"/>
    <x v="87"/>
    <x v="87"/>
    <x v="1"/>
    <x v="143"/>
    <x v="297"/>
    <x v="101"/>
    <x v="377"/>
    <x v="84"/>
    <x v="306"/>
    <x v="1"/>
  </r>
  <r>
    <x v="0"/>
    <x v="50"/>
    <x v="50"/>
    <x v="17"/>
    <x v="17"/>
    <x v="17"/>
    <x v="1"/>
    <x v="143"/>
    <x v="297"/>
    <x v="76"/>
    <x v="189"/>
    <x v="78"/>
    <x v="307"/>
    <x v="1"/>
  </r>
  <r>
    <x v="0"/>
    <x v="50"/>
    <x v="50"/>
    <x v="1"/>
    <x v="1"/>
    <x v="1"/>
    <x v="1"/>
    <x v="143"/>
    <x v="297"/>
    <x v="81"/>
    <x v="378"/>
    <x v="72"/>
    <x v="77"/>
    <x v="1"/>
  </r>
  <r>
    <x v="0"/>
    <x v="50"/>
    <x v="50"/>
    <x v="10"/>
    <x v="10"/>
    <x v="10"/>
    <x v="4"/>
    <x v="136"/>
    <x v="99"/>
    <x v="74"/>
    <x v="365"/>
    <x v="72"/>
    <x v="77"/>
    <x v="1"/>
  </r>
  <r>
    <x v="0"/>
    <x v="50"/>
    <x v="50"/>
    <x v="3"/>
    <x v="3"/>
    <x v="3"/>
    <x v="4"/>
    <x v="136"/>
    <x v="99"/>
    <x v="75"/>
    <x v="268"/>
    <x v="69"/>
    <x v="198"/>
    <x v="1"/>
  </r>
  <r>
    <x v="0"/>
    <x v="50"/>
    <x v="50"/>
    <x v="5"/>
    <x v="5"/>
    <x v="5"/>
    <x v="6"/>
    <x v="137"/>
    <x v="112"/>
    <x v="77"/>
    <x v="379"/>
    <x v="70"/>
    <x v="308"/>
    <x v="1"/>
  </r>
  <r>
    <x v="0"/>
    <x v="50"/>
    <x v="50"/>
    <x v="12"/>
    <x v="12"/>
    <x v="12"/>
    <x v="6"/>
    <x v="137"/>
    <x v="112"/>
    <x v="73"/>
    <x v="380"/>
    <x v="78"/>
    <x v="307"/>
    <x v="1"/>
  </r>
  <r>
    <x v="0"/>
    <x v="50"/>
    <x v="50"/>
    <x v="40"/>
    <x v="40"/>
    <x v="40"/>
    <x v="6"/>
    <x v="137"/>
    <x v="112"/>
    <x v="76"/>
    <x v="189"/>
    <x v="69"/>
    <x v="198"/>
    <x v="1"/>
  </r>
  <r>
    <x v="0"/>
    <x v="50"/>
    <x v="50"/>
    <x v="0"/>
    <x v="0"/>
    <x v="0"/>
    <x v="6"/>
    <x v="137"/>
    <x v="112"/>
    <x v="101"/>
    <x v="377"/>
    <x v="72"/>
    <x v="77"/>
    <x v="1"/>
  </r>
  <r>
    <x v="0"/>
    <x v="50"/>
    <x v="50"/>
    <x v="97"/>
    <x v="97"/>
    <x v="97"/>
    <x v="6"/>
    <x v="137"/>
    <x v="112"/>
    <x v="110"/>
    <x v="184"/>
    <x v="56"/>
    <x v="302"/>
    <x v="1"/>
  </r>
  <r>
    <x v="0"/>
    <x v="50"/>
    <x v="50"/>
    <x v="16"/>
    <x v="16"/>
    <x v="16"/>
    <x v="11"/>
    <x v="138"/>
    <x v="191"/>
    <x v="102"/>
    <x v="91"/>
    <x v="70"/>
    <x v="308"/>
    <x v="1"/>
  </r>
  <r>
    <x v="0"/>
    <x v="50"/>
    <x v="50"/>
    <x v="13"/>
    <x v="13"/>
    <x v="13"/>
    <x v="12"/>
    <x v="139"/>
    <x v="13"/>
    <x v="73"/>
    <x v="380"/>
    <x v="70"/>
    <x v="308"/>
    <x v="1"/>
  </r>
  <r>
    <x v="0"/>
    <x v="50"/>
    <x v="50"/>
    <x v="35"/>
    <x v="35"/>
    <x v="35"/>
    <x v="12"/>
    <x v="139"/>
    <x v="13"/>
    <x v="102"/>
    <x v="91"/>
    <x v="69"/>
    <x v="198"/>
    <x v="1"/>
  </r>
  <r>
    <x v="0"/>
    <x v="50"/>
    <x v="50"/>
    <x v="50"/>
    <x v="50"/>
    <x v="50"/>
    <x v="12"/>
    <x v="139"/>
    <x v="13"/>
    <x v="102"/>
    <x v="91"/>
    <x v="69"/>
    <x v="198"/>
    <x v="1"/>
  </r>
  <r>
    <x v="0"/>
    <x v="50"/>
    <x v="50"/>
    <x v="30"/>
    <x v="30"/>
    <x v="30"/>
    <x v="12"/>
    <x v="139"/>
    <x v="13"/>
    <x v="73"/>
    <x v="380"/>
    <x v="70"/>
    <x v="308"/>
    <x v="1"/>
  </r>
  <r>
    <x v="0"/>
    <x v="50"/>
    <x v="50"/>
    <x v="112"/>
    <x v="112"/>
    <x v="112"/>
    <x v="12"/>
    <x v="139"/>
    <x v="13"/>
    <x v="77"/>
    <x v="379"/>
    <x v="72"/>
    <x v="77"/>
    <x v="1"/>
  </r>
  <r>
    <x v="0"/>
    <x v="50"/>
    <x v="50"/>
    <x v="137"/>
    <x v="137"/>
    <x v="137"/>
    <x v="12"/>
    <x v="139"/>
    <x v="13"/>
    <x v="110"/>
    <x v="184"/>
    <x v="84"/>
    <x v="306"/>
    <x v="1"/>
  </r>
  <r>
    <x v="0"/>
    <x v="50"/>
    <x v="50"/>
    <x v="69"/>
    <x v="69"/>
    <x v="69"/>
    <x v="12"/>
    <x v="139"/>
    <x v="13"/>
    <x v="77"/>
    <x v="379"/>
    <x v="72"/>
    <x v="77"/>
    <x v="1"/>
  </r>
  <r>
    <x v="0"/>
    <x v="50"/>
    <x v="50"/>
    <x v="72"/>
    <x v="72"/>
    <x v="72"/>
    <x v="12"/>
    <x v="139"/>
    <x v="13"/>
    <x v="77"/>
    <x v="379"/>
    <x v="72"/>
    <x v="77"/>
    <x v="1"/>
  </r>
  <r>
    <x v="0"/>
    <x v="50"/>
    <x v="50"/>
    <x v="24"/>
    <x v="24"/>
    <x v="24"/>
    <x v="12"/>
    <x v="139"/>
    <x v="13"/>
    <x v="102"/>
    <x v="91"/>
    <x v="69"/>
    <x v="198"/>
    <x v="1"/>
  </r>
  <r>
    <x v="0"/>
    <x v="50"/>
    <x v="50"/>
    <x v="4"/>
    <x v="4"/>
    <x v="4"/>
    <x v="12"/>
    <x v="139"/>
    <x v="13"/>
    <x v="77"/>
    <x v="379"/>
    <x v="72"/>
    <x v="77"/>
    <x v="1"/>
  </r>
  <r>
    <x v="0"/>
    <x v="50"/>
    <x v="50"/>
    <x v="7"/>
    <x v="7"/>
    <x v="7"/>
    <x v="12"/>
    <x v="139"/>
    <x v="13"/>
    <x v="77"/>
    <x v="379"/>
    <x v="72"/>
    <x v="77"/>
    <x v="1"/>
  </r>
  <r>
    <x v="0"/>
    <x v="50"/>
    <x v="50"/>
    <x v="96"/>
    <x v="96"/>
    <x v="96"/>
    <x v="12"/>
    <x v="139"/>
    <x v="13"/>
    <x v="77"/>
    <x v="379"/>
    <x v="72"/>
    <x v="77"/>
    <x v="1"/>
  </r>
  <r>
    <x v="0"/>
    <x v="51"/>
    <x v="51"/>
    <x v="5"/>
    <x v="5"/>
    <x v="5"/>
    <x v="0"/>
    <x v="143"/>
    <x v="185"/>
    <x v="102"/>
    <x v="259"/>
    <x v="60"/>
    <x v="309"/>
    <x v="1"/>
  </r>
  <r>
    <x v="0"/>
    <x v="51"/>
    <x v="51"/>
    <x v="13"/>
    <x v="13"/>
    <x v="13"/>
    <x v="1"/>
    <x v="136"/>
    <x v="298"/>
    <x v="76"/>
    <x v="381"/>
    <x v="84"/>
    <x v="310"/>
    <x v="1"/>
  </r>
  <r>
    <x v="0"/>
    <x v="51"/>
    <x v="51"/>
    <x v="1"/>
    <x v="1"/>
    <x v="1"/>
    <x v="2"/>
    <x v="140"/>
    <x v="299"/>
    <x v="101"/>
    <x v="382"/>
    <x v="69"/>
    <x v="280"/>
    <x v="1"/>
  </r>
  <r>
    <x v="0"/>
    <x v="51"/>
    <x v="51"/>
    <x v="6"/>
    <x v="6"/>
    <x v="6"/>
    <x v="3"/>
    <x v="137"/>
    <x v="300"/>
    <x v="101"/>
    <x v="382"/>
    <x v="72"/>
    <x v="77"/>
    <x v="1"/>
  </r>
  <r>
    <x v="0"/>
    <x v="51"/>
    <x v="51"/>
    <x v="7"/>
    <x v="7"/>
    <x v="7"/>
    <x v="3"/>
    <x v="137"/>
    <x v="300"/>
    <x v="101"/>
    <x v="382"/>
    <x v="72"/>
    <x v="77"/>
    <x v="1"/>
  </r>
  <r>
    <x v="0"/>
    <x v="51"/>
    <x v="51"/>
    <x v="12"/>
    <x v="12"/>
    <x v="12"/>
    <x v="5"/>
    <x v="138"/>
    <x v="194"/>
    <x v="102"/>
    <x v="259"/>
    <x v="70"/>
    <x v="196"/>
    <x v="1"/>
  </r>
  <r>
    <x v="0"/>
    <x v="51"/>
    <x v="51"/>
    <x v="36"/>
    <x v="36"/>
    <x v="36"/>
    <x v="5"/>
    <x v="138"/>
    <x v="194"/>
    <x v="76"/>
    <x v="381"/>
    <x v="72"/>
    <x v="77"/>
    <x v="1"/>
  </r>
  <r>
    <x v="0"/>
    <x v="51"/>
    <x v="51"/>
    <x v="30"/>
    <x v="30"/>
    <x v="30"/>
    <x v="5"/>
    <x v="138"/>
    <x v="194"/>
    <x v="77"/>
    <x v="43"/>
    <x v="69"/>
    <x v="280"/>
    <x v="1"/>
  </r>
  <r>
    <x v="0"/>
    <x v="51"/>
    <x v="51"/>
    <x v="112"/>
    <x v="112"/>
    <x v="112"/>
    <x v="5"/>
    <x v="138"/>
    <x v="194"/>
    <x v="77"/>
    <x v="43"/>
    <x v="69"/>
    <x v="280"/>
    <x v="1"/>
  </r>
  <r>
    <x v="0"/>
    <x v="51"/>
    <x v="51"/>
    <x v="3"/>
    <x v="3"/>
    <x v="3"/>
    <x v="5"/>
    <x v="138"/>
    <x v="194"/>
    <x v="76"/>
    <x v="381"/>
    <x v="72"/>
    <x v="77"/>
    <x v="1"/>
  </r>
  <r>
    <x v="0"/>
    <x v="51"/>
    <x v="51"/>
    <x v="9"/>
    <x v="9"/>
    <x v="9"/>
    <x v="10"/>
    <x v="139"/>
    <x v="161"/>
    <x v="77"/>
    <x v="43"/>
    <x v="72"/>
    <x v="77"/>
    <x v="1"/>
  </r>
  <r>
    <x v="0"/>
    <x v="51"/>
    <x v="51"/>
    <x v="0"/>
    <x v="0"/>
    <x v="0"/>
    <x v="10"/>
    <x v="139"/>
    <x v="161"/>
    <x v="73"/>
    <x v="85"/>
    <x v="70"/>
    <x v="196"/>
    <x v="1"/>
  </r>
  <r>
    <x v="0"/>
    <x v="51"/>
    <x v="51"/>
    <x v="72"/>
    <x v="72"/>
    <x v="72"/>
    <x v="10"/>
    <x v="139"/>
    <x v="161"/>
    <x v="77"/>
    <x v="43"/>
    <x v="72"/>
    <x v="77"/>
    <x v="1"/>
  </r>
  <r>
    <x v="0"/>
    <x v="51"/>
    <x v="51"/>
    <x v="4"/>
    <x v="4"/>
    <x v="4"/>
    <x v="10"/>
    <x v="139"/>
    <x v="161"/>
    <x v="77"/>
    <x v="43"/>
    <x v="72"/>
    <x v="77"/>
    <x v="1"/>
  </r>
  <r>
    <x v="0"/>
    <x v="51"/>
    <x v="51"/>
    <x v="11"/>
    <x v="11"/>
    <x v="11"/>
    <x v="10"/>
    <x v="139"/>
    <x v="161"/>
    <x v="77"/>
    <x v="43"/>
    <x v="72"/>
    <x v="77"/>
    <x v="1"/>
  </r>
  <r>
    <x v="0"/>
    <x v="51"/>
    <x v="51"/>
    <x v="35"/>
    <x v="35"/>
    <x v="35"/>
    <x v="15"/>
    <x v="141"/>
    <x v="16"/>
    <x v="102"/>
    <x v="259"/>
    <x v="72"/>
    <x v="77"/>
    <x v="1"/>
  </r>
  <r>
    <x v="0"/>
    <x v="51"/>
    <x v="51"/>
    <x v="50"/>
    <x v="50"/>
    <x v="50"/>
    <x v="15"/>
    <x v="141"/>
    <x v="16"/>
    <x v="102"/>
    <x v="259"/>
    <x v="72"/>
    <x v="77"/>
    <x v="1"/>
  </r>
  <r>
    <x v="0"/>
    <x v="51"/>
    <x v="51"/>
    <x v="45"/>
    <x v="45"/>
    <x v="45"/>
    <x v="15"/>
    <x v="141"/>
    <x v="16"/>
    <x v="73"/>
    <x v="85"/>
    <x v="69"/>
    <x v="280"/>
    <x v="1"/>
  </r>
  <r>
    <x v="0"/>
    <x v="51"/>
    <x v="51"/>
    <x v="87"/>
    <x v="87"/>
    <x v="87"/>
    <x v="15"/>
    <x v="141"/>
    <x v="16"/>
    <x v="73"/>
    <x v="85"/>
    <x v="69"/>
    <x v="280"/>
    <x v="1"/>
  </r>
  <r>
    <x v="0"/>
    <x v="51"/>
    <x v="51"/>
    <x v="19"/>
    <x v="19"/>
    <x v="19"/>
    <x v="15"/>
    <x v="141"/>
    <x v="16"/>
    <x v="73"/>
    <x v="85"/>
    <x v="69"/>
    <x v="280"/>
    <x v="1"/>
  </r>
  <r>
    <x v="0"/>
    <x v="51"/>
    <x v="51"/>
    <x v="133"/>
    <x v="133"/>
    <x v="133"/>
    <x v="15"/>
    <x v="141"/>
    <x v="16"/>
    <x v="110"/>
    <x v="184"/>
    <x v="70"/>
    <x v="196"/>
    <x v="1"/>
  </r>
  <r>
    <x v="0"/>
    <x v="51"/>
    <x v="51"/>
    <x v="138"/>
    <x v="138"/>
    <x v="138"/>
    <x v="15"/>
    <x v="141"/>
    <x v="16"/>
    <x v="110"/>
    <x v="184"/>
    <x v="70"/>
    <x v="196"/>
    <x v="1"/>
  </r>
  <r>
    <x v="0"/>
    <x v="51"/>
    <x v="51"/>
    <x v="27"/>
    <x v="27"/>
    <x v="27"/>
    <x v="15"/>
    <x v="141"/>
    <x v="16"/>
    <x v="110"/>
    <x v="184"/>
    <x v="70"/>
    <x v="196"/>
    <x v="1"/>
  </r>
  <r>
    <x v="0"/>
    <x v="51"/>
    <x v="51"/>
    <x v="102"/>
    <x v="102"/>
    <x v="102"/>
    <x v="15"/>
    <x v="141"/>
    <x v="16"/>
    <x v="73"/>
    <x v="85"/>
    <x v="69"/>
    <x v="280"/>
    <x v="1"/>
  </r>
  <r>
    <x v="0"/>
    <x v="51"/>
    <x v="51"/>
    <x v="51"/>
    <x v="51"/>
    <x v="51"/>
    <x v="15"/>
    <x v="141"/>
    <x v="16"/>
    <x v="110"/>
    <x v="184"/>
    <x v="70"/>
    <x v="196"/>
    <x v="1"/>
  </r>
  <r>
    <x v="0"/>
    <x v="51"/>
    <x v="51"/>
    <x v="136"/>
    <x v="136"/>
    <x v="136"/>
    <x v="15"/>
    <x v="141"/>
    <x v="16"/>
    <x v="110"/>
    <x v="184"/>
    <x v="70"/>
    <x v="196"/>
    <x v="1"/>
  </r>
  <r>
    <x v="0"/>
    <x v="51"/>
    <x v="51"/>
    <x v="40"/>
    <x v="40"/>
    <x v="40"/>
    <x v="15"/>
    <x v="141"/>
    <x v="16"/>
    <x v="73"/>
    <x v="85"/>
    <x v="69"/>
    <x v="280"/>
    <x v="1"/>
  </r>
  <r>
    <x v="0"/>
    <x v="51"/>
    <x v="51"/>
    <x v="42"/>
    <x v="42"/>
    <x v="42"/>
    <x v="15"/>
    <x v="141"/>
    <x v="16"/>
    <x v="110"/>
    <x v="184"/>
    <x v="70"/>
    <x v="196"/>
    <x v="1"/>
  </r>
  <r>
    <x v="0"/>
    <x v="51"/>
    <x v="51"/>
    <x v="15"/>
    <x v="15"/>
    <x v="15"/>
    <x v="15"/>
    <x v="141"/>
    <x v="16"/>
    <x v="73"/>
    <x v="85"/>
    <x v="69"/>
    <x v="280"/>
    <x v="1"/>
  </r>
  <r>
    <x v="0"/>
    <x v="51"/>
    <x v="51"/>
    <x v="2"/>
    <x v="2"/>
    <x v="2"/>
    <x v="15"/>
    <x v="141"/>
    <x v="16"/>
    <x v="102"/>
    <x v="259"/>
    <x v="72"/>
    <x v="77"/>
    <x v="1"/>
  </r>
  <r>
    <x v="0"/>
    <x v="51"/>
    <x v="51"/>
    <x v="34"/>
    <x v="34"/>
    <x v="34"/>
    <x v="15"/>
    <x v="141"/>
    <x v="16"/>
    <x v="102"/>
    <x v="259"/>
    <x v="72"/>
    <x v="77"/>
    <x v="1"/>
  </r>
  <r>
    <x v="0"/>
    <x v="51"/>
    <x v="51"/>
    <x v="104"/>
    <x v="104"/>
    <x v="104"/>
    <x v="15"/>
    <x v="141"/>
    <x v="16"/>
    <x v="102"/>
    <x v="259"/>
    <x v="72"/>
    <x v="77"/>
    <x v="1"/>
  </r>
  <r>
    <x v="0"/>
    <x v="51"/>
    <x v="51"/>
    <x v="90"/>
    <x v="90"/>
    <x v="90"/>
    <x v="15"/>
    <x v="141"/>
    <x v="16"/>
    <x v="110"/>
    <x v="184"/>
    <x v="72"/>
    <x v="77"/>
    <x v="1"/>
  </r>
  <r>
    <x v="0"/>
    <x v="51"/>
    <x v="51"/>
    <x v="132"/>
    <x v="132"/>
    <x v="132"/>
    <x v="15"/>
    <x v="141"/>
    <x v="16"/>
    <x v="110"/>
    <x v="184"/>
    <x v="70"/>
    <x v="196"/>
    <x v="1"/>
  </r>
  <r>
    <x v="0"/>
    <x v="51"/>
    <x v="51"/>
    <x v="76"/>
    <x v="76"/>
    <x v="76"/>
    <x v="15"/>
    <x v="141"/>
    <x v="16"/>
    <x v="110"/>
    <x v="184"/>
    <x v="70"/>
    <x v="196"/>
    <x v="1"/>
  </r>
  <r>
    <x v="0"/>
    <x v="52"/>
    <x v="52"/>
    <x v="62"/>
    <x v="62"/>
    <x v="62"/>
    <x v="0"/>
    <x v="136"/>
    <x v="301"/>
    <x v="75"/>
    <x v="383"/>
    <x v="69"/>
    <x v="309"/>
    <x v="1"/>
  </r>
  <r>
    <x v="0"/>
    <x v="52"/>
    <x v="52"/>
    <x v="2"/>
    <x v="2"/>
    <x v="2"/>
    <x v="1"/>
    <x v="137"/>
    <x v="302"/>
    <x v="76"/>
    <x v="384"/>
    <x v="69"/>
    <x v="309"/>
    <x v="1"/>
  </r>
  <r>
    <x v="0"/>
    <x v="52"/>
    <x v="52"/>
    <x v="16"/>
    <x v="16"/>
    <x v="16"/>
    <x v="2"/>
    <x v="139"/>
    <x v="303"/>
    <x v="77"/>
    <x v="263"/>
    <x v="72"/>
    <x v="77"/>
    <x v="1"/>
  </r>
  <r>
    <x v="0"/>
    <x v="52"/>
    <x v="52"/>
    <x v="14"/>
    <x v="14"/>
    <x v="14"/>
    <x v="2"/>
    <x v="139"/>
    <x v="303"/>
    <x v="77"/>
    <x v="263"/>
    <x v="72"/>
    <x v="77"/>
    <x v="1"/>
  </r>
  <r>
    <x v="0"/>
    <x v="52"/>
    <x v="52"/>
    <x v="129"/>
    <x v="129"/>
    <x v="129"/>
    <x v="4"/>
    <x v="141"/>
    <x v="214"/>
    <x v="73"/>
    <x v="264"/>
    <x v="69"/>
    <x v="309"/>
    <x v="1"/>
  </r>
  <r>
    <x v="0"/>
    <x v="52"/>
    <x v="52"/>
    <x v="23"/>
    <x v="23"/>
    <x v="23"/>
    <x v="4"/>
    <x v="141"/>
    <x v="214"/>
    <x v="102"/>
    <x v="138"/>
    <x v="72"/>
    <x v="77"/>
    <x v="1"/>
  </r>
  <r>
    <x v="0"/>
    <x v="52"/>
    <x v="52"/>
    <x v="42"/>
    <x v="42"/>
    <x v="42"/>
    <x v="4"/>
    <x v="141"/>
    <x v="214"/>
    <x v="73"/>
    <x v="264"/>
    <x v="69"/>
    <x v="309"/>
    <x v="1"/>
  </r>
  <r>
    <x v="0"/>
    <x v="52"/>
    <x v="52"/>
    <x v="46"/>
    <x v="46"/>
    <x v="46"/>
    <x v="4"/>
    <x v="141"/>
    <x v="214"/>
    <x v="102"/>
    <x v="138"/>
    <x v="72"/>
    <x v="77"/>
    <x v="1"/>
  </r>
  <r>
    <x v="0"/>
    <x v="52"/>
    <x v="52"/>
    <x v="48"/>
    <x v="48"/>
    <x v="48"/>
    <x v="4"/>
    <x v="141"/>
    <x v="214"/>
    <x v="110"/>
    <x v="184"/>
    <x v="72"/>
    <x v="77"/>
    <x v="1"/>
  </r>
  <r>
    <x v="0"/>
    <x v="52"/>
    <x v="52"/>
    <x v="116"/>
    <x v="116"/>
    <x v="116"/>
    <x v="4"/>
    <x v="141"/>
    <x v="214"/>
    <x v="102"/>
    <x v="138"/>
    <x v="72"/>
    <x v="77"/>
    <x v="1"/>
  </r>
  <r>
    <x v="0"/>
    <x v="52"/>
    <x v="52"/>
    <x v="78"/>
    <x v="78"/>
    <x v="78"/>
    <x v="10"/>
    <x v="142"/>
    <x v="104"/>
    <x v="110"/>
    <x v="184"/>
    <x v="69"/>
    <x v="309"/>
    <x v="1"/>
  </r>
  <r>
    <x v="0"/>
    <x v="52"/>
    <x v="52"/>
    <x v="5"/>
    <x v="5"/>
    <x v="5"/>
    <x v="10"/>
    <x v="142"/>
    <x v="104"/>
    <x v="110"/>
    <x v="184"/>
    <x v="69"/>
    <x v="309"/>
    <x v="1"/>
  </r>
  <r>
    <x v="0"/>
    <x v="52"/>
    <x v="52"/>
    <x v="139"/>
    <x v="139"/>
    <x v="139"/>
    <x v="10"/>
    <x v="142"/>
    <x v="104"/>
    <x v="73"/>
    <x v="264"/>
    <x v="72"/>
    <x v="77"/>
    <x v="1"/>
  </r>
  <r>
    <x v="0"/>
    <x v="52"/>
    <x v="52"/>
    <x v="88"/>
    <x v="88"/>
    <x v="88"/>
    <x v="10"/>
    <x v="142"/>
    <x v="104"/>
    <x v="110"/>
    <x v="184"/>
    <x v="69"/>
    <x v="309"/>
    <x v="1"/>
  </r>
  <r>
    <x v="0"/>
    <x v="52"/>
    <x v="52"/>
    <x v="133"/>
    <x v="133"/>
    <x v="133"/>
    <x v="10"/>
    <x v="142"/>
    <x v="104"/>
    <x v="73"/>
    <x v="264"/>
    <x v="72"/>
    <x v="77"/>
    <x v="1"/>
  </r>
  <r>
    <x v="0"/>
    <x v="52"/>
    <x v="52"/>
    <x v="140"/>
    <x v="140"/>
    <x v="140"/>
    <x v="10"/>
    <x v="142"/>
    <x v="104"/>
    <x v="73"/>
    <x v="264"/>
    <x v="72"/>
    <x v="77"/>
    <x v="1"/>
  </r>
  <r>
    <x v="0"/>
    <x v="52"/>
    <x v="52"/>
    <x v="141"/>
    <x v="141"/>
    <x v="141"/>
    <x v="10"/>
    <x v="142"/>
    <x v="104"/>
    <x v="73"/>
    <x v="264"/>
    <x v="72"/>
    <x v="77"/>
    <x v="1"/>
  </r>
  <r>
    <x v="0"/>
    <x v="52"/>
    <x v="52"/>
    <x v="98"/>
    <x v="98"/>
    <x v="98"/>
    <x v="10"/>
    <x v="142"/>
    <x v="104"/>
    <x v="110"/>
    <x v="184"/>
    <x v="69"/>
    <x v="309"/>
    <x v="1"/>
  </r>
  <r>
    <x v="0"/>
    <x v="52"/>
    <x v="52"/>
    <x v="67"/>
    <x v="67"/>
    <x v="67"/>
    <x v="10"/>
    <x v="142"/>
    <x v="104"/>
    <x v="110"/>
    <x v="184"/>
    <x v="72"/>
    <x v="77"/>
    <x v="1"/>
  </r>
  <r>
    <x v="0"/>
    <x v="52"/>
    <x v="52"/>
    <x v="142"/>
    <x v="142"/>
    <x v="142"/>
    <x v="10"/>
    <x v="142"/>
    <x v="104"/>
    <x v="110"/>
    <x v="184"/>
    <x v="72"/>
    <x v="77"/>
    <x v="0"/>
  </r>
  <r>
    <x v="0"/>
    <x v="52"/>
    <x v="52"/>
    <x v="22"/>
    <x v="22"/>
    <x v="22"/>
    <x v="10"/>
    <x v="142"/>
    <x v="104"/>
    <x v="73"/>
    <x v="264"/>
    <x v="72"/>
    <x v="77"/>
    <x v="1"/>
  </r>
  <r>
    <x v="0"/>
    <x v="52"/>
    <x v="52"/>
    <x v="52"/>
    <x v="52"/>
    <x v="52"/>
    <x v="10"/>
    <x v="142"/>
    <x v="104"/>
    <x v="73"/>
    <x v="264"/>
    <x v="72"/>
    <x v="77"/>
    <x v="1"/>
  </r>
  <r>
    <x v="0"/>
    <x v="52"/>
    <x v="52"/>
    <x v="59"/>
    <x v="59"/>
    <x v="59"/>
    <x v="10"/>
    <x v="142"/>
    <x v="104"/>
    <x v="110"/>
    <x v="184"/>
    <x v="69"/>
    <x v="309"/>
    <x v="1"/>
  </r>
  <r>
    <x v="0"/>
    <x v="52"/>
    <x v="52"/>
    <x v="53"/>
    <x v="53"/>
    <x v="53"/>
    <x v="10"/>
    <x v="142"/>
    <x v="104"/>
    <x v="73"/>
    <x v="264"/>
    <x v="72"/>
    <x v="77"/>
    <x v="1"/>
  </r>
  <r>
    <x v="0"/>
    <x v="52"/>
    <x v="52"/>
    <x v="10"/>
    <x v="10"/>
    <x v="10"/>
    <x v="10"/>
    <x v="142"/>
    <x v="104"/>
    <x v="110"/>
    <x v="184"/>
    <x v="69"/>
    <x v="309"/>
    <x v="1"/>
  </r>
  <r>
    <x v="0"/>
    <x v="52"/>
    <x v="52"/>
    <x v="9"/>
    <x v="9"/>
    <x v="9"/>
    <x v="10"/>
    <x v="142"/>
    <x v="104"/>
    <x v="73"/>
    <x v="264"/>
    <x v="72"/>
    <x v="77"/>
    <x v="1"/>
  </r>
  <r>
    <x v="0"/>
    <x v="52"/>
    <x v="52"/>
    <x v="15"/>
    <x v="15"/>
    <x v="15"/>
    <x v="10"/>
    <x v="142"/>
    <x v="104"/>
    <x v="110"/>
    <x v="184"/>
    <x v="72"/>
    <x v="77"/>
    <x v="1"/>
  </r>
  <r>
    <x v="0"/>
    <x v="52"/>
    <x v="52"/>
    <x v="143"/>
    <x v="143"/>
    <x v="143"/>
    <x v="10"/>
    <x v="142"/>
    <x v="104"/>
    <x v="73"/>
    <x v="264"/>
    <x v="72"/>
    <x v="77"/>
    <x v="1"/>
  </r>
  <r>
    <x v="0"/>
    <x v="52"/>
    <x v="52"/>
    <x v="3"/>
    <x v="3"/>
    <x v="3"/>
    <x v="10"/>
    <x v="142"/>
    <x v="104"/>
    <x v="73"/>
    <x v="264"/>
    <x v="72"/>
    <x v="77"/>
    <x v="1"/>
  </r>
  <r>
    <x v="0"/>
    <x v="52"/>
    <x v="52"/>
    <x v="26"/>
    <x v="26"/>
    <x v="26"/>
    <x v="10"/>
    <x v="142"/>
    <x v="104"/>
    <x v="73"/>
    <x v="264"/>
    <x v="72"/>
    <x v="77"/>
    <x v="1"/>
  </r>
  <r>
    <x v="0"/>
    <x v="52"/>
    <x v="52"/>
    <x v="4"/>
    <x v="4"/>
    <x v="4"/>
    <x v="10"/>
    <x v="142"/>
    <x v="104"/>
    <x v="73"/>
    <x v="264"/>
    <x v="72"/>
    <x v="77"/>
    <x v="1"/>
  </r>
  <r>
    <x v="0"/>
    <x v="52"/>
    <x v="52"/>
    <x v="1"/>
    <x v="1"/>
    <x v="1"/>
    <x v="10"/>
    <x v="142"/>
    <x v="104"/>
    <x v="73"/>
    <x v="264"/>
    <x v="72"/>
    <x v="77"/>
    <x v="1"/>
  </r>
  <r>
    <x v="0"/>
    <x v="52"/>
    <x v="52"/>
    <x v="75"/>
    <x v="75"/>
    <x v="75"/>
    <x v="10"/>
    <x v="142"/>
    <x v="104"/>
    <x v="110"/>
    <x v="184"/>
    <x v="72"/>
    <x v="77"/>
    <x v="1"/>
  </r>
  <r>
    <x v="0"/>
    <x v="52"/>
    <x v="52"/>
    <x v="11"/>
    <x v="11"/>
    <x v="11"/>
    <x v="10"/>
    <x v="142"/>
    <x v="104"/>
    <x v="73"/>
    <x v="264"/>
    <x v="72"/>
    <x v="77"/>
    <x v="1"/>
  </r>
  <r>
    <x v="0"/>
    <x v="52"/>
    <x v="52"/>
    <x v="97"/>
    <x v="97"/>
    <x v="97"/>
    <x v="10"/>
    <x v="142"/>
    <x v="104"/>
    <x v="110"/>
    <x v="184"/>
    <x v="72"/>
    <x v="77"/>
    <x v="1"/>
  </r>
  <r>
    <x v="0"/>
    <x v="53"/>
    <x v="53"/>
    <x v="16"/>
    <x v="16"/>
    <x v="16"/>
    <x v="0"/>
    <x v="143"/>
    <x v="304"/>
    <x v="81"/>
    <x v="385"/>
    <x v="72"/>
    <x v="77"/>
    <x v="1"/>
  </r>
  <r>
    <x v="0"/>
    <x v="53"/>
    <x v="53"/>
    <x v="20"/>
    <x v="20"/>
    <x v="20"/>
    <x v="0"/>
    <x v="143"/>
    <x v="304"/>
    <x v="81"/>
    <x v="385"/>
    <x v="72"/>
    <x v="77"/>
    <x v="1"/>
  </r>
  <r>
    <x v="0"/>
    <x v="53"/>
    <x v="53"/>
    <x v="12"/>
    <x v="12"/>
    <x v="12"/>
    <x v="2"/>
    <x v="136"/>
    <x v="305"/>
    <x v="75"/>
    <x v="151"/>
    <x v="69"/>
    <x v="311"/>
    <x v="1"/>
  </r>
  <r>
    <x v="0"/>
    <x v="53"/>
    <x v="53"/>
    <x v="1"/>
    <x v="1"/>
    <x v="1"/>
    <x v="2"/>
    <x v="136"/>
    <x v="305"/>
    <x v="75"/>
    <x v="151"/>
    <x v="69"/>
    <x v="311"/>
    <x v="1"/>
  </r>
  <r>
    <x v="0"/>
    <x v="53"/>
    <x v="53"/>
    <x v="56"/>
    <x v="56"/>
    <x v="56"/>
    <x v="4"/>
    <x v="140"/>
    <x v="123"/>
    <x v="110"/>
    <x v="184"/>
    <x v="60"/>
    <x v="312"/>
    <x v="1"/>
  </r>
  <r>
    <x v="0"/>
    <x v="53"/>
    <x v="53"/>
    <x v="124"/>
    <x v="124"/>
    <x v="124"/>
    <x v="4"/>
    <x v="140"/>
    <x v="123"/>
    <x v="76"/>
    <x v="128"/>
    <x v="70"/>
    <x v="313"/>
    <x v="1"/>
  </r>
  <r>
    <x v="0"/>
    <x v="53"/>
    <x v="53"/>
    <x v="14"/>
    <x v="14"/>
    <x v="14"/>
    <x v="4"/>
    <x v="140"/>
    <x v="123"/>
    <x v="101"/>
    <x v="386"/>
    <x v="69"/>
    <x v="311"/>
    <x v="1"/>
  </r>
  <r>
    <x v="0"/>
    <x v="53"/>
    <x v="53"/>
    <x v="36"/>
    <x v="36"/>
    <x v="36"/>
    <x v="7"/>
    <x v="137"/>
    <x v="222"/>
    <x v="77"/>
    <x v="145"/>
    <x v="70"/>
    <x v="313"/>
    <x v="1"/>
  </r>
  <r>
    <x v="0"/>
    <x v="53"/>
    <x v="53"/>
    <x v="37"/>
    <x v="37"/>
    <x v="37"/>
    <x v="7"/>
    <x v="137"/>
    <x v="222"/>
    <x v="77"/>
    <x v="145"/>
    <x v="70"/>
    <x v="313"/>
    <x v="1"/>
  </r>
  <r>
    <x v="0"/>
    <x v="53"/>
    <x v="53"/>
    <x v="4"/>
    <x v="4"/>
    <x v="4"/>
    <x v="7"/>
    <x v="137"/>
    <x v="222"/>
    <x v="76"/>
    <x v="128"/>
    <x v="69"/>
    <x v="311"/>
    <x v="1"/>
  </r>
  <r>
    <x v="0"/>
    <x v="53"/>
    <x v="53"/>
    <x v="19"/>
    <x v="19"/>
    <x v="19"/>
    <x v="10"/>
    <x v="138"/>
    <x v="28"/>
    <x v="110"/>
    <x v="184"/>
    <x v="78"/>
    <x v="314"/>
    <x v="1"/>
  </r>
  <r>
    <x v="0"/>
    <x v="53"/>
    <x v="53"/>
    <x v="31"/>
    <x v="31"/>
    <x v="31"/>
    <x v="10"/>
    <x v="138"/>
    <x v="28"/>
    <x v="102"/>
    <x v="387"/>
    <x v="70"/>
    <x v="313"/>
    <x v="1"/>
  </r>
  <r>
    <x v="0"/>
    <x v="53"/>
    <x v="53"/>
    <x v="41"/>
    <x v="41"/>
    <x v="41"/>
    <x v="10"/>
    <x v="138"/>
    <x v="28"/>
    <x v="76"/>
    <x v="128"/>
    <x v="72"/>
    <x v="77"/>
    <x v="1"/>
  </r>
  <r>
    <x v="0"/>
    <x v="53"/>
    <x v="53"/>
    <x v="42"/>
    <x v="42"/>
    <x v="42"/>
    <x v="10"/>
    <x v="138"/>
    <x v="28"/>
    <x v="110"/>
    <x v="184"/>
    <x v="78"/>
    <x v="314"/>
    <x v="1"/>
  </r>
  <r>
    <x v="0"/>
    <x v="53"/>
    <x v="53"/>
    <x v="0"/>
    <x v="0"/>
    <x v="0"/>
    <x v="10"/>
    <x v="138"/>
    <x v="28"/>
    <x v="77"/>
    <x v="145"/>
    <x v="69"/>
    <x v="311"/>
    <x v="1"/>
  </r>
  <r>
    <x v="0"/>
    <x v="53"/>
    <x v="53"/>
    <x v="15"/>
    <x v="15"/>
    <x v="15"/>
    <x v="10"/>
    <x v="138"/>
    <x v="28"/>
    <x v="102"/>
    <x v="387"/>
    <x v="69"/>
    <x v="311"/>
    <x v="1"/>
  </r>
  <r>
    <x v="0"/>
    <x v="53"/>
    <x v="53"/>
    <x v="2"/>
    <x v="2"/>
    <x v="2"/>
    <x v="10"/>
    <x v="138"/>
    <x v="28"/>
    <x v="102"/>
    <x v="387"/>
    <x v="70"/>
    <x v="313"/>
    <x v="1"/>
  </r>
  <r>
    <x v="0"/>
    <x v="53"/>
    <x v="53"/>
    <x v="8"/>
    <x v="8"/>
    <x v="8"/>
    <x v="10"/>
    <x v="138"/>
    <x v="28"/>
    <x v="76"/>
    <x v="128"/>
    <x v="72"/>
    <x v="77"/>
    <x v="1"/>
  </r>
  <r>
    <x v="0"/>
    <x v="53"/>
    <x v="53"/>
    <x v="11"/>
    <x v="11"/>
    <x v="11"/>
    <x v="10"/>
    <x v="138"/>
    <x v="28"/>
    <x v="76"/>
    <x v="128"/>
    <x v="72"/>
    <x v="77"/>
    <x v="1"/>
  </r>
  <r>
    <x v="0"/>
    <x v="53"/>
    <x v="53"/>
    <x v="7"/>
    <x v="7"/>
    <x v="7"/>
    <x v="10"/>
    <x v="138"/>
    <x v="28"/>
    <x v="76"/>
    <x v="128"/>
    <x v="72"/>
    <x v="77"/>
    <x v="1"/>
  </r>
  <r>
    <x v="0"/>
    <x v="54"/>
    <x v="54"/>
    <x v="9"/>
    <x v="9"/>
    <x v="9"/>
    <x v="0"/>
    <x v="121"/>
    <x v="306"/>
    <x v="68"/>
    <x v="388"/>
    <x v="72"/>
    <x v="77"/>
    <x v="1"/>
  </r>
  <r>
    <x v="0"/>
    <x v="54"/>
    <x v="54"/>
    <x v="2"/>
    <x v="2"/>
    <x v="2"/>
    <x v="1"/>
    <x v="114"/>
    <x v="307"/>
    <x v="80"/>
    <x v="389"/>
    <x v="78"/>
    <x v="315"/>
    <x v="1"/>
  </r>
  <r>
    <x v="0"/>
    <x v="54"/>
    <x v="54"/>
    <x v="124"/>
    <x v="124"/>
    <x v="124"/>
    <x v="2"/>
    <x v="124"/>
    <x v="308"/>
    <x v="75"/>
    <x v="390"/>
    <x v="56"/>
    <x v="147"/>
    <x v="1"/>
  </r>
  <r>
    <x v="0"/>
    <x v="54"/>
    <x v="54"/>
    <x v="5"/>
    <x v="5"/>
    <x v="5"/>
    <x v="3"/>
    <x v="126"/>
    <x v="309"/>
    <x v="110"/>
    <x v="184"/>
    <x v="76"/>
    <x v="316"/>
    <x v="1"/>
  </r>
  <r>
    <x v="0"/>
    <x v="54"/>
    <x v="54"/>
    <x v="56"/>
    <x v="56"/>
    <x v="56"/>
    <x v="4"/>
    <x v="143"/>
    <x v="214"/>
    <x v="77"/>
    <x v="391"/>
    <x v="56"/>
    <x v="147"/>
    <x v="1"/>
  </r>
  <r>
    <x v="0"/>
    <x v="54"/>
    <x v="54"/>
    <x v="13"/>
    <x v="13"/>
    <x v="13"/>
    <x v="5"/>
    <x v="136"/>
    <x v="310"/>
    <x v="77"/>
    <x v="391"/>
    <x v="78"/>
    <x v="315"/>
    <x v="1"/>
  </r>
  <r>
    <x v="0"/>
    <x v="54"/>
    <x v="54"/>
    <x v="19"/>
    <x v="19"/>
    <x v="19"/>
    <x v="6"/>
    <x v="140"/>
    <x v="245"/>
    <x v="76"/>
    <x v="76"/>
    <x v="70"/>
    <x v="317"/>
    <x v="1"/>
  </r>
  <r>
    <x v="0"/>
    <x v="54"/>
    <x v="54"/>
    <x v="37"/>
    <x v="37"/>
    <x v="37"/>
    <x v="6"/>
    <x v="140"/>
    <x v="245"/>
    <x v="102"/>
    <x v="106"/>
    <x v="78"/>
    <x v="315"/>
    <x v="1"/>
  </r>
  <r>
    <x v="0"/>
    <x v="54"/>
    <x v="54"/>
    <x v="42"/>
    <x v="42"/>
    <x v="42"/>
    <x v="6"/>
    <x v="140"/>
    <x v="245"/>
    <x v="102"/>
    <x v="106"/>
    <x v="78"/>
    <x v="315"/>
    <x v="1"/>
  </r>
  <r>
    <x v="0"/>
    <x v="54"/>
    <x v="54"/>
    <x v="14"/>
    <x v="14"/>
    <x v="14"/>
    <x v="6"/>
    <x v="140"/>
    <x v="245"/>
    <x v="101"/>
    <x v="117"/>
    <x v="69"/>
    <x v="91"/>
    <x v="1"/>
  </r>
  <r>
    <x v="0"/>
    <x v="54"/>
    <x v="54"/>
    <x v="26"/>
    <x v="26"/>
    <x v="26"/>
    <x v="6"/>
    <x v="140"/>
    <x v="245"/>
    <x v="76"/>
    <x v="76"/>
    <x v="70"/>
    <x v="317"/>
    <x v="1"/>
  </r>
  <r>
    <x v="0"/>
    <x v="54"/>
    <x v="54"/>
    <x v="144"/>
    <x v="144"/>
    <x v="144"/>
    <x v="11"/>
    <x v="137"/>
    <x v="5"/>
    <x v="101"/>
    <x v="117"/>
    <x v="72"/>
    <x v="77"/>
    <x v="1"/>
  </r>
  <r>
    <x v="0"/>
    <x v="54"/>
    <x v="54"/>
    <x v="40"/>
    <x v="40"/>
    <x v="40"/>
    <x v="11"/>
    <x v="137"/>
    <x v="5"/>
    <x v="101"/>
    <x v="117"/>
    <x v="72"/>
    <x v="77"/>
    <x v="1"/>
  </r>
  <r>
    <x v="0"/>
    <x v="54"/>
    <x v="54"/>
    <x v="23"/>
    <x v="23"/>
    <x v="23"/>
    <x v="11"/>
    <x v="137"/>
    <x v="5"/>
    <x v="77"/>
    <x v="391"/>
    <x v="70"/>
    <x v="317"/>
    <x v="1"/>
  </r>
  <r>
    <x v="0"/>
    <x v="54"/>
    <x v="54"/>
    <x v="4"/>
    <x v="4"/>
    <x v="4"/>
    <x v="11"/>
    <x v="137"/>
    <x v="5"/>
    <x v="101"/>
    <x v="117"/>
    <x v="72"/>
    <x v="77"/>
    <x v="1"/>
  </r>
  <r>
    <x v="0"/>
    <x v="54"/>
    <x v="54"/>
    <x v="36"/>
    <x v="36"/>
    <x v="36"/>
    <x v="15"/>
    <x v="138"/>
    <x v="104"/>
    <x v="76"/>
    <x v="76"/>
    <x v="72"/>
    <x v="77"/>
    <x v="1"/>
  </r>
  <r>
    <x v="0"/>
    <x v="54"/>
    <x v="54"/>
    <x v="10"/>
    <x v="10"/>
    <x v="10"/>
    <x v="15"/>
    <x v="138"/>
    <x v="104"/>
    <x v="77"/>
    <x v="391"/>
    <x v="69"/>
    <x v="91"/>
    <x v="1"/>
  </r>
  <r>
    <x v="0"/>
    <x v="54"/>
    <x v="54"/>
    <x v="1"/>
    <x v="1"/>
    <x v="1"/>
    <x v="15"/>
    <x v="138"/>
    <x v="104"/>
    <x v="76"/>
    <x v="76"/>
    <x v="72"/>
    <x v="77"/>
    <x v="1"/>
  </r>
  <r>
    <x v="0"/>
    <x v="54"/>
    <x v="54"/>
    <x v="17"/>
    <x v="17"/>
    <x v="17"/>
    <x v="18"/>
    <x v="139"/>
    <x v="67"/>
    <x v="73"/>
    <x v="305"/>
    <x v="70"/>
    <x v="317"/>
    <x v="1"/>
  </r>
  <r>
    <x v="0"/>
    <x v="54"/>
    <x v="54"/>
    <x v="145"/>
    <x v="145"/>
    <x v="145"/>
    <x v="18"/>
    <x v="139"/>
    <x v="67"/>
    <x v="77"/>
    <x v="391"/>
    <x v="72"/>
    <x v="77"/>
    <x v="1"/>
  </r>
  <r>
    <x v="0"/>
    <x v="54"/>
    <x v="54"/>
    <x v="16"/>
    <x v="16"/>
    <x v="16"/>
    <x v="18"/>
    <x v="139"/>
    <x v="67"/>
    <x v="77"/>
    <x v="391"/>
    <x v="72"/>
    <x v="77"/>
    <x v="1"/>
  </r>
  <r>
    <x v="0"/>
    <x v="54"/>
    <x v="54"/>
    <x v="11"/>
    <x v="11"/>
    <x v="11"/>
    <x v="18"/>
    <x v="139"/>
    <x v="67"/>
    <x v="77"/>
    <x v="391"/>
    <x v="72"/>
    <x v="77"/>
    <x v="1"/>
  </r>
  <r>
    <x v="0"/>
    <x v="54"/>
    <x v="54"/>
    <x v="25"/>
    <x v="25"/>
    <x v="25"/>
    <x v="18"/>
    <x v="139"/>
    <x v="67"/>
    <x v="77"/>
    <x v="391"/>
    <x v="72"/>
    <x v="77"/>
    <x v="1"/>
  </r>
  <r>
    <x v="0"/>
    <x v="55"/>
    <x v="55"/>
    <x v="12"/>
    <x v="12"/>
    <x v="12"/>
    <x v="0"/>
    <x v="143"/>
    <x v="239"/>
    <x v="76"/>
    <x v="189"/>
    <x v="78"/>
    <x v="318"/>
    <x v="1"/>
  </r>
  <r>
    <x v="0"/>
    <x v="55"/>
    <x v="55"/>
    <x v="2"/>
    <x v="2"/>
    <x v="2"/>
    <x v="0"/>
    <x v="143"/>
    <x v="239"/>
    <x v="75"/>
    <x v="268"/>
    <x v="70"/>
    <x v="247"/>
    <x v="1"/>
  </r>
  <r>
    <x v="0"/>
    <x v="55"/>
    <x v="55"/>
    <x v="1"/>
    <x v="1"/>
    <x v="1"/>
    <x v="0"/>
    <x v="143"/>
    <x v="239"/>
    <x v="81"/>
    <x v="378"/>
    <x v="72"/>
    <x v="77"/>
    <x v="1"/>
  </r>
  <r>
    <x v="0"/>
    <x v="55"/>
    <x v="55"/>
    <x v="69"/>
    <x v="69"/>
    <x v="69"/>
    <x v="3"/>
    <x v="136"/>
    <x v="311"/>
    <x v="75"/>
    <x v="268"/>
    <x v="69"/>
    <x v="248"/>
    <x v="1"/>
  </r>
  <r>
    <x v="0"/>
    <x v="55"/>
    <x v="55"/>
    <x v="6"/>
    <x v="6"/>
    <x v="6"/>
    <x v="4"/>
    <x v="140"/>
    <x v="289"/>
    <x v="75"/>
    <x v="268"/>
    <x v="72"/>
    <x v="77"/>
    <x v="1"/>
  </r>
  <r>
    <x v="0"/>
    <x v="55"/>
    <x v="55"/>
    <x v="5"/>
    <x v="5"/>
    <x v="5"/>
    <x v="5"/>
    <x v="138"/>
    <x v="91"/>
    <x v="73"/>
    <x v="380"/>
    <x v="84"/>
    <x v="249"/>
    <x v="1"/>
  </r>
  <r>
    <x v="0"/>
    <x v="55"/>
    <x v="55"/>
    <x v="19"/>
    <x v="19"/>
    <x v="19"/>
    <x v="5"/>
    <x v="138"/>
    <x v="91"/>
    <x v="76"/>
    <x v="189"/>
    <x v="72"/>
    <x v="77"/>
    <x v="1"/>
  </r>
  <r>
    <x v="0"/>
    <x v="55"/>
    <x v="55"/>
    <x v="124"/>
    <x v="124"/>
    <x v="124"/>
    <x v="5"/>
    <x v="138"/>
    <x v="91"/>
    <x v="76"/>
    <x v="189"/>
    <x v="72"/>
    <x v="77"/>
    <x v="1"/>
  </r>
  <r>
    <x v="0"/>
    <x v="55"/>
    <x v="55"/>
    <x v="40"/>
    <x v="40"/>
    <x v="40"/>
    <x v="5"/>
    <x v="138"/>
    <x v="91"/>
    <x v="76"/>
    <x v="189"/>
    <x v="72"/>
    <x v="77"/>
    <x v="1"/>
  </r>
  <r>
    <x v="0"/>
    <x v="55"/>
    <x v="55"/>
    <x v="11"/>
    <x v="11"/>
    <x v="11"/>
    <x v="5"/>
    <x v="138"/>
    <x v="91"/>
    <x v="76"/>
    <x v="189"/>
    <x v="72"/>
    <x v="77"/>
    <x v="1"/>
  </r>
  <r>
    <x v="0"/>
    <x v="55"/>
    <x v="55"/>
    <x v="50"/>
    <x v="50"/>
    <x v="50"/>
    <x v="10"/>
    <x v="139"/>
    <x v="115"/>
    <x v="77"/>
    <x v="379"/>
    <x v="72"/>
    <x v="77"/>
    <x v="1"/>
  </r>
  <r>
    <x v="0"/>
    <x v="55"/>
    <x v="55"/>
    <x v="112"/>
    <x v="112"/>
    <x v="112"/>
    <x v="10"/>
    <x v="139"/>
    <x v="115"/>
    <x v="77"/>
    <x v="379"/>
    <x v="72"/>
    <x v="77"/>
    <x v="1"/>
  </r>
  <r>
    <x v="0"/>
    <x v="55"/>
    <x v="55"/>
    <x v="23"/>
    <x v="23"/>
    <x v="23"/>
    <x v="10"/>
    <x v="139"/>
    <x v="115"/>
    <x v="102"/>
    <x v="91"/>
    <x v="69"/>
    <x v="248"/>
    <x v="1"/>
  </r>
  <r>
    <x v="0"/>
    <x v="55"/>
    <x v="55"/>
    <x v="31"/>
    <x v="31"/>
    <x v="31"/>
    <x v="10"/>
    <x v="139"/>
    <x v="115"/>
    <x v="77"/>
    <x v="379"/>
    <x v="72"/>
    <x v="77"/>
    <x v="1"/>
  </r>
  <r>
    <x v="0"/>
    <x v="55"/>
    <x v="55"/>
    <x v="14"/>
    <x v="14"/>
    <x v="14"/>
    <x v="10"/>
    <x v="139"/>
    <x v="115"/>
    <x v="77"/>
    <x v="379"/>
    <x v="72"/>
    <x v="77"/>
    <x v="1"/>
  </r>
  <r>
    <x v="0"/>
    <x v="55"/>
    <x v="55"/>
    <x v="4"/>
    <x v="4"/>
    <x v="4"/>
    <x v="10"/>
    <x v="139"/>
    <x v="115"/>
    <x v="77"/>
    <x v="379"/>
    <x v="72"/>
    <x v="77"/>
    <x v="1"/>
  </r>
  <r>
    <x v="0"/>
    <x v="55"/>
    <x v="55"/>
    <x v="13"/>
    <x v="13"/>
    <x v="13"/>
    <x v="16"/>
    <x v="141"/>
    <x v="79"/>
    <x v="73"/>
    <x v="380"/>
    <x v="69"/>
    <x v="248"/>
    <x v="1"/>
  </r>
  <r>
    <x v="0"/>
    <x v="55"/>
    <x v="55"/>
    <x v="36"/>
    <x v="36"/>
    <x v="36"/>
    <x v="16"/>
    <x v="141"/>
    <x v="79"/>
    <x v="102"/>
    <x v="91"/>
    <x v="72"/>
    <x v="77"/>
    <x v="1"/>
  </r>
  <r>
    <x v="0"/>
    <x v="55"/>
    <x v="55"/>
    <x v="93"/>
    <x v="93"/>
    <x v="93"/>
    <x v="16"/>
    <x v="141"/>
    <x v="79"/>
    <x v="110"/>
    <x v="184"/>
    <x v="70"/>
    <x v="247"/>
    <x v="1"/>
  </r>
  <r>
    <x v="0"/>
    <x v="55"/>
    <x v="55"/>
    <x v="30"/>
    <x v="30"/>
    <x v="30"/>
    <x v="16"/>
    <x v="141"/>
    <x v="79"/>
    <x v="102"/>
    <x v="91"/>
    <x v="72"/>
    <x v="77"/>
    <x v="1"/>
  </r>
  <r>
    <x v="0"/>
    <x v="55"/>
    <x v="55"/>
    <x v="146"/>
    <x v="146"/>
    <x v="146"/>
    <x v="16"/>
    <x v="141"/>
    <x v="79"/>
    <x v="73"/>
    <x v="380"/>
    <x v="69"/>
    <x v="248"/>
    <x v="1"/>
  </r>
  <r>
    <x v="0"/>
    <x v="55"/>
    <x v="55"/>
    <x v="64"/>
    <x v="64"/>
    <x v="64"/>
    <x v="16"/>
    <x v="141"/>
    <x v="79"/>
    <x v="110"/>
    <x v="184"/>
    <x v="70"/>
    <x v="247"/>
    <x v="1"/>
  </r>
  <r>
    <x v="0"/>
    <x v="55"/>
    <x v="55"/>
    <x v="147"/>
    <x v="147"/>
    <x v="147"/>
    <x v="16"/>
    <x v="141"/>
    <x v="79"/>
    <x v="102"/>
    <x v="91"/>
    <x v="72"/>
    <x v="77"/>
    <x v="1"/>
  </r>
  <r>
    <x v="0"/>
    <x v="55"/>
    <x v="55"/>
    <x v="107"/>
    <x v="107"/>
    <x v="107"/>
    <x v="16"/>
    <x v="141"/>
    <x v="79"/>
    <x v="102"/>
    <x v="91"/>
    <x v="72"/>
    <x v="77"/>
    <x v="1"/>
  </r>
  <r>
    <x v="0"/>
    <x v="55"/>
    <x v="55"/>
    <x v="100"/>
    <x v="100"/>
    <x v="100"/>
    <x v="16"/>
    <x v="141"/>
    <x v="79"/>
    <x v="102"/>
    <x v="91"/>
    <x v="72"/>
    <x v="77"/>
    <x v="1"/>
  </r>
  <r>
    <x v="0"/>
    <x v="55"/>
    <x v="55"/>
    <x v="37"/>
    <x v="37"/>
    <x v="37"/>
    <x v="16"/>
    <x v="141"/>
    <x v="79"/>
    <x v="110"/>
    <x v="184"/>
    <x v="69"/>
    <x v="248"/>
    <x v="0"/>
  </r>
  <r>
    <x v="0"/>
    <x v="55"/>
    <x v="55"/>
    <x v="53"/>
    <x v="53"/>
    <x v="53"/>
    <x v="16"/>
    <x v="141"/>
    <x v="79"/>
    <x v="102"/>
    <x v="91"/>
    <x v="72"/>
    <x v="77"/>
    <x v="1"/>
  </r>
  <r>
    <x v="0"/>
    <x v="55"/>
    <x v="55"/>
    <x v="16"/>
    <x v="16"/>
    <x v="16"/>
    <x v="16"/>
    <x v="141"/>
    <x v="79"/>
    <x v="102"/>
    <x v="91"/>
    <x v="72"/>
    <x v="77"/>
    <x v="1"/>
  </r>
  <r>
    <x v="0"/>
    <x v="55"/>
    <x v="55"/>
    <x v="44"/>
    <x v="44"/>
    <x v="44"/>
    <x v="16"/>
    <x v="141"/>
    <x v="79"/>
    <x v="102"/>
    <x v="91"/>
    <x v="72"/>
    <x v="77"/>
    <x v="1"/>
  </r>
  <r>
    <x v="0"/>
    <x v="55"/>
    <x v="55"/>
    <x v="49"/>
    <x v="49"/>
    <x v="49"/>
    <x v="16"/>
    <x v="141"/>
    <x v="79"/>
    <x v="102"/>
    <x v="91"/>
    <x v="72"/>
    <x v="77"/>
    <x v="1"/>
  </r>
  <r>
    <x v="0"/>
    <x v="55"/>
    <x v="55"/>
    <x v="21"/>
    <x v="21"/>
    <x v="21"/>
    <x v="16"/>
    <x v="141"/>
    <x v="79"/>
    <x v="73"/>
    <x v="380"/>
    <x v="69"/>
    <x v="248"/>
    <x v="1"/>
  </r>
  <r>
    <x v="0"/>
    <x v="55"/>
    <x v="55"/>
    <x v="18"/>
    <x v="18"/>
    <x v="18"/>
    <x v="16"/>
    <x v="141"/>
    <x v="79"/>
    <x v="73"/>
    <x v="380"/>
    <x v="69"/>
    <x v="248"/>
    <x v="1"/>
  </r>
  <r>
    <x v="0"/>
    <x v="55"/>
    <x v="55"/>
    <x v="148"/>
    <x v="148"/>
    <x v="148"/>
    <x v="16"/>
    <x v="141"/>
    <x v="79"/>
    <x v="102"/>
    <x v="91"/>
    <x v="72"/>
    <x v="77"/>
    <x v="1"/>
  </r>
  <r>
    <x v="0"/>
    <x v="55"/>
    <x v="55"/>
    <x v="46"/>
    <x v="46"/>
    <x v="46"/>
    <x v="16"/>
    <x v="141"/>
    <x v="79"/>
    <x v="102"/>
    <x v="91"/>
    <x v="72"/>
    <x v="77"/>
    <x v="1"/>
  </r>
  <r>
    <x v="0"/>
    <x v="55"/>
    <x v="55"/>
    <x v="54"/>
    <x v="54"/>
    <x v="54"/>
    <x v="16"/>
    <x v="141"/>
    <x v="79"/>
    <x v="102"/>
    <x v="91"/>
    <x v="72"/>
    <x v="77"/>
    <x v="1"/>
  </r>
  <r>
    <x v="0"/>
    <x v="55"/>
    <x v="55"/>
    <x v="7"/>
    <x v="7"/>
    <x v="7"/>
    <x v="16"/>
    <x v="141"/>
    <x v="79"/>
    <x v="102"/>
    <x v="91"/>
    <x v="72"/>
    <x v="77"/>
    <x v="1"/>
  </r>
  <r>
    <x v="0"/>
    <x v="56"/>
    <x v="56"/>
    <x v="2"/>
    <x v="2"/>
    <x v="2"/>
    <x v="0"/>
    <x v="121"/>
    <x v="312"/>
    <x v="104"/>
    <x v="392"/>
    <x v="84"/>
    <x v="319"/>
    <x v="1"/>
  </r>
  <r>
    <x v="0"/>
    <x v="56"/>
    <x v="56"/>
    <x v="21"/>
    <x v="21"/>
    <x v="21"/>
    <x v="1"/>
    <x v="138"/>
    <x v="313"/>
    <x v="77"/>
    <x v="374"/>
    <x v="69"/>
    <x v="278"/>
    <x v="1"/>
  </r>
  <r>
    <x v="0"/>
    <x v="56"/>
    <x v="56"/>
    <x v="5"/>
    <x v="5"/>
    <x v="5"/>
    <x v="2"/>
    <x v="139"/>
    <x v="314"/>
    <x v="110"/>
    <x v="184"/>
    <x v="84"/>
    <x v="319"/>
    <x v="1"/>
  </r>
  <r>
    <x v="0"/>
    <x v="56"/>
    <x v="56"/>
    <x v="56"/>
    <x v="56"/>
    <x v="56"/>
    <x v="3"/>
    <x v="141"/>
    <x v="315"/>
    <x v="73"/>
    <x v="266"/>
    <x v="69"/>
    <x v="278"/>
    <x v="1"/>
  </r>
  <r>
    <x v="0"/>
    <x v="56"/>
    <x v="56"/>
    <x v="52"/>
    <x v="52"/>
    <x v="52"/>
    <x v="3"/>
    <x v="141"/>
    <x v="315"/>
    <x v="73"/>
    <x v="266"/>
    <x v="69"/>
    <x v="278"/>
    <x v="1"/>
  </r>
  <r>
    <x v="0"/>
    <x v="56"/>
    <x v="56"/>
    <x v="9"/>
    <x v="9"/>
    <x v="9"/>
    <x v="3"/>
    <x v="141"/>
    <x v="315"/>
    <x v="73"/>
    <x v="266"/>
    <x v="69"/>
    <x v="278"/>
    <x v="1"/>
  </r>
  <r>
    <x v="0"/>
    <x v="56"/>
    <x v="56"/>
    <x v="46"/>
    <x v="46"/>
    <x v="46"/>
    <x v="3"/>
    <x v="141"/>
    <x v="315"/>
    <x v="110"/>
    <x v="184"/>
    <x v="70"/>
    <x v="320"/>
    <x v="1"/>
  </r>
  <r>
    <x v="0"/>
    <x v="56"/>
    <x v="56"/>
    <x v="78"/>
    <x v="78"/>
    <x v="78"/>
    <x v="7"/>
    <x v="142"/>
    <x v="316"/>
    <x v="110"/>
    <x v="184"/>
    <x v="69"/>
    <x v="278"/>
    <x v="1"/>
  </r>
  <r>
    <x v="0"/>
    <x v="56"/>
    <x v="56"/>
    <x v="12"/>
    <x v="12"/>
    <x v="12"/>
    <x v="7"/>
    <x v="142"/>
    <x v="316"/>
    <x v="110"/>
    <x v="184"/>
    <x v="69"/>
    <x v="278"/>
    <x v="1"/>
  </r>
  <r>
    <x v="0"/>
    <x v="56"/>
    <x v="56"/>
    <x v="35"/>
    <x v="35"/>
    <x v="35"/>
    <x v="7"/>
    <x v="142"/>
    <x v="316"/>
    <x v="110"/>
    <x v="184"/>
    <x v="69"/>
    <x v="278"/>
    <x v="1"/>
  </r>
  <r>
    <x v="0"/>
    <x v="56"/>
    <x v="56"/>
    <x v="149"/>
    <x v="149"/>
    <x v="149"/>
    <x v="7"/>
    <x v="142"/>
    <x v="316"/>
    <x v="73"/>
    <x v="266"/>
    <x v="72"/>
    <x v="77"/>
    <x v="1"/>
  </r>
  <r>
    <x v="0"/>
    <x v="56"/>
    <x v="56"/>
    <x v="67"/>
    <x v="67"/>
    <x v="67"/>
    <x v="7"/>
    <x v="142"/>
    <x v="316"/>
    <x v="110"/>
    <x v="184"/>
    <x v="72"/>
    <x v="77"/>
    <x v="1"/>
  </r>
  <r>
    <x v="0"/>
    <x v="56"/>
    <x v="56"/>
    <x v="142"/>
    <x v="142"/>
    <x v="142"/>
    <x v="7"/>
    <x v="142"/>
    <x v="316"/>
    <x v="110"/>
    <x v="184"/>
    <x v="69"/>
    <x v="278"/>
    <x v="1"/>
  </r>
  <r>
    <x v="0"/>
    <x v="56"/>
    <x v="56"/>
    <x v="51"/>
    <x v="51"/>
    <x v="51"/>
    <x v="7"/>
    <x v="142"/>
    <x v="316"/>
    <x v="110"/>
    <x v="184"/>
    <x v="69"/>
    <x v="278"/>
    <x v="1"/>
  </r>
  <r>
    <x v="0"/>
    <x v="56"/>
    <x v="56"/>
    <x v="40"/>
    <x v="40"/>
    <x v="40"/>
    <x v="7"/>
    <x v="142"/>
    <x v="316"/>
    <x v="110"/>
    <x v="184"/>
    <x v="69"/>
    <x v="278"/>
    <x v="1"/>
  </r>
  <r>
    <x v="0"/>
    <x v="56"/>
    <x v="56"/>
    <x v="16"/>
    <x v="16"/>
    <x v="16"/>
    <x v="7"/>
    <x v="142"/>
    <x v="316"/>
    <x v="110"/>
    <x v="184"/>
    <x v="69"/>
    <x v="278"/>
    <x v="1"/>
  </r>
  <r>
    <x v="0"/>
    <x v="56"/>
    <x v="56"/>
    <x v="42"/>
    <x v="42"/>
    <x v="42"/>
    <x v="7"/>
    <x v="142"/>
    <x v="316"/>
    <x v="110"/>
    <x v="184"/>
    <x v="69"/>
    <x v="278"/>
    <x v="1"/>
  </r>
  <r>
    <x v="0"/>
    <x v="56"/>
    <x v="56"/>
    <x v="150"/>
    <x v="150"/>
    <x v="150"/>
    <x v="7"/>
    <x v="142"/>
    <x v="316"/>
    <x v="110"/>
    <x v="184"/>
    <x v="69"/>
    <x v="278"/>
    <x v="1"/>
  </r>
  <r>
    <x v="0"/>
    <x v="56"/>
    <x v="56"/>
    <x v="15"/>
    <x v="15"/>
    <x v="15"/>
    <x v="7"/>
    <x v="142"/>
    <x v="316"/>
    <x v="110"/>
    <x v="184"/>
    <x v="72"/>
    <x v="77"/>
    <x v="1"/>
  </r>
  <r>
    <x v="0"/>
    <x v="56"/>
    <x v="56"/>
    <x v="62"/>
    <x v="62"/>
    <x v="62"/>
    <x v="7"/>
    <x v="142"/>
    <x v="316"/>
    <x v="73"/>
    <x v="266"/>
    <x v="72"/>
    <x v="77"/>
    <x v="1"/>
  </r>
  <r>
    <x v="0"/>
    <x v="56"/>
    <x v="56"/>
    <x v="3"/>
    <x v="3"/>
    <x v="3"/>
    <x v="7"/>
    <x v="142"/>
    <x v="316"/>
    <x v="73"/>
    <x v="266"/>
    <x v="72"/>
    <x v="77"/>
    <x v="1"/>
  </r>
  <r>
    <x v="0"/>
    <x v="56"/>
    <x v="56"/>
    <x v="4"/>
    <x v="4"/>
    <x v="4"/>
    <x v="7"/>
    <x v="142"/>
    <x v="316"/>
    <x v="73"/>
    <x v="266"/>
    <x v="72"/>
    <x v="77"/>
    <x v="1"/>
  </r>
  <r>
    <x v="0"/>
    <x v="56"/>
    <x v="56"/>
    <x v="1"/>
    <x v="1"/>
    <x v="1"/>
    <x v="7"/>
    <x v="142"/>
    <x v="316"/>
    <x v="73"/>
    <x v="266"/>
    <x v="72"/>
    <x v="77"/>
    <x v="1"/>
  </r>
  <r>
    <x v="0"/>
    <x v="56"/>
    <x v="56"/>
    <x v="54"/>
    <x v="54"/>
    <x v="54"/>
    <x v="7"/>
    <x v="142"/>
    <x v="316"/>
    <x v="110"/>
    <x v="184"/>
    <x v="69"/>
    <x v="278"/>
    <x v="1"/>
  </r>
  <r>
    <x v="0"/>
    <x v="56"/>
    <x v="56"/>
    <x v="55"/>
    <x v="55"/>
    <x v="55"/>
    <x v="7"/>
    <x v="142"/>
    <x v="316"/>
    <x v="110"/>
    <x v="184"/>
    <x v="69"/>
    <x v="278"/>
    <x v="1"/>
  </r>
  <r>
    <x v="0"/>
    <x v="57"/>
    <x v="57"/>
    <x v="5"/>
    <x v="5"/>
    <x v="5"/>
    <x v="0"/>
    <x v="133"/>
    <x v="317"/>
    <x v="102"/>
    <x v="345"/>
    <x v="42"/>
    <x v="321"/>
    <x v="1"/>
  </r>
  <r>
    <x v="0"/>
    <x v="57"/>
    <x v="57"/>
    <x v="1"/>
    <x v="1"/>
    <x v="1"/>
    <x v="0"/>
    <x v="133"/>
    <x v="317"/>
    <x v="70"/>
    <x v="393"/>
    <x v="72"/>
    <x v="77"/>
    <x v="1"/>
  </r>
  <r>
    <x v="0"/>
    <x v="57"/>
    <x v="57"/>
    <x v="13"/>
    <x v="13"/>
    <x v="13"/>
    <x v="2"/>
    <x v="140"/>
    <x v="318"/>
    <x v="102"/>
    <x v="345"/>
    <x v="78"/>
    <x v="222"/>
    <x v="1"/>
  </r>
  <r>
    <x v="0"/>
    <x v="57"/>
    <x v="57"/>
    <x v="17"/>
    <x v="17"/>
    <x v="17"/>
    <x v="2"/>
    <x v="140"/>
    <x v="318"/>
    <x v="101"/>
    <x v="394"/>
    <x v="69"/>
    <x v="15"/>
    <x v="1"/>
  </r>
  <r>
    <x v="0"/>
    <x v="57"/>
    <x v="57"/>
    <x v="12"/>
    <x v="12"/>
    <x v="12"/>
    <x v="4"/>
    <x v="137"/>
    <x v="234"/>
    <x v="102"/>
    <x v="345"/>
    <x v="84"/>
    <x v="225"/>
    <x v="1"/>
  </r>
  <r>
    <x v="0"/>
    <x v="57"/>
    <x v="57"/>
    <x v="42"/>
    <x v="42"/>
    <x v="42"/>
    <x v="4"/>
    <x v="137"/>
    <x v="234"/>
    <x v="77"/>
    <x v="83"/>
    <x v="70"/>
    <x v="228"/>
    <x v="1"/>
  </r>
  <r>
    <x v="0"/>
    <x v="57"/>
    <x v="57"/>
    <x v="7"/>
    <x v="7"/>
    <x v="7"/>
    <x v="4"/>
    <x v="137"/>
    <x v="234"/>
    <x v="101"/>
    <x v="394"/>
    <x v="72"/>
    <x v="77"/>
    <x v="1"/>
  </r>
  <r>
    <x v="0"/>
    <x v="57"/>
    <x v="57"/>
    <x v="56"/>
    <x v="56"/>
    <x v="56"/>
    <x v="7"/>
    <x v="138"/>
    <x v="246"/>
    <x v="73"/>
    <x v="395"/>
    <x v="84"/>
    <x v="225"/>
    <x v="1"/>
  </r>
  <r>
    <x v="0"/>
    <x v="57"/>
    <x v="57"/>
    <x v="124"/>
    <x v="124"/>
    <x v="124"/>
    <x v="7"/>
    <x v="138"/>
    <x v="246"/>
    <x v="102"/>
    <x v="345"/>
    <x v="70"/>
    <x v="228"/>
    <x v="1"/>
  </r>
  <r>
    <x v="0"/>
    <x v="57"/>
    <x v="57"/>
    <x v="22"/>
    <x v="22"/>
    <x v="22"/>
    <x v="7"/>
    <x v="138"/>
    <x v="246"/>
    <x v="76"/>
    <x v="396"/>
    <x v="72"/>
    <x v="77"/>
    <x v="1"/>
  </r>
  <r>
    <x v="0"/>
    <x v="57"/>
    <x v="57"/>
    <x v="23"/>
    <x v="23"/>
    <x v="23"/>
    <x v="7"/>
    <x v="138"/>
    <x v="246"/>
    <x v="102"/>
    <x v="345"/>
    <x v="72"/>
    <x v="77"/>
    <x v="2"/>
  </r>
  <r>
    <x v="0"/>
    <x v="57"/>
    <x v="57"/>
    <x v="38"/>
    <x v="38"/>
    <x v="38"/>
    <x v="7"/>
    <x v="138"/>
    <x v="246"/>
    <x v="102"/>
    <x v="345"/>
    <x v="70"/>
    <x v="228"/>
    <x v="1"/>
  </r>
  <r>
    <x v="0"/>
    <x v="57"/>
    <x v="57"/>
    <x v="3"/>
    <x v="3"/>
    <x v="3"/>
    <x v="7"/>
    <x v="138"/>
    <x v="246"/>
    <x v="73"/>
    <x v="395"/>
    <x v="84"/>
    <x v="225"/>
    <x v="1"/>
  </r>
  <r>
    <x v="0"/>
    <x v="57"/>
    <x v="57"/>
    <x v="4"/>
    <x v="4"/>
    <x v="4"/>
    <x v="7"/>
    <x v="138"/>
    <x v="246"/>
    <x v="76"/>
    <x v="396"/>
    <x v="72"/>
    <x v="77"/>
    <x v="1"/>
  </r>
  <r>
    <x v="0"/>
    <x v="57"/>
    <x v="57"/>
    <x v="11"/>
    <x v="11"/>
    <x v="11"/>
    <x v="7"/>
    <x v="138"/>
    <x v="246"/>
    <x v="76"/>
    <x v="396"/>
    <x v="72"/>
    <x v="77"/>
    <x v="1"/>
  </r>
  <r>
    <x v="0"/>
    <x v="57"/>
    <x v="57"/>
    <x v="16"/>
    <x v="16"/>
    <x v="16"/>
    <x v="15"/>
    <x v="139"/>
    <x v="263"/>
    <x v="77"/>
    <x v="83"/>
    <x v="72"/>
    <x v="77"/>
    <x v="1"/>
  </r>
  <r>
    <x v="0"/>
    <x v="57"/>
    <x v="57"/>
    <x v="9"/>
    <x v="9"/>
    <x v="9"/>
    <x v="15"/>
    <x v="139"/>
    <x v="263"/>
    <x v="77"/>
    <x v="83"/>
    <x v="72"/>
    <x v="77"/>
    <x v="1"/>
  </r>
  <r>
    <x v="0"/>
    <x v="57"/>
    <x v="57"/>
    <x v="14"/>
    <x v="14"/>
    <x v="14"/>
    <x v="15"/>
    <x v="139"/>
    <x v="263"/>
    <x v="102"/>
    <x v="345"/>
    <x v="69"/>
    <x v="15"/>
    <x v="1"/>
  </r>
  <r>
    <x v="0"/>
    <x v="57"/>
    <x v="57"/>
    <x v="24"/>
    <x v="24"/>
    <x v="24"/>
    <x v="15"/>
    <x v="139"/>
    <x v="263"/>
    <x v="77"/>
    <x v="83"/>
    <x v="72"/>
    <x v="77"/>
    <x v="1"/>
  </r>
  <r>
    <x v="0"/>
    <x v="57"/>
    <x v="57"/>
    <x v="112"/>
    <x v="112"/>
    <x v="112"/>
    <x v="19"/>
    <x v="141"/>
    <x v="18"/>
    <x v="102"/>
    <x v="345"/>
    <x v="72"/>
    <x v="77"/>
    <x v="1"/>
  </r>
  <r>
    <x v="0"/>
    <x v="57"/>
    <x v="57"/>
    <x v="87"/>
    <x v="87"/>
    <x v="87"/>
    <x v="19"/>
    <x v="141"/>
    <x v="18"/>
    <x v="73"/>
    <x v="395"/>
    <x v="69"/>
    <x v="15"/>
    <x v="1"/>
  </r>
  <r>
    <x v="0"/>
    <x v="57"/>
    <x v="57"/>
    <x v="19"/>
    <x v="19"/>
    <x v="19"/>
    <x v="19"/>
    <x v="141"/>
    <x v="18"/>
    <x v="110"/>
    <x v="184"/>
    <x v="70"/>
    <x v="228"/>
    <x v="1"/>
  </r>
  <r>
    <x v="0"/>
    <x v="57"/>
    <x v="57"/>
    <x v="144"/>
    <x v="144"/>
    <x v="144"/>
    <x v="19"/>
    <x v="141"/>
    <x v="18"/>
    <x v="73"/>
    <x v="395"/>
    <x v="69"/>
    <x v="15"/>
    <x v="1"/>
  </r>
  <r>
    <x v="0"/>
    <x v="57"/>
    <x v="57"/>
    <x v="98"/>
    <x v="98"/>
    <x v="98"/>
    <x v="19"/>
    <x v="141"/>
    <x v="18"/>
    <x v="110"/>
    <x v="184"/>
    <x v="70"/>
    <x v="228"/>
    <x v="1"/>
  </r>
  <r>
    <x v="0"/>
    <x v="57"/>
    <x v="57"/>
    <x v="102"/>
    <x v="102"/>
    <x v="102"/>
    <x v="19"/>
    <x v="141"/>
    <x v="18"/>
    <x v="73"/>
    <x v="395"/>
    <x v="69"/>
    <x v="15"/>
    <x v="1"/>
  </r>
  <r>
    <x v="0"/>
    <x v="57"/>
    <x v="57"/>
    <x v="53"/>
    <x v="53"/>
    <x v="53"/>
    <x v="19"/>
    <x v="141"/>
    <x v="18"/>
    <x v="102"/>
    <x v="345"/>
    <x v="72"/>
    <x v="77"/>
    <x v="1"/>
  </r>
  <r>
    <x v="0"/>
    <x v="57"/>
    <x v="57"/>
    <x v="31"/>
    <x v="31"/>
    <x v="31"/>
    <x v="19"/>
    <x v="141"/>
    <x v="18"/>
    <x v="73"/>
    <x v="395"/>
    <x v="69"/>
    <x v="15"/>
    <x v="1"/>
  </r>
  <r>
    <x v="0"/>
    <x v="57"/>
    <x v="57"/>
    <x v="151"/>
    <x v="151"/>
    <x v="151"/>
    <x v="19"/>
    <x v="141"/>
    <x v="18"/>
    <x v="73"/>
    <x v="395"/>
    <x v="69"/>
    <x v="15"/>
    <x v="1"/>
  </r>
  <r>
    <x v="0"/>
    <x v="57"/>
    <x v="57"/>
    <x v="152"/>
    <x v="152"/>
    <x v="152"/>
    <x v="19"/>
    <x v="141"/>
    <x v="18"/>
    <x v="102"/>
    <x v="345"/>
    <x v="72"/>
    <x v="77"/>
    <x v="1"/>
  </r>
  <r>
    <x v="0"/>
    <x v="57"/>
    <x v="57"/>
    <x v="62"/>
    <x v="62"/>
    <x v="62"/>
    <x v="19"/>
    <x v="141"/>
    <x v="18"/>
    <x v="102"/>
    <x v="345"/>
    <x v="72"/>
    <x v="77"/>
    <x v="1"/>
  </r>
  <r>
    <x v="0"/>
    <x v="57"/>
    <x v="57"/>
    <x v="6"/>
    <x v="6"/>
    <x v="6"/>
    <x v="19"/>
    <x v="141"/>
    <x v="18"/>
    <x v="102"/>
    <x v="345"/>
    <x v="72"/>
    <x v="77"/>
    <x v="1"/>
  </r>
  <r>
    <x v="0"/>
    <x v="57"/>
    <x v="57"/>
    <x v="26"/>
    <x v="26"/>
    <x v="26"/>
    <x v="19"/>
    <x v="141"/>
    <x v="18"/>
    <x v="102"/>
    <x v="345"/>
    <x v="72"/>
    <x v="77"/>
    <x v="1"/>
  </r>
  <r>
    <x v="0"/>
    <x v="57"/>
    <x v="57"/>
    <x v="34"/>
    <x v="34"/>
    <x v="34"/>
    <x v="19"/>
    <x v="141"/>
    <x v="18"/>
    <x v="102"/>
    <x v="345"/>
    <x v="72"/>
    <x v="77"/>
    <x v="1"/>
  </r>
  <r>
    <x v="0"/>
    <x v="57"/>
    <x v="57"/>
    <x v="132"/>
    <x v="132"/>
    <x v="132"/>
    <x v="19"/>
    <x v="141"/>
    <x v="18"/>
    <x v="110"/>
    <x v="184"/>
    <x v="70"/>
    <x v="228"/>
    <x v="1"/>
  </r>
  <r>
    <x v="0"/>
    <x v="58"/>
    <x v="58"/>
    <x v="2"/>
    <x v="2"/>
    <x v="2"/>
    <x v="0"/>
    <x v="104"/>
    <x v="285"/>
    <x v="91"/>
    <x v="397"/>
    <x v="78"/>
    <x v="110"/>
    <x v="1"/>
  </r>
  <r>
    <x v="0"/>
    <x v="58"/>
    <x v="58"/>
    <x v="12"/>
    <x v="12"/>
    <x v="12"/>
    <x v="1"/>
    <x v="106"/>
    <x v="319"/>
    <x v="90"/>
    <x v="187"/>
    <x v="60"/>
    <x v="322"/>
    <x v="1"/>
  </r>
  <r>
    <x v="0"/>
    <x v="58"/>
    <x v="58"/>
    <x v="1"/>
    <x v="1"/>
    <x v="1"/>
    <x v="2"/>
    <x v="82"/>
    <x v="320"/>
    <x v="78"/>
    <x v="398"/>
    <x v="72"/>
    <x v="77"/>
    <x v="1"/>
  </r>
  <r>
    <x v="0"/>
    <x v="58"/>
    <x v="58"/>
    <x v="5"/>
    <x v="5"/>
    <x v="5"/>
    <x v="3"/>
    <x v="112"/>
    <x v="321"/>
    <x v="74"/>
    <x v="242"/>
    <x v="75"/>
    <x v="323"/>
    <x v="1"/>
  </r>
  <r>
    <x v="0"/>
    <x v="58"/>
    <x v="58"/>
    <x v="3"/>
    <x v="3"/>
    <x v="3"/>
    <x v="4"/>
    <x v="122"/>
    <x v="322"/>
    <x v="52"/>
    <x v="399"/>
    <x v="78"/>
    <x v="110"/>
    <x v="1"/>
  </r>
  <r>
    <x v="0"/>
    <x v="58"/>
    <x v="58"/>
    <x v="26"/>
    <x v="26"/>
    <x v="26"/>
    <x v="4"/>
    <x v="122"/>
    <x v="322"/>
    <x v="79"/>
    <x v="400"/>
    <x v="69"/>
    <x v="179"/>
    <x v="1"/>
  </r>
  <r>
    <x v="0"/>
    <x v="58"/>
    <x v="58"/>
    <x v="13"/>
    <x v="13"/>
    <x v="13"/>
    <x v="6"/>
    <x v="124"/>
    <x v="191"/>
    <x v="77"/>
    <x v="221"/>
    <x v="44"/>
    <x v="324"/>
    <x v="1"/>
  </r>
  <r>
    <x v="0"/>
    <x v="58"/>
    <x v="58"/>
    <x v="23"/>
    <x v="23"/>
    <x v="23"/>
    <x v="6"/>
    <x v="124"/>
    <x v="191"/>
    <x v="70"/>
    <x v="169"/>
    <x v="70"/>
    <x v="1"/>
    <x v="1"/>
  </r>
  <r>
    <x v="0"/>
    <x v="58"/>
    <x v="58"/>
    <x v="16"/>
    <x v="16"/>
    <x v="16"/>
    <x v="6"/>
    <x v="124"/>
    <x v="191"/>
    <x v="101"/>
    <x v="107"/>
    <x v="60"/>
    <x v="322"/>
    <x v="1"/>
  </r>
  <r>
    <x v="0"/>
    <x v="58"/>
    <x v="58"/>
    <x v="9"/>
    <x v="9"/>
    <x v="9"/>
    <x v="6"/>
    <x v="124"/>
    <x v="191"/>
    <x v="74"/>
    <x v="242"/>
    <x v="78"/>
    <x v="110"/>
    <x v="1"/>
  </r>
  <r>
    <x v="0"/>
    <x v="58"/>
    <x v="58"/>
    <x v="6"/>
    <x v="6"/>
    <x v="6"/>
    <x v="6"/>
    <x v="124"/>
    <x v="191"/>
    <x v="80"/>
    <x v="401"/>
    <x v="69"/>
    <x v="179"/>
    <x v="1"/>
  </r>
  <r>
    <x v="0"/>
    <x v="58"/>
    <x v="58"/>
    <x v="4"/>
    <x v="4"/>
    <x v="4"/>
    <x v="11"/>
    <x v="126"/>
    <x v="161"/>
    <x v="80"/>
    <x v="401"/>
    <x v="72"/>
    <x v="77"/>
    <x v="1"/>
  </r>
  <r>
    <x v="0"/>
    <x v="58"/>
    <x v="58"/>
    <x v="60"/>
    <x v="60"/>
    <x v="60"/>
    <x v="12"/>
    <x v="133"/>
    <x v="12"/>
    <x v="110"/>
    <x v="184"/>
    <x v="25"/>
    <x v="325"/>
    <x v="1"/>
  </r>
  <r>
    <x v="0"/>
    <x v="58"/>
    <x v="58"/>
    <x v="46"/>
    <x v="46"/>
    <x v="46"/>
    <x v="12"/>
    <x v="133"/>
    <x v="12"/>
    <x v="76"/>
    <x v="68"/>
    <x v="56"/>
    <x v="143"/>
    <x v="1"/>
  </r>
  <r>
    <x v="0"/>
    <x v="58"/>
    <x v="58"/>
    <x v="7"/>
    <x v="7"/>
    <x v="7"/>
    <x v="12"/>
    <x v="133"/>
    <x v="12"/>
    <x v="81"/>
    <x v="264"/>
    <x v="69"/>
    <x v="179"/>
    <x v="1"/>
  </r>
  <r>
    <x v="0"/>
    <x v="58"/>
    <x v="58"/>
    <x v="14"/>
    <x v="14"/>
    <x v="14"/>
    <x v="15"/>
    <x v="143"/>
    <x v="137"/>
    <x v="75"/>
    <x v="220"/>
    <x v="70"/>
    <x v="1"/>
    <x v="1"/>
  </r>
  <r>
    <x v="0"/>
    <x v="58"/>
    <x v="58"/>
    <x v="40"/>
    <x v="40"/>
    <x v="40"/>
    <x v="16"/>
    <x v="136"/>
    <x v="226"/>
    <x v="75"/>
    <x v="220"/>
    <x v="69"/>
    <x v="179"/>
    <x v="1"/>
  </r>
  <r>
    <x v="0"/>
    <x v="58"/>
    <x v="58"/>
    <x v="10"/>
    <x v="10"/>
    <x v="10"/>
    <x v="16"/>
    <x v="136"/>
    <x v="226"/>
    <x v="102"/>
    <x v="235"/>
    <x v="56"/>
    <x v="143"/>
    <x v="1"/>
  </r>
  <r>
    <x v="0"/>
    <x v="58"/>
    <x v="58"/>
    <x v="49"/>
    <x v="49"/>
    <x v="49"/>
    <x v="16"/>
    <x v="136"/>
    <x v="226"/>
    <x v="75"/>
    <x v="220"/>
    <x v="69"/>
    <x v="179"/>
    <x v="1"/>
  </r>
  <r>
    <x v="0"/>
    <x v="58"/>
    <x v="58"/>
    <x v="42"/>
    <x v="42"/>
    <x v="42"/>
    <x v="16"/>
    <x v="136"/>
    <x v="226"/>
    <x v="102"/>
    <x v="235"/>
    <x v="56"/>
    <x v="143"/>
    <x v="1"/>
  </r>
  <r>
    <x v="0"/>
    <x v="58"/>
    <x v="58"/>
    <x v="8"/>
    <x v="8"/>
    <x v="8"/>
    <x v="16"/>
    <x v="136"/>
    <x v="226"/>
    <x v="74"/>
    <x v="242"/>
    <x v="72"/>
    <x v="77"/>
    <x v="1"/>
  </r>
  <r>
    <x v="0"/>
    <x v="59"/>
    <x v="59"/>
    <x v="5"/>
    <x v="5"/>
    <x v="5"/>
    <x v="0"/>
    <x v="136"/>
    <x v="323"/>
    <x v="102"/>
    <x v="236"/>
    <x v="56"/>
    <x v="326"/>
    <x v="1"/>
  </r>
  <r>
    <x v="0"/>
    <x v="59"/>
    <x v="59"/>
    <x v="1"/>
    <x v="1"/>
    <x v="1"/>
    <x v="1"/>
    <x v="137"/>
    <x v="87"/>
    <x v="101"/>
    <x v="402"/>
    <x v="72"/>
    <x v="77"/>
    <x v="1"/>
  </r>
  <r>
    <x v="0"/>
    <x v="59"/>
    <x v="59"/>
    <x v="11"/>
    <x v="11"/>
    <x v="11"/>
    <x v="1"/>
    <x v="137"/>
    <x v="87"/>
    <x v="101"/>
    <x v="402"/>
    <x v="72"/>
    <x v="77"/>
    <x v="1"/>
  </r>
  <r>
    <x v="0"/>
    <x v="59"/>
    <x v="59"/>
    <x v="19"/>
    <x v="19"/>
    <x v="19"/>
    <x v="3"/>
    <x v="138"/>
    <x v="324"/>
    <x v="110"/>
    <x v="184"/>
    <x v="78"/>
    <x v="219"/>
    <x v="1"/>
  </r>
  <r>
    <x v="0"/>
    <x v="59"/>
    <x v="59"/>
    <x v="10"/>
    <x v="10"/>
    <x v="10"/>
    <x v="3"/>
    <x v="138"/>
    <x v="324"/>
    <x v="76"/>
    <x v="172"/>
    <x v="72"/>
    <x v="77"/>
    <x v="1"/>
  </r>
  <r>
    <x v="0"/>
    <x v="59"/>
    <x v="59"/>
    <x v="4"/>
    <x v="4"/>
    <x v="4"/>
    <x v="3"/>
    <x v="138"/>
    <x v="324"/>
    <x v="76"/>
    <x v="172"/>
    <x v="72"/>
    <x v="77"/>
    <x v="1"/>
  </r>
  <r>
    <x v="0"/>
    <x v="59"/>
    <x v="59"/>
    <x v="9"/>
    <x v="9"/>
    <x v="9"/>
    <x v="6"/>
    <x v="139"/>
    <x v="266"/>
    <x v="102"/>
    <x v="236"/>
    <x v="69"/>
    <x v="218"/>
    <x v="1"/>
  </r>
  <r>
    <x v="0"/>
    <x v="59"/>
    <x v="59"/>
    <x v="14"/>
    <x v="14"/>
    <x v="14"/>
    <x v="6"/>
    <x v="139"/>
    <x v="266"/>
    <x v="77"/>
    <x v="260"/>
    <x v="72"/>
    <x v="77"/>
    <x v="1"/>
  </r>
  <r>
    <x v="0"/>
    <x v="59"/>
    <x v="59"/>
    <x v="26"/>
    <x v="26"/>
    <x v="26"/>
    <x v="6"/>
    <x v="139"/>
    <x v="266"/>
    <x v="77"/>
    <x v="260"/>
    <x v="72"/>
    <x v="77"/>
    <x v="1"/>
  </r>
  <r>
    <x v="0"/>
    <x v="59"/>
    <x v="59"/>
    <x v="34"/>
    <x v="34"/>
    <x v="34"/>
    <x v="6"/>
    <x v="139"/>
    <x v="266"/>
    <x v="77"/>
    <x v="260"/>
    <x v="72"/>
    <x v="77"/>
    <x v="1"/>
  </r>
  <r>
    <x v="0"/>
    <x v="59"/>
    <x v="59"/>
    <x v="87"/>
    <x v="87"/>
    <x v="87"/>
    <x v="10"/>
    <x v="141"/>
    <x v="223"/>
    <x v="73"/>
    <x v="261"/>
    <x v="69"/>
    <x v="218"/>
    <x v="1"/>
  </r>
  <r>
    <x v="0"/>
    <x v="59"/>
    <x v="59"/>
    <x v="22"/>
    <x v="22"/>
    <x v="22"/>
    <x v="10"/>
    <x v="141"/>
    <x v="223"/>
    <x v="73"/>
    <x v="261"/>
    <x v="69"/>
    <x v="218"/>
    <x v="1"/>
  </r>
  <r>
    <x v="0"/>
    <x v="59"/>
    <x v="59"/>
    <x v="16"/>
    <x v="16"/>
    <x v="16"/>
    <x v="10"/>
    <x v="141"/>
    <x v="223"/>
    <x v="110"/>
    <x v="184"/>
    <x v="69"/>
    <x v="218"/>
    <x v="0"/>
  </r>
  <r>
    <x v="0"/>
    <x v="59"/>
    <x v="59"/>
    <x v="31"/>
    <x v="31"/>
    <x v="31"/>
    <x v="10"/>
    <x v="141"/>
    <x v="223"/>
    <x v="102"/>
    <x v="236"/>
    <x v="72"/>
    <x v="77"/>
    <x v="1"/>
  </r>
  <r>
    <x v="0"/>
    <x v="59"/>
    <x v="59"/>
    <x v="69"/>
    <x v="69"/>
    <x v="69"/>
    <x v="10"/>
    <x v="141"/>
    <x v="223"/>
    <x v="102"/>
    <x v="236"/>
    <x v="72"/>
    <x v="77"/>
    <x v="1"/>
  </r>
  <r>
    <x v="0"/>
    <x v="59"/>
    <x v="59"/>
    <x v="6"/>
    <x v="6"/>
    <x v="6"/>
    <x v="10"/>
    <x v="141"/>
    <x v="223"/>
    <x v="102"/>
    <x v="236"/>
    <x v="72"/>
    <x v="77"/>
    <x v="1"/>
  </r>
  <r>
    <x v="0"/>
    <x v="59"/>
    <x v="59"/>
    <x v="97"/>
    <x v="97"/>
    <x v="97"/>
    <x v="10"/>
    <x v="141"/>
    <x v="223"/>
    <x v="110"/>
    <x v="184"/>
    <x v="72"/>
    <x v="77"/>
    <x v="1"/>
  </r>
  <r>
    <x v="0"/>
    <x v="59"/>
    <x v="59"/>
    <x v="113"/>
    <x v="113"/>
    <x v="113"/>
    <x v="17"/>
    <x v="142"/>
    <x v="325"/>
    <x v="110"/>
    <x v="184"/>
    <x v="69"/>
    <x v="218"/>
    <x v="1"/>
  </r>
  <r>
    <x v="0"/>
    <x v="59"/>
    <x v="59"/>
    <x v="13"/>
    <x v="13"/>
    <x v="13"/>
    <x v="17"/>
    <x v="142"/>
    <x v="325"/>
    <x v="110"/>
    <x v="184"/>
    <x v="69"/>
    <x v="218"/>
    <x v="1"/>
  </r>
  <r>
    <x v="0"/>
    <x v="59"/>
    <x v="59"/>
    <x v="12"/>
    <x v="12"/>
    <x v="12"/>
    <x v="17"/>
    <x v="142"/>
    <x v="325"/>
    <x v="110"/>
    <x v="184"/>
    <x v="69"/>
    <x v="218"/>
    <x v="1"/>
  </r>
  <r>
    <x v="0"/>
    <x v="59"/>
    <x v="59"/>
    <x v="36"/>
    <x v="36"/>
    <x v="36"/>
    <x v="17"/>
    <x v="142"/>
    <x v="325"/>
    <x v="73"/>
    <x v="261"/>
    <x v="72"/>
    <x v="77"/>
    <x v="1"/>
  </r>
  <r>
    <x v="0"/>
    <x v="59"/>
    <x v="59"/>
    <x v="50"/>
    <x v="50"/>
    <x v="50"/>
    <x v="17"/>
    <x v="142"/>
    <x v="325"/>
    <x v="73"/>
    <x v="261"/>
    <x v="72"/>
    <x v="77"/>
    <x v="1"/>
  </r>
  <r>
    <x v="0"/>
    <x v="59"/>
    <x v="59"/>
    <x v="30"/>
    <x v="30"/>
    <x v="30"/>
    <x v="17"/>
    <x v="142"/>
    <x v="325"/>
    <x v="73"/>
    <x v="261"/>
    <x v="72"/>
    <x v="77"/>
    <x v="1"/>
  </r>
  <r>
    <x v="0"/>
    <x v="59"/>
    <x v="59"/>
    <x v="17"/>
    <x v="17"/>
    <x v="17"/>
    <x v="17"/>
    <x v="142"/>
    <x v="325"/>
    <x v="73"/>
    <x v="261"/>
    <x v="72"/>
    <x v="77"/>
    <x v="1"/>
  </r>
  <r>
    <x v="0"/>
    <x v="59"/>
    <x v="59"/>
    <x v="139"/>
    <x v="139"/>
    <x v="139"/>
    <x v="17"/>
    <x v="142"/>
    <x v="325"/>
    <x v="110"/>
    <x v="184"/>
    <x v="69"/>
    <x v="218"/>
    <x v="1"/>
  </r>
  <r>
    <x v="0"/>
    <x v="59"/>
    <x v="59"/>
    <x v="88"/>
    <x v="88"/>
    <x v="88"/>
    <x v="17"/>
    <x v="142"/>
    <x v="325"/>
    <x v="110"/>
    <x v="184"/>
    <x v="69"/>
    <x v="218"/>
    <x v="1"/>
  </r>
  <r>
    <x v="0"/>
    <x v="59"/>
    <x v="59"/>
    <x v="146"/>
    <x v="146"/>
    <x v="146"/>
    <x v="17"/>
    <x v="142"/>
    <x v="325"/>
    <x v="73"/>
    <x v="261"/>
    <x v="72"/>
    <x v="77"/>
    <x v="1"/>
  </r>
  <r>
    <x v="0"/>
    <x v="59"/>
    <x v="59"/>
    <x v="153"/>
    <x v="153"/>
    <x v="153"/>
    <x v="17"/>
    <x v="142"/>
    <x v="325"/>
    <x v="110"/>
    <x v="184"/>
    <x v="69"/>
    <x v="218"/>
    <x v="1"/>
  </r>
  <r>
    <x v="0"/>
    <x v="59"/>
    <x v="59"/>
    <x v="154"/>
    <x v="154"/>
    <x v="154"/>
    <x v="17"/>
    <x v="142"/>
    <x v="325"/>
    <x v="73"/>
    <x v="261"/>
    <x v="72"/>
    <x v="77"/>
    <x v="1"/>
  </r>
  <r>
    <x v="0"/>
    <x v="59"/>
    <x v="59"/>
    <x v="155"/>
    <x v="155"/>
    <x v="155"/>
    <x v="17"/>
    <x v="142"/>
    <x v="325"/>
    <x v="110"/>
    <x v="184"/>
    <x v="69"/>
    <x v="218"/>
    <x v="1"/>
  </r>
  <r>
    <x v="0"/>
    <x v="59"/>
    <x v="59"/>
    <x v="80"/>
    <x v="80"/>
    <x v="80"/>
    <x v="17"/>
    <x v="142"/>
    <x v="325"/>
    <x v="110"/>
    <x v="184"/>
    <x v="69"/>
    <x v="218"/>
    <x v="1"/>
  </r>
  <r>
    <x v="0"/>
    <x v="59"/>
    <x v="59"/>
    <x v="58"/>
    <x v="58"/>
    <x v="58"/>
    <x v="17"/>
    <x v="142"/>
    <x v="325"/>
    <x v="110"/>
    <x v="184"/>
    <x v="72"/>
    <x v="77"/>
    <x v="1"/>
  </r>
  <r>
    <x v="0"/>
    <x v="59"/>
    <x v="59"/>
    <x v="101"/>
    <x v="101"/>
    <x v="101"/>
    <x v="17"/>
    <x v="142"/>
    <x v="325"/>
    <x v="73"/>
    <x v="261"/>
    <x v="72"/>
    <x v="77"/>
    <x v="1"/>
  </r>
  <r>
    <x v="0"/>
    <x v="59"/>
    <x v="59"/>
    <x v="37"/>
    <x v="37"/>
    <x v="37"/>
    <x v="17"/>
    <x v="142"/>
    <x v="325"/>
    <x v="73"/>
    <x v="261"/>
    <x v="72"/>
    <x v="77"/>
    <x v="1"/>
  </r>
  <r>
    <x v="0"/>
    <x v="59"/>
    <x v="59"/>
    <x v="53"/>
    <x v="53"/>
    <x v="53"/>
    <x v="17"/>
    <x v="142"/>
    <x v="325"/>
    <x v="73"/>
    <x v="261"/>
    <x v="72"/>
    <x v="77"/>
    <x v="1"/>
  </r>
  <r>
    <x v="0"/>
    <x v="59"/>
    <x v="59"/>
    <x v="122"/>
    <x v="122"/>
    <x v="122"/>
    <x v="17"/>
    <x v="142"/>
    <x v="325"/>
    <x v="73"/>
    <x v="261"/>
    <x v="72"/>
    <x v="77"/>
    <x v="1"/>
  </r>
  <r>
    <x v="0"/>
    <x v="59"/>
    <x v="59"/>
    <x v="49"/>
    <x v="49"/>
    <x v="49"/>
    <x v="17"/>
    <x v="142"/>
    <x v="325"/>
    <x v="73"/>
    <x v="261"/>
    <x v="72"/>
    <x v="77"/>
    <x v="1"/>
  </r>
  <r>
    <x v="0"/>
    <x v="59"/>
    <x v="59"/>
    <x v="42"/>
    <x v="42"/>
    <x v="42"/>
    <x v="17"/>
    <x v="142"/>
    <x v="325"/>
    <x v="110"/>
    <x v="184"/>
    <x v="69"/>
    <x v="218"/>
    <x v="1"/>
  </r>
  <r>
    <x v="0"/>
    <x v="59"/>
    <x v="59"/>
    <x v="0"/>
    <x v="0"/>
    <x v="0"/>
    <x v="17"/>
    <x v="142"/>
    <x v="325"/>
    <x v="110"/>
    <x v="184"/>
    <x v="69"/>
    <x v="218"/>
    <x v="1"/>
  </r>
  <r>
    <x v="0"/>
    <x v="59"/>
    <x v="59"/>
    <x v="20"/>
    <x v="20"/>
    <x v="20"/>
    <x v="17"/>
    <x v="142"/>
    <x v="325"/>
    <x v="73"/>
    <x v="261"/>
    <x v="72"/>
    <x v="77"/>
    <x v="1"/>
  </r>
  <r>
    <x v="0"/>
    <x v="59"/>
    <x v="59"/>
    <x v="71"/>
    <x v="71"/>
    <x v="71"/>
    <x v="17"/>
    <x v="142"/>
    <x v="325"/>
    <x v="110"/>
    <x v="184"/>
    <x v="69"/>
    <x v="218"/>
    <x v="1"/>
  </r>
  <r>
    <x v="0"/>
    <x v="59"/>
    <x v="59"/>
    <x v="156"/>
    <x v="156"/>
    <x v="156"/>
    <x v="17"/>
    <x v="142"/>
    <x v="325"/>
    <x v="73"/>
    <x v="261"/>
    <x v="72"/>
    <x v="77"/>
    <x v="1"/>
  </r>
  <r>
    <x v="0"/>
    <x v="59"/>
    <x v="59"/>
    <x v="152"/>
    <x v="152"/>
    <x v="152"/>
    <x v="17"/>
    <x v="142"/>
    <x v="325"/>
    <x v="73"/>
    <x v="261"/>
    <x v="72"/>
    <x v="77"/>
    <x v="1"/>
  </r>
  <r>
    <x v="0"/>
    <x v="59"/>
    <x v="59"/>
    <x v="62"/>
    <x v="62"/>
    <x v="62"/>
    <x v="17"/>
    <x v="142"/>
    <x v="325"/>
    <x v="73"/>
    <x v="261"/>
    <x v="72"/>
    <x v="77"/>
    <x v="1"/>
  </r>
  <r>
    <x v="0"/>
    <x v="59"/>
    <x v="59"/>
    <x v="46"/>
    <x v="46"/>
    <x v="46"/>
    <x v="17"/>
    <x v="142"/>
    <x v="325"/>
    <x v="73"/>
    <x v="261"/>
    <x v="72"/>
    <x v="77"/>
    <x v="1"/>
  </r>
  <r>
    <x v="0"/>
    <x v="59"/>
    <x v="59"/>
    <x v="33"/>
    <x v="33"/>
    <x v="33"/>
    <x v="17"/>
    <x v="142"/>
    <x v="325"/>
    <x v="110"/>
    <x v="184"/>
    <x v="69"/>
    <x v="218"/>
    <x v="1"/>
  </r>
  <r>
    <x v="0"/>
    <x v="59"/>
    <x v="59"/>
    <x v="24"/>
    <x v="24"/>
    <x v="24"/>
    <x v="17"/>
    <x v="142"/>
    <x v="325"/>
    <x v="73"/>
    <x v="261"/>
    <x v="72"/>
    <x v="77"/>
    <x v="1"/>
  </r>
  <r>
    <x v="0"/>
    <x v="59"/>
    <x v="59"/>
    <x v="109"/>
    <x v="109"/>
    <x v="109"/>
    <x v="17"/>
    <x v="142"/>
    <x v="325"/>
    <x v="73"/>
    <x v="261"/>
    <x v="72"/>
    <x v="77"/>
    <x v="1"/>
  </r>
  <r>
    <x v="0"/>
    <x v="59"/>
    <x v="59"/>
    <x v="48"/>
    <x v="48"/>
    <x v="48"/>
    <x v="17"/>
    <x v="142"/>
    <x v="325"/>
    <x v="110"/>
    <x v="184"/>
    <x v="72"/>
    <x v="77"/>
    <x v="1"/>
  </r>
  <r>
    <x v="0"/>
    <x v="59"/>
    <x v="59"/>
    <x v="104"/>
    <x v="104"/>
    <x v="104"/>
    <x v="17"/>
    <x v="142"/>
    <x v="325"/>
    <x v="73"/>
    <x v="261"/>
    <x v="72"/>
    <x v="77"/>
    <x v="1"/>
  </r>
  <r>
    <x v="0"/>
    <x v="59"/>
    <x v="59"/>
    <x v="7"/>
    <x v="7"/>
    <x v="7"/>
    <x v="17"/>
    <x v="142"/>
    <x v="325"/>
    <x v="73"/>
    <x v="261"/>
    <x v="72"/>
    <x v="77"/>
    <x v="1"/>
  </r>
  <r>
    <x v="0"/>
    <x v="59"/>
    <x v="59"/>
    <x v="90"/>
    <x v="90"/>
    <x v="90"/>
    <x v="17"/>
    <x v="142"/>
    <x v="325"/>
    <x v="110"/>
    <x v="184"/>
    <x v="69"/>
    <x v="218"/>
    <x v="1"/>
  </r>
  <r>
    <x v="0"/>
    <x v="59"/>
    <x v="59"/>
    <x v="25"/>
    <x v="25"/>
    <x v="25"/>
    <x v="17"/>
    <x v="142"/>
    <x v="325"/>
    <x v="73"/>
    <x v="261"/>
    <x v="72"/>
    <x v="77"/>
    <x v="1"/>
  </r>
  <r>
    <x v="0"/>
    <x v="59"/>
    <x v="59"/>
    <x v="157"/>
    <x v="157"/>
    <x v="157"/>
    <x v="17"/>
    <x v="142"/>
    <x v="325"/>
    <x v="73"/>
    <x v="261"/>
    <x v="72"/>
    <x v="77"/>
    <x v="1"/>
  </r>
  <r>
    <x v="0"/>
    <x v="59"/>
    <x v="59"/>
    <x v="77"/>
    <x v="77"/>
    <x v="77"/>
    <x v="17"/>
    <x v="142"/>
    <x v="325"/>
    <x v="110"/>
    <x v="184"/>
    <x v="69"/>
    <x v="218"/>
    <x v="1"/>
  </r>
  <r>
    <x v="0"/>
    <x v="59"/>
    <x v="59"/>
    <x v="158"/>
    <x v="158"/>
    <x v="158"/>
    <x v="17"/>
    <x v="142"/>
    <x v="325"/>
    <x v="73"/>
    <x v="261"/>
    <x v="72"/>
    <x v="77"/>
    <x v="1"/>
  </r>
  <r>
    <x v="0"/>
    <x v="60"/>
    <x v="60"/>
    <x v="12"/>
    <x v="12"/>
    <x v="12"/>
    <x v="0"/>
    <x v="136"/>
    <x v="326"/>
    <x v="75"/>
    <x v="403"/>
    <x v="69"/>
    <x v="327"/>
    <x v="1"/>
  </r>
  <r>
    <x v="0"/>
    <x v="60"/>
    <x v="60"/>
    <x v="5"/>
    <x v="5"/>
    <x v="5"/>
    <x v="1"/>
    <x v="137"/>
    <x v="290"/>
    <x v="77"/>
    <x v="404"/>
    <x v="70"/>
    <x v="321"/>
    <x v="1"/>
  </r>
  <r>
    <x v="0"/>
    <x v="60"/>
    <x v="60"/>
    <x v="4"/>
    <x v="4"/>
    <x v="4"/>
    <x v="2"/>
    <x v="138"/>
    <x v="203"/>
    <x v="76"/>
    <x v="405"/>
    <x v="72"/>
    <x v="77"/>
    <x v="1"/>
  </r>
  <r>
    <x v="0"/>
    <x v="60"/>
    <x v="60"/>
    <x v="17"/>
    <x v="17"/>
    <x v="17"/>
    <x v="3"/>
    <x v="139"/>
    <x v="308"/>
    <x v="77"/>
    <x v="404"/>
    <x v="72"/>
    <x v="77"/>
    <x v="1"/>
  </r>
  <r>
    <x v="0"/>
    <x v="60"/>
    <x v="60"/>
    <x v="26"/>
    <x v="26"/>
    <x v="26"/>
    <x v="3"/>
    <x v="139"/>
    <x v="308"/>
    <x v="77"/>
    <x v="404"/>
    <x v="72"/>
    <x v="77"/>
    <x v="1"/>
  </r>
  <r>
    <x v="0"/>
    <x v="60"/>
    <x v="60"/>
    <x v="1"/>
    <x v="1"/>
    <x v="1"/>
    <x v="3"/>
    <x v="139"/>
    <x v="308"/>
    <x v="102"/>
    <x v="406"/>
    <x v="69"/>
    <x v="327"/>
    <x v="1"/>
  </r>
  <r>
    <x v="0"/>
    <x v="60"/>
    <x v="60"/>
    <x v="159"/>
    <x v="159"/>
    <x v="159"/>
    <x v="6"/>
    <x v="141"/>
    <x v="204"/>
    <x v="110"/>
    <x v="184"/>
    <x v="70"/>
    <x v="321"/>
    <x v="1"/>
  </r>
  <r>
    <x v="0"/>
    <x v="60"/>
    <x v="60"/>
    <x v="40"/>
    <x v="40"/>
    <x v="40"/>
    <x v="6"/>
    <x v="141"/>
    <x v="204"/>
    <x v="102"/>
    <x v="406"/>
    <x v="72"/>
    <x v="77"/>
    <x v="1"/>
  </r>
  <r>
    <x v="0"/>
    <x v="60"/>
    <x v="60"/>
    <x v="23"/>
    <x v="23"/>
    <x v="23"/>
    <x v="6"/>
    <x v="141"/>
    <x v="204"/>
    <x v="102"/>
    <x v="406"/>
    <x v="72"/>
    <x v="77"/>
    <x v="1"/>
  </r>
  <r>
    <x v="0"/>
    <x v="60"/>
    <x v="60"/>
    <x v="42"/>
    <x v="42"/>
    <x v="42"/>
    <x v="6"/>
    <x v="141"/>
    <x v="204"/>
    <x v="102"/>
    <x v="406"/>
    <x v="72"/>
    <x v="77"/>
    <x v="1"/>
  </r>
  <r>
    <x v="0"/>
    <x v="60"/>
    <x v="60"/>
    <x v="62"/>
    <x v="62"/>
    <x v="62"/>
    <x v="6"/>
    <x v="141"/>
    <x v="204"/>
    <x v="73"/>
    <x v="407"/>
    <x v="72"/>
    <x v="77"/>
    <x v="1"/>
  </r>
  <r>
    <x v="0"/>
    <x v="60"/>
    <x v="60"/>
    <x v="25"/>
    <x v="25"/>
    <x v="25"/>
    <x v="6"/>
    <x v="141"/>
    <x v="204"/>
    <x v="73"/>
    <x v="407"/>
    <x v="69"/>
    <x v="327"/>
    <x v="1"/>
  </r>
  <r>
    <x v="0"/>
    <x v="60"/>
    <x v="60"/>
    <x v="160"/>
    <x v="58"/>
    <x v="160"/>
    <x v="12"/>
    <x v="142"/>
    <x v="44"/>
    <x v="110"/>
    <x v="184"/>
    <x v="69"/>
    <x v="327"/>
    <x v="1"/>
  </r>
  <r>
    <x v="0"/>
    <x v="60"/>
    <x v="60"/>
    <x v="86"/>
    <x v="86"/>
    <x v="86"/>
    <x v="12"/>
    <x v="142"/>
    <x v="44"/>
    <x v="73"/>
    <x v="407"/>
    <x v="72"/>
    <x v="77"/>
    <x v="1"/>
  </r>
  <r>
    <x v="0"/>
    <x v="60"/>
    <x v="60"/>
    <x v="13"/>
    <x v="13"/>
    <x v="13"/>
    <x v="12"/>
    <x v="142"/>
    <x v="44"/>
    <x v="110"/>
    <x v="184"/>
    <x v="69"/>
    <x v="327"/>
    <x v="1"/>
  </r>
  <r>
    <x v="0"/>
    <x v="60"/>
    <x v="60"/>
    <x v="36"/>
    <x v="36"/>
    <x v="36"/>
    <x v="12"/>
    <x v="142"/>
    <x v="44"/>
    <x v="73"/>
    <x v="407"/>
    <x v="72"/>
    <x v="77"/>
    <x v="1"/>
  </r>
  <r>
    <x v="0"/>
    <x v="60"/>
    <x v="60"/>
    <x v="87"/>
    <x v="87"/>
    <x v="87"/>
    <x v="12"/>
    <x v="142"/>
    <x v="44"/>
    <x v="73"/>
    <x v="407"/>
    <x v="72"/>
    <x v="77"/>
    <x v="1"/>
  </r>
  <r>
    <x v="0"/>
    <x v="60"/>
    <x v="60"/>
    <x v="19"/>
    <x v="19"/>
    <x v="19"/>
    <x v="12"/>
    <x v="142"/>
    <x v="44"/>
    <x v="110"/>
    <x v="184"/>
    <x v="69"/>
    <x v="327"/>
    <x v="1"/>
  </r>
  <r>
    <x v="0"/>
    <x v="60"/>
    <x v="60"/>
    <x v="88"/>
    <x v="88"/>
    <x v="88"/>
    <x v="12"/>
    <x v="142"/>
    <x v="44"/>
    <x v="110"/>
    <x v="184"/>
    <x v="69"/>
    <x v="327"/>
    <x v="1"/>
  </r>
  <r>
    <x v="0"/>
    <x v="60"/>
    <x v="60"/>
    <x v="120"/>
    <x v="120"/>
    <x v="120"/>
    <x v="12"/>
    <x v="142"/>
    <x v="44"/>
    <x v="73"/>
    <x v="407"/>
    <x v="72"/>
    <x v="77"/>
    <x v="1"/>
  </r>
  <r>
    <x v="0"/>
    <x v="60"/>
    <x v="60"/>
    <x v="111"/>
    <x v="111"/>
    <x v="111"/>
    <x v="12"/>
    <x v="142"/>
    <x v="44"/>
    <x v="73"/>
    <x v="407"/>
    <x v="72"/>
    <x v="77"/>
    <x v="1"/>
  </r>
  <r>
    <x v="0"/>
    <x v="60"/>
    <x v="60"/>
    <x v="100"/>
    <x v="100"/>
    <x v="100"/>
    <x v="12"/>
    <x v="142"/>
    <x v="44"/>
    <x v="110"/>
    <x v="184"/>
    <x v="69"/>
    <x v="327"/>
    <x v="1"/>
  </r>
  <r>
    <x v="0"/>
    <x v="60"/>
    <x v="60"/>
    <x v="161"/>
    <x v="160"/>
    <x v="161"/>
    <x v="12"/>
    <x v="142"/>
    <x v="44"/>
    <x v="110"/>
    <x v="184"/>
    <x v="69"/>
    <x v="327"/>
    <x v="1"/>
  </r>
  <r>
    <x v="0"/>
    <x v="60"/>
    <x v="60"/>
    <x v="162"/>
    <x v="161"/>
    <x v="162"/>
    <x v="12"/>
    <x v="142"/>
    <x v="44"/>
    <x v="73"/>
    <x v="407"/>
    <x v="72"/>
    <x v="77"/>
    <x v="1"/>
  </r>
  <r>
    <x v="0"/>
    <x v="60"/>
    <x v="60"/>
    <x v="126"/>
    <x v="126"/>
    <x v="126"/>
    <x v="12"/>
    <x v="142"/>
    <x v="44"/>
    <x v="73"/>
    <x v="407"/>
    <x v="72"/>
    <x v="77"/>
    <x v="1"/>
  </r>
  <r>
    <x v="0"/>
    <x v="60"/>
    <x v="60"/>
    <x v="68"/>
    <x v="68"/>
    <x v="68"/>
    <x v="12"/>
    <x v="142"/>
    <x v="44"/>
    <x v="73"/>
    <x v="407"/>
    <x v="72"/>
    <x v="77"/>
    <x v="1"/>
  </r>
  <r>
    <x v="0"/>
    <x v="60"/>
    <x v="60"/>
    <x v="163"/>
    <x v="162"/>
    <x v="163"/>
    <x v="12"/>
    <x v="142"/>
    <x v="44"/>
    <x v="110"/>
    <x v="184"/>
    <x v="69"/>
    <x v="327"/>
    <x v="1"/>
  </r>
  <r>
    <x v="0"/>
    <x v="60"/>
    <x v="60"/>
    <x v="53"/>
    <x v="53"/>
    <x v="53"/>
    <x v="12"/>
    <x v="142"/>
    <x v="44"/>
    <x v="110"/>
    <x v="184"/>
    <x v="72"/>
    <x v="77"/>
    <x v="1"/>
  </r>
  <r>
    <x v="0"/>
    <x v="60"/>
    <x v="60"/>
    <x v="10"/>
    <x v="10"/>
    <x v="10"/>
    <x v="12"/>
    <x v="142"/>
    <x v="44"/>
    <x v="110"/>
    <x v="184"/>
    <x v="69"/>
    <x v="327"/>
    <x v="1"/>
  </r>
  <r>
    <x v="0"/>
    <x v="60"/>
    <x v="60"/>
    <x v="49"/>
    <x v="49"/>
    <x v="49"/>
    <x v="12"/>
    <x v="142"/>
    <x v="44"/>
    <x v="73"/>
    <x v="407"/>
    <x v="72"/>
    <x v="77"/>
    <x v="1"/>
  </r>
  <r>
    <x v="0"/>
    <x v="60"/>
    <x v="60"/>
    <x v="21"/>
    <x v="21"/>
    <x v="21"/>
    <x v="12"/>
    <x v="142"/>
    <x v="44"/>
    <x v="73"/>
    <x v="407"/>
    <x v="72"/>
    <x v="77"/>
    <x v="1"/>
  </r>
  <r>
    <x v="0"/>
    <x v="60"/>
    <x v="60"/>
    <x v="108"/>
    <x v="108"/>
    <x v="108"/>
    <x v="12"/>
    <x v="142"/>
    <x v="44"/>
    <x v="110"/>
    <x v="184"/>
    <x v="69"/>
    <x v="327"/>
    <x v="1"/>
  </r>
  <r>
    <x v="0"/>
    <x v="60"/>
    <x v="60"/>
    <x v="2"/>
    <x v="2"/>
    <x v="2"/>
    <x v="12"/>
    <x v="142"/>
    <x v="44"/>
    <x v="73"/>
    <x v="407"/>
    <x v="72"/>
    <x v="77"/>
    <x v="1"/>
  </r>
  <r>
    <x v="0"/>
    <x v="60"/>
    <x v="60"/>
    <x v="33"/>
    <x v="33"/>
    <x v="33"/>
    <x v="12"/>
    <x v="142"/>
    <x v="44"/>
    <x v="110"/>
    <x v="184"/>
    <x v="72"/>
    <x v="77"/>
    <x v="1"/>
  </r>
  <r>
    <x v="0"/>
    <x v="60"/>
    <x v="60"/>
    <x v="104"/>
    <x v="104"/>
    <x v="104"/>
    <x v="12"/>
    <x v="142"/>
    <x v="44"/>
    <x v="73"/>
    <x v="407"/>
    <x v="72"/>
    <x v="77"/>
    <x v="1"/>
  </r>
  <r>
    <x v="0"/>
    <x v="61"/>
    <x v="61"/>
    <x v="12"/>
    <x v="12"/>
    <x v="12"/>
    <x v="0"/>
    <x v="133"/>
    <x v="193"/>
    <x v="101"/>
    <x v="408"/>
    <x v="78"/>
    <x v="328"/>
    <x v="1"/>
  </r>
  <r>
    <x v="0"/>
    <x v="61"/>
    <x v="61"/>
    <x v="87"/>
    <x v="87"/>
    <x v="87"/>
    <x v="0"/>
    <x v="133"/>
    <x v="193"/>
    <x v="75"/>
    <x v="371"/>
    <x v="84"/>
    <x v="329"/>
    <x v="1"/>
  </r>
  <r>
    <x v="0"/>
    <x v="61"/>
    <x v="61"/>
    <x v="25"/>
    <x v="25"/>
    <x v="25"/>
    <x v="0"/>
    <x v="133"/>
    <x v="193"/>
    <x v="75"/>
    <x v="371"/>
    <x v="84"/>
    <x v="329"/>
    <x v="1"/>
  </r>
  <r>
    <x v="0"/>
    <x v="61"/>
    <x v="61"/>
    <x v="17"/>
    <x v="17"/>
    <x v="17"/>
    <x v="3"/>
    <x v="143"/>
    <x v="304"/>
    <x v="101"/>
    <x v="408"/>
    <x v="84"/>
    <x v="329"/>
    <x v="1"/>
  </r>
  <r>
    <x v="0"/>
    <x v="61"/>
    <x v="61"/>
    <x v="1"/>
    <x v="1"/>
    <x v="1"/>
    <x v="3"/>
    <x v="143"/>
    <x v="304"/>
    <x v="75"/>
    <x v="371"/>
    <x v="70"/>
    <x v="122"/>
    <x v="1"/>
  </r>
  <r>
    <x v="0"/>
    <x v="61"/>
    <x v="61"/>
    <x v="46"/>
    <x v="46"/>
    <x v="46"/>
    <x v="5"/>
    <x v="136"/>
    <x v="305"/>
    <x v="75"/>
    <x v="371"/>
    <x v="69"/>
    <x v="120"/>
    <x v="1"/>
  </r>
  <r>
    <x v="0"/>
    <x v="61"/>
    <x v="61"/>
    <x v="13"/>
    <x v="13"/>
    <x v="13"/>
    <x v="6"/>
    <x v="140"/>
    <x v="123"/>
    <x v="73"/>
    <x v="19"/>
    <x v="56"/>
    <x v="330"/>
    <x v="1"/>
  </r>
  <r>
    <x v="0"/>
    <x v="61"/>
    <x v="61"/>
    <x v="30"/>
    <x v="30"/>
    <x v="30"/>
    <x v="7"/>
    <x v="137"/>
    <x v="222"/>
    <x v="102"/>
    <x v="409"/>
    <x v="84"/>
    <x v="329"/>
    <x v="1"/>
  </r>
  <r>
    <x v="0"/>
    <x v="61"/>
    <x v="61"/>
    <x v="19"/>
    <x v="19"/>
    <x v="19"/>
    <x v="7"/>
    <x v="137"/>
    <x v="222"/>
    <x v="77"/>
    <x v="372"/>
    <x v="70"/>
    <x v="122"/>
    <x v="1"/>
  </r>
  <r>
    <x v="0"/>
    <x v="61"/>
    <x v="61"/>
    <x v="22"/>
    <x v="22"/>
    <x v="22"/>
    <x v="7"/>
    <x v="137"/>
    <x v="222"/>
    <x v="73"/>
    <x v="19"/>
    <x v="78"/>
    <x v="328"/>
    <x v="1"/>
  </r>
  <r>
    <x v="0"/>
    <x v="61"/>
    <x v="61"/>
    <x v="6"/>
    <x v="6"/>
    <x v="6"/>
    <x v="7"/>
    <x v="137"/>
    <x v="222"/>
    <x v="101"/>
    <x v="408"/>
    <x v="72"/>
    <x v="77"/>
    <x v="1"/>
  </r>
  <r>
    <x v="0"/>
    <x v="61"/>
    <x v="61"/>
    <x v="4"/>
    <x v="4"/>
    <x v="4"/>
    <x v="7"/>
    <x v="137"/>
    <x v="222"/>
    <x v="76"/>
    <x v="103"/>
    <x v="69"/>
    <x v="120"/>
    <x v="1"/>
  </r>
  <r>
    <x v="0"/>
    <x v="61"/>
    <x v="61"/>
    <x v="7"/>
    <x v="7"/>
    <x v="7"/>
    <x v="7"/>
    <x v="137"/>
    <x v="222"/>
    <x v="101"/>
    <x v="408"/>
    <x v="72"/>
    <x v="77"/>
    <x v="1"/>
  </r>
  <r>
    <x v="0"/>
    <x v="61"/>
    <x v="61"/>
    <x v="5"/>
    <x v="5"/>
    <x v="5"/>
    <x v="13"/>
    <x v="138"/>
    <x v="28"/>
    <x v="110"/>
    <x v="184"/>
    <x v="78"/>
    <x v="328"/>
    <x v="1"/>
  </r>
  <r>
    <x v="0"/>
    <x v="61"/>
    <x v="61"/>
    <x v="64"/>
    <x v="64"/>
    <x v="64"/>
    <x v="13"/>
    <x v="138"/>
    <x v="28"/>
    <x v="77"/>
    <x v="372"/>
    <x v="69"/>
    <x v="120"/>
    <x v="1"/>
  </r>
  <r>
    <x v="0"/>
    <x v="61"/>
    <x v="61"/>
    <x v="23"/>
    <x v="23"/>
    <x v="23"/>
    <x v="13"/>
    <x v="138"/>
    <x v="28"/>
    <x v="77"/>
    <x v="372"/>
    <x v="69"/>
    <x v="120"/>
    <x v="1"/>
  </r>
  <r>
    <x v="0"/>
    <x v="61"/>
    <x v="61"/>
    <x v="10"/>
    <x v="10"/>
    <x v="10"/>
    <x v="13"/>
    <x v="138"/>
    <x v="28"/>
    <x v="73"/>
    <x v="19"/>
    <x v="84"/>
    <x v="329"/>
    <x v="1"/>
  </r>
  <r>
    <x v="0"/>
    <x v="61"/>
    <x v="61"/>
    <x v="24"/>
    <x v="24"/>
    <x v="24"/>
    <x v="13"/>
    <x v="138"/>
    <x v="28"/>
    <x v="73"/>
    <x v="19"/>
    <x v="84"/>
    <x v="329"/>
    <x v="1"/>
  </r>
  <r>
    <x v="0"/>
    <x v="61"/>
    <x v="61"/>
    <x v="11"/>
    <x v="11"/>
    <x v="11"/>
    <x v="13"/>
    <x v="138"/>
    <x v="28"/>
    <x v="102"/>
    <x v="409"/>
    <x v="70"/>
    <x v="122"/>
    <x v="1"/>
  </r>
  <r>
    <x v="0"/>
    <x v="61"/>
    <x v="61"/>
    <x v="36"/>
    <x v="36"/>
    <x v="36"/>
    <x v="19"/>
    <x v="139"/>
    <x v="32"/>
    <x v="102"/>
    <x v="409"/>
    <x v="69"/>
    <x v="120"/>
    <x v="1"/>
  </r>
  <r>
    <x v="0"/>
    <x v="61"/>
    <x v="61"/>
    <x v="98"/>
    <x v="98"/>
    <x v="98"/>
    <x v="19"/>
    <x v="139"/>
    <x v="32"/>
    <x v="73"/>
    <x v="19"/>
    <x v="70"/>
    <x v="122"/>
    <x v="1"/>
  </r>
  <r>
    <x v="0"/>
    <x v="61"/>
    <x v="61"/>
    <x v="8"/>
    <x v="8"/>
    <x v="8"/>
    <x v="19"/>
    <x v="139"/>
    <x v="32"/>
    <x v="77"/>
    <x v="372"/>
    <x v="72"/>
    <x v="77"/>
    <x v="1"/>
  </r>
  <r>
    <x v="0"/>
    <x v="61"/>
    <x v="61"/>
    <x v="109"/>
    <x v="109"/>
    <x v="109"/>
    <x v="19"/>
    <x v="139"/>
    <x v="32"/>
    <x v="77"/>
    <x v="372"/>
    <x v="72"/>
    <x v="77"/>
    <x v="1"/>
  </r>
  <r>
    <x v="0"/>
    <x v="61"/>
    <x v="61"/>
    <x v="54"/>
    <x v="54"/>
    <x v="54"/>
    <x v="19"/>
    <x v="139"/>
    <x v="32"/>
    <x v="102"/>
    <x v="409"/>
    <x v="69"/>
    <x v="120"/>
    <x v="1"/>
  </r>
  <r>
    <x v="0"/>
    <x v="62"/>
    <x v="62"/>
    <x v="64"/>
    <x v="64"/>
    <x v="64"/>
    <x v="0"/>
    <x v="137"/>
    <x v="327"/>
    <x v="101"/>
    <x v="410"/>
    <x v="72"/>
    <x v="77"/>
    <x v="1"/>
  </r>
  <r>
    <x v="0"/>
    <x v="62"/>
    <x v="62"/>
    <x v="12"/>
    <x v="12"/>
    <x v="12"/>
    <x v="1"/>
    <x v="138"/>
    <x v="308"/>
    <x v="102"/>
    <x v="45"/>
    <x v="70"/>
    <x v="331"/>
    <x v="1"/>
  </r>
  <r>
    <x v="0"/>
    <x v="62"/>
    <x v="62"/>
    <x v="11"/>
    <x v="11"/>
    <x v="11"/>
    <x v="1"/>
    <x v="138"/>
    <x v="308"/>
    <x v="77"/>
    <x v="411"/>
    <x v="69"/>
    <x v="211"/>
    <x v="1"/>
  </r>
  <r>
    <x v="0"/>
    <x v="62"/>
    <x v="62"/>
    <x v="36"/>
    <x v="36"/>
    <x v="36"/>
    <x v="3"/>
    <x v="139"/>
    <x v="244"/>
    <x v="77"/>
    <x v="411"/>
    <x v="72"/>
    <x v="77"/>
    <x v="1"/>
  </r>
  <r>
    <x v="0"/>
    <x v="62"/>
    <x v="62"/>
    <x v="164"/>
    <x v="58"/>
    <x v="164"/>
    <x v="3"/>
    <x v="139"/>
    <x v="244"/>
    <x v="110"/>
    <x v="184"/>
    <x v="84"/>
    <x v="332"/>
    <x v="1"/>
  </r>
  <r>
    <x v="0"/>
    <x v="62"/>
    <x v="62"/>
    <x v="16"/>
    <x v="16"/>
    <x v="16"/>
    <x v="3"/>
    <x v="139"/>
    <x v="244"/>
    <x v="77"/>
    <x v="411"/>
    <x v="72"/>
    <x v="77"/>
    <x v="1"/>
  </r>
  <r>
    <x v="0"/>
    <x v="62"/>
    <x v="62"/>
    <x v="10"/>
    <x v="10"/>
    <x v="10"/>
    <x v="3"/>
    <x v="139"/>
    <x v="244"/>
    <x v="102"/>
    <x v="45"/>
    <x v="69"/>
    <x v="211"/>
    <x v="1"/>
  </r>
  <r>
    <x v="0"/>
    <x v="62"/>
    <x v="62"/>
    <x v="30"/>
    <x v="30"/>
    <x v="30"/>
    <x v="7"/>
    <x v="141"/>
    <x v="168"/>
    <x v="102"/>
    <x v="45"/>
    <x v="72"/>
    <x v="77"/>
    <x v="1"/>
  </r>
  <r>
    <x v="0"/>
    <x v="62"/>
    <x v="62"/>
    <x v="17"/>
    <x v="17"/>
    <x v="17"/>
    <x v="7"/>
    <x v="141"/>
    <x v="168"/>
    <x v="102"/>
    <x v="45"/>
    <x v="72"/>
    <x v="77"/>
    <x v="1"/>
  </r>
  <r>
    <x v="0"/>
    <x v="62"/>
    <x v="62"/>
    <x v="107"/>
    <x v="107"/>
    <x v="107"/>
    <x v="7"/>
    <x v="141"/>
    <x v="168"/>
    <x v="73"/>
    <x v="157"/>
    <x v="69"/>
    <x v="211"/>
    <x v="1"/>
  </r>
  <r>
    <x v="0"/>
    <x v="62"/>
    <x v="62"/>
    <x v="9"/>
    <x v="9"/>
    <x v="9"/>
    <x v="7"/>
    <x v="141"/>
    <x v="168"/>
    <x v="73"/>
    <x v="157"/>
    <x v="69"/>
    <x v="211"/>
    <x v="1"/>
  </r>
  <r>
    <x v="0"/>
    <x v="62"/>
    <x v="62"/>
    <x v="14"/>
    <x v="14"/>
    <x v="14"/>
    <x v="7"/>
    <x v="141"/>
    <x v="168"/>
    <x v="110"/>
    <x v="184"/>
    <x v="70"/>
    <x v="331"/>
    <x v="1"/>
  </r>
  <r>
    <x v="0"/>
    <x v="62"/>
    <x v="62"/>
    <x v="3"/>
    <x v="3"/>
    <x v="3"/>
    <x v="7"/>
    <x v="141"/>
    <x v="168"/>
    <x v="102"/>
    <x v="45"/>
    <x v="72"/>
    <x v="77"/>
    <x v="1"/>
  </r>
  <r>
    <x v="0"/>
    <x v="62"/>
    <x v="62"/>
    <x v="33"/>
    <x v="33"/>
    <x v="33"/>
    <x v="7"/>
    <x v="141"/>
    <x v="168"/>
    <x v="73"/>
    <x v="157"/>
    <x v="69"/>
    <x v="211"/>
    <x v="1"/>
  </r>
  <r>
    <x v="0"/>
    <x v="62"/>
    <x v="62"/>
    <x v="48"/>
    <x v="48"/>
    <x v="48"/>
    <x v="7"/>
    <x v="141"/>
    <x v="168"/>
    <x v="110"/>
    <x v="184"/>
    <x v="72"/>
    <x v="77"/>
    <x v="1"/>
  </r>
  <r>
    <x v="0"/>
    <x v="62"/>
    <x v="62"/>
    <x v="7"/>
    <x v="7"/>
    <x v="7"/>
    <x v="7"/>
    <x v="141"/>
    <x v="168"/>
    <x v="102"/>
    <x v="45"/>
    <x v="72"/>
    <x v="77"/>
    <x v="1"/>
  </r>
  <r>
    <x v="0"/>
    <x v="62"/>
    <x v="62"/>
    <x v="25"/>
    <x v="25"/>
    <x v="25"/>
    <x v="7"/>
    <x v="141"/>
    <x v="168"/>
    <x v="102"/>
    <x v="45"/>
    <x v="72"/>
    <x v="77"/>
    <x v="1"/>
  </r>
  <r>
    <x v="0"/>
    <x v="62"/>
    <x v="62"/>
    <x v="45"/>
    <x v="45"/>
    <x v="45"/>
    <x v="17"/>
    <x v="142"/>
    <x v="328"/>
    <x v="73"/>
    <x v="157"/>
    <x v="72"/>
    <x v="77"/>
    <x v="1"/>
  </r>
  <r>
    <x v="0"/>
    <x v="62"/>
    <x v="62"/>
    <x v="112"/>
    <x v="112"/>
    <x v="112"/>
    <x v="17"/>
    <x v="142"/>
    <x v="328"/>
    <x v="110"/>
    <x v="184"/>
    <x v="69"/>
    <x v="211"/>
    <x v="1"/>
  </r>
  <r>
    <x v="0"/>
    <x v="62"/>
    <x v="62"/>
    <x v="88"/>
    <x v="88"/>
    <x v="88"/>
    <x v="17"/>
    <x v="142"/>
    <x v="328"/>
    <x v="73"/>
    <x v="157"/>
    <x v="72"/>
    <x v="77"/>
    <x v="1"/>
  </r>
  <r>
    <x v="0"/>
    <x v="62"/>
    <x v="62"/>
    <x v="124"/>
    <x v="124"/>
    <x v="124"/>
    <x v="17"/>
    <x v="142"/>
    <x v="328"/>
    <x v="73"/>
    <x v="157"/>
    <x v="72"/>
    <x v="77"/>
    <x v="1"/>
  </r>
  <r>
    <x v="0"/>
    <x v="62"/>
    <x v="62"/>
    <x v="165"/>
    <x v="163"/>
    <x v="165"/>
    <x v="17"/>
    <x v="142"/>
    <x v="328"/>
    <x v="110"/>
    <x v="184"/>
    <x v="69"/>
    <x v="211"/>
    <x v="1"/>
  </r>
  <r>
    <x v="0"/>
    <x v="62"/>
    <x v="62"/>
    <x v="120"/>
    <x v="120"/>
    <x v="120"/>
    <x v="17"/>
    <x v="142"/>
    <x v="328"/>
    <x v="73"/>
    <x v="157"/>
    <x v="72"/>
    <x v="77"/>
    <x v="1"/>
  </r>
  <r>
    <x v="0"/>
    <x v="62"/>
    <x v="62"/>
    <x v="166"/>
    <x v="164"/>
    <x v="166"/>
    <x v="17"/>
    <x v="142"/>
    <x v="328"/>
    <x v="110"/>
    <x v="184"/>
    <x v="69"/>
    <x v="211"/>
    <x v="1"/>
  </r>
  <r>
    <x v="0"/>
    <x v="62"/>
    <x v="62"/>
    <x v="153"/>
    <x v="153"/>
    <x v="153"/>
    <x v="17"/>
    <x v="142"/>
    <x v="328"/>
    <x v="73"/>
    <x v="157"/>
    <x v="72"/>
    <x v="77"/>
    <x v="1"/>
  </r>
  <r>
    <x v="0"/>
    <x v="62"/>
    <x v="62"/>
    <x v="65"/>
    <x v="65"/>
    <x v="65"/>
    <x v="17"/>
    <x v="142"/>
    <x v="328"/>
    <x v="110"/>
    <x v="184"/>
    <x v="69"/>
    <x v="211"/>
    <x v="1"/>
  </r>
  <r>
    <x v="0"/>
    <x v="62"/>
    <x v="62"/>
    <x v="167"/>
    <x v="165"/>
    <x v="167"/>
    <x v="17"/>
    <x v="142"/>
    <x v="328"/>
    <x v="110"/>
    <x v="184"/>
    <x v="69"/>
    <x v="211"/>
    <x v="1"/>
  </r>
  <r>
    <x v="0"/>
    <x v="62"/>
    <x v="62"/>
    <x v="29"/>
    <x v="29"/>
    <x v="29"/>
    <x v="17"/>
    <x v="142"/>
    <x v="328"/>
    <x v="73"/>
    <x v="157"/>
    <x v="72"/>
    <x v="77"/>
    <x v="1"/>
  </r>
  <r>
    <x v="0"/>
    <x v="62"/>
    <x v="62"/>
    <x v="103"/>
    <x v="103"/>
    <x v="103"/>
    <x v="17"/>
    <x v="142"/>
    <x v="328"/>
    <x v="73"/>
    <x v="157"/>
    <x v="72"/>
    <x v="77"/>
    <x v="1"/>
  </r>
  <r>
    <x v="0"/>
    <x v="62"/>
    <x v="62"/>
    <x v="168"/>
    <x v="166"/>
    <x v="168"/>
    <x v="17"/>
    <x v="142"/>
    <x v="328"/>
    <x v="110"/>
    <x v="184"/>
    <x v="69"/>
    <x v="211"/>
    <x v="1"/>
  </r>
  <r>
    <x v="0"/>
    <x v="62"/>
    <x v="62"/>
    <x v="47"/>
    <x v="47"/>
    <x v="47"/>
    <x v="17"/>
    <x v="142"/>
    <x v="328"/>
    <x v="73"/>
    <x v="157"/>
    <x v="72"/>
    <x v="77"/>
    <x v="1"/>
  </r>
  <r>
    <x v="0"/>
    <x v="62"/>
    <x v="62"/>
    <x v="130"/>
    <x v="130"/>
    <x v="130"/>
    <x v="17"/>
    <x v="142"/>
    <x v="328"/>
    <x v="110"/>
    <x v="184"/>
    <x v="72"/>
    <x v="77"/>
    <x v="1"/>
  </r>
  <r>
    <x v="0"/>
    <x v="62"/>
    <x v="62"/>
    <x v="68"/>
    <x v="68"/>
    <x v="68"/>
    <x v="17"/>
    <x v="142"/>
    <x v="328"/>
    <x v="110"/>
    <x v="184"/>
    <x v="69"/>
    <x v="211"/>
    <x v="1"/>
  </r>
  <r>
    <x v="0"/>
    <x v="62"/>
    <x v="62"/>
    <x v="169"/>
    <x v="167"/>
    <x v="169"/>
    <x v="17"/>
    <x v="142"/>
    <x v="328"/>
    <x v="73"/>
    <x v="157"/>
    <x v="72"/>
    <x v="77"/>
    <x v="1"/>
  </r>
  <r>
    <x v="0"/>
    <x v="62"/>
    <x v="62"/>
    <x v="170"/>
    <x v="168"/>
    <x v="170"/>
    <x v="17"/>
    <x v="142"/>
    <x v="328"/>
    <x v="110"/>
    <x v="184"/>
    <x v="69"/>
    <x v="211"/>
    <x v="1"/>
  </r>
  <r>
    <x v="0"/>
    <x v="62"/>
    <x v="62"/>
    <x v="37"/>
    <x v="37"/>
    <x v="37"/>
    <x v="17"/>
    <x v="142"/>
    <x v="328"/>
    <x v="110"/>
    <x v="184"/>
    <x v="69"/>
    <x v="211"/>
    <x v="1"/>
  </r>
  <r>
    <x v="0"/>
    <x v="62"/>
    <x v="62"/>
    <x v="121"/>
    <x v="121"/>
    <x v="121"/>
    <x v="17"/>
    <x v="142"/>
    <x v="328"/>
    <x v="110"/>
    <x v="184"/>
    <x v="69"/>
    <x v="211"/>
    <x v="1"/>
  </r>
  <r>
    <x v="0"/>
    <x v="62"/>
    <x v="62"/>
    <x v="22"/>
    <x v="22"/>
    <x v="22"/>
    <x v="17"/>
    <x v="142"/>
    <x v="328"/>
    <x v="73"/>
    <x v="157"/>
    <x v="72"/>
    <x v="77"/>
    <x v="1"/>
  </r>
  <r>
    <x v="0"/>
    <x v="62"/>
    <x v="62"/>
    <x v="171"/>
    <x v="58"/>
    <x v="171"/>
    <x v="17"/>
    <x v="142"/>
    <x v="328"/>
    <x v="110"/>
    <x v="184"/>
    <x v="69"/>
    <x v="211"/>
    <x v="1"/>
  </r>
  <r>
    <x v="0"/>
    <x v="62"/>
    <x v="62"/>
    <x v="31"/>
    <x v="31"/>
    <x v="31"/>
    <x v="17"/>
    <x v="142"/>
    <x v="328"/>
    <x v="110"/>
    <x v="184"/>
    <x v="69"/>
    <x v="211"/>
    <x v="1"/>
  </r>
  <r>
    <x v="0"/>
    <x v="62"/>
    <x v="62"/>
    <x v="44"/>
    <x v="44"/>
    <x v="44"/>
    <x v="17"/>
    <x v="142"/>
    <x v="328"/>
    <x v="73"/>
    <x v="157"/>
    <x v="72"/>
    <x v="77"/>
    <x v="1"/>
  </r>
  <r>
    <x v="0"/>
    <x v="62"/>
    <x v="62"/>
    <x v="41"/>
    <x v="41"/>
    <x v="41"/>
    <x v="17"/>
    <x v="142"/>
    <x v="328"/>
    <x v="73"/>
    <x v="157"/>
    <x v="72"/>
    <x v="77"/>
    <x v="1"/>
  </r>
  <r>
    <x v="0"/>
    <x v="62"/>
    <x v="62"/>
    <x v="82"/>
    <x v="82"/>
    <x v="82"/>
    <x v="17"/>
    <x v="142"/>
    <x v="328"/>
    <x v="110"/>
    <x v="184"/>
    <x v="69"/>
    <x v="211"/>
    <x v="1"/>
  </r>
  <r>
    <x v="0"/>
    <x v="62"/>
    <x v="62"/>
    <x v="72"/>
    <x v="72"/>
    <x v="72"/>
    <x v="17"/>
    <x v="142"/>
    <x v="328"/>
    <x v="73"/>
    <x v="157"/>
    <x v="72"/>
    <x v="77"/>
    <x v="1"/>
  </r>
  <r>
    <x v="0"/>
    <x v="62"/>
    <x v="62"/>
    <x v="15"/>
    <x v="15"/>
    <x v="15"/>
    <x v="17"/>
    <x v="142"/>
    <x v="328"/>
    <x v="73"/>
    <x v="157"/>
    <x v="72"/>
    <x v="77"/>
    <x v="1"/>
  </r>
  <r>
    <x v="0"/>
    <x v="62"/>
    <x v="62"/>
    <x v="152"/>
    <x v="152"/>
    <x v="152"/>
    <x v="17"/>
    <x v="142"/>
    <x v="328"/>
    <x v="73"/>
    <x v="157"/>
    <x v="72"/>
    <x v="77"/>
    <x v="1"/>
  </r>
  <r>
    <x v="0"/>
    <x v="62"/>
    <x v="62"/>
    <x v="46"/>
    <x v="46"/>
    <x v="46"/>
    <x v="17"/>
    <x v="142"/>
    <x v="328"/>
    <x v="73"/>
    <x v="157"/>
    <x v="72"/>
    <x v="77"/>
    <x v="1"/>
  </r>
  <r>
    <x v="0"/>
    <x v="62"/>
    <x v="62"/>
    <x v="6"/>
    <x v="6"/>
    <x v="6"/>
    <x v="17"/>
    <x v="142"/>
    <x v="328"/>
    <x v="73"/>
    <x v="157"/>
    <x v="72"/>
    <x v="77"/>
    <x v="1"/>
  </r>
  <r>
    <x v="0"/>
    <x v="62"/>
    <x v="62"/>
    <x v="4"/>
    <x v="4"/>
    <x v="4"/>
    <x v="17"/>
    <x v="142"/>
    <x v="328"/>
    <x v="73"/>
    <x v="157"/>
    <x v="72"/>
    <x v="77"/>
    <x v="1"/>
  </r>
  <r>
    <x v="0"/>
    <x v="62"/>
    <x v="62"/>
    <x v="1"/>
    <x v="1"/>
    <x v="1"/>
    <x v="17"/>
    <x v="142"/>
    <x v="328"/>
    <x v="73"/>
    <x v="157"/>
    <x v="72"/>
    <x v="77"/>
    <x v="1"/>
  </r>
  <r>
    <x v="0"/>
    <x v="62"/>
    <x v="62"/>
    <x v="109"/>
    <x v="109"/>
    <x v="109"/>
    <x v="17"/>
    <x v="142"/>
    <x v="328"/>
    <x v="73"/>
    <x v="157"/>
    <x v="72"/>
    <x v="77"/>
    <x v="1"/>
  </r>
  <r>
    <x v="0"/>
    <x v="62"/>
    <x v="62"/>
    <x v="96"/>
    <x v="96"/>
    <x v="96"/>
    <x v="17"/>
    <x v="142"/>
    <x v="328"/>
    <x v="73"/>
    <x v="157"/>
    <x v="72"/>
    <x v="77"/>
    <x v="1"/>
  </r>
  <r>
    <x v="0"/>
    <x v="63"/>
    <x v="63"/>
    <x v="12"/>
    <x v="12"/>
    <x v="12"/>
    <x v="0"/>
    <x v="137"/>
    <x v="329"/>
    <x v="76"/>
    <x v="310"/>
    <x v="69"/>
    <x v="196"/>
    <x v="1"/>
  </r>
  <r>
    <x v="0"/>
    <x v="63"/>
    <x v="63"/>
    <x v="36"/>
    <x v="36"/>
    <x v="36"/>
    <x v="0"/>
    <x v="137"/>
    <x v="329"/>
    <x v="101"/>
    <x v="365"/>
    <x v="72"/>
    <x v="77"/>
    <x v="1"/>
  </r>
  <r>
    <x v="0"/>
    <x v="63"/>
    <x v="63"/>
    <x v="40"/>
    <x v="40"/>
    <x v="40"/>
    <x v="0"/>
    <x v="137"/>
    <x v="329"/>
    <x v="76"/>
    <x v="310"/>
    <x v="69"/>
    <x v="196"/>
    <x v="1"/>
  </r>
  <r>
    <x v="0"/>
    <x v="63"/>
    <x v="63"/>
    <x v="5"/>
    <x v="5"/>
    <x v="5"/>
    <x v="3"/>
    <x v="138"/>
    <x v="131"/>
    <x v="110"/>
    <x v="184"/>
    <x v="78"/>
    <x v="333"/>
    <x v="1"/>
  </r>
  <r>
    <x v="0"/>
    <x v="63"/>
    <x v="63"/>
    <x v="19"/>
    <x v="19"/>
    <x v="19"/>
    <x v="3"/>
    <x v="138"/>
    <x v="131"/>
    <x v="77"/>
    <x v="412"/>
    <x v="69"/>
    <x v="196"/>
    <x v="1"/>
  </r>
  <r>
    <x v="0"/>
    <x v="63"/>
    <x v="63"/>
    <x v="10"/>
    <x v="10"/>
    <x v="10"/>
    <x v="3"/>
    <x v="138"/>
    <x v="131"/>
    <x v="77"/>
    <x v="412"/>
    <x v="69"/>
    <x v="196"/>
    <x v="1"/>
  </r>
  <r>
    <x v="0"/>
    <x v="63"/>
    <x v="63"/>
    <x v="14"/>
    <x v="14"/>
    <x v="14"/>
    <x v="3"/>
    <x v="138"/>
    <x v="131"/>
    <x v="76"/>
    <x v="310"/>
    <x v="72"/>
    <x v="77"/>
    <x v="1"/>
  </r>
  <r>
    <x v="0"/>
    <x v="63"/>
    <x v="63"/>
    <x v="4"/>
    <x v="4"/>
    <x v="4"/>
    <x v="3"/>
    <x v="138"/>
    <x v="131"/>
    <x v="76"/>
    <x v="310"/>
    <x v="72"/>
    <x v="77"/>
    <x v="1"/>
  </r>
  <r>
    <x v="0"/>
    <x v="63"/>
    <x v="63"/>
    <x v="1"/>
    <x v="1"/>
    <x v="1"/>
    <x v="3"/>
    <x v="138"/>
    <x v="131"/>
    <x v="76"/>
    <x v="310"/>
    <x v="72"/>
    <x v="77"/>
    <x v="1"/>
  </r>
  <r>
    <x v="0"/>
    <x v="63"/>
    <x v="63"/>
    <x v="17"/>
    <x v="17"/>
    <x v="17"/>
    <x v="9"/>
    <x v="139"/>
    <x v="330"/>
    <x v="102"/>
    <x v="216"/>
    <x v="69"/>
    <x v="196"/>
    <x v="1"/>
  </r>
  <r>
    <x v="0"/>
    <x v="63"/>
    <x v="63"/>
    <x v="172"/>
    <x v="169"/>
    <x v="172"/>
    <x v="9"/>
    <x v="139"/>
    <x v="330"/>
    <x v="77"/>
    <x v="412"/>
    <x v="72"/>
    <x v="77"/>
    <x v="1"/>
  </r>
  <r>
    <x v="0"/>
    <x v="63"/>
    <x v="63"/>
    <x v="142"/>
    <x v="142"/>
    <x v="142"/>
    <x v="9"/>
    <x v="139"/>
    <x v="330"/>
    <x v="110"/>
    <x v="184"/>
    <x v="72"/>
    <x v="77"/>
    <x v="1"/>
  </r>
  <r>
    <x v="0"/>
    <x v="63"/>
    <x v="63"/>
    <x v="59"/>
    <x v="59"/>
    <x v="59"/>
    <x v="9"/>
    <x v="139"/>
    <x v="330"/>
    <x v="77"/>
    <x v="412"/>
    <x v="72"/>
    <x v="77"/>
    <x v="1"/>
  </r>
  <r>
    <x v="0"/>
    <x v="63"/>
    <x v="63"/>
    <x v="23"/>
    <x v="23"/>
    <x v="23"/>
    <x v="9"/>
    <x v="139"/>
    <x v="330"/>
    <x v="77"/>
    <x v="412"/>
    <x v="72"/>
    <x v="77"/>
    <x v="1"/>
  </r>
  <r>
    <x v="0"/>
    <x v="63"/>
    <x v="63"/>
    <x v="13"/>
    <x v="13"/>
    <x v="13"/>
    <x v="14"/>
    <x v="141"/>
    <x v="137"/>
    <x v="73"/>
    <x v="126"/>
    <x v="69"/>
    <x v="196"/>
    <x v="1"/>
  </r>
  <r>
    <x v="0"/>
    <x v="63"/>
    <x v="63"/>
    <x v="93"/>
    <x v="93"/>
    <x v="93"/>
    <x v="14"/>
    <x v="141"/>
    <x v="137"/>
    <x v="102"/>
    <x v="216"/>
    <x v="72"/>
    <x v="77"/>
    <x v="1"/>
  </r>
  <r>
    <x v="0"/>
    <x v="63"/>
    <x v="63"/>
    <x v="105"/>
    <x v="105"/>
    <x v="105"/>
    <x v="14"/>
    <x v="141"/>
    <x v="137"/>
    <x v="102"/>
    <x v="216"/>
    <x v="72"/>
    <x v="77"/>
    <x v="1"/>
  </r>
  <r>
    <x v="0"/>
    <x v="63"/>
    <x v="63"/>
    <x v="169"/>
    <x v="167"/>
    <x v="169"/>
    <x v="14"/>
    <x v="141"/>
    <x v="137"/>
    <x v="73"/>
    <x v="126"/>
    <x v="69"/>
    <x v="196"/>
    <x v="1"/>
  </r>
  <r>
    <x v="0"/>
    <x v="63"/>
    <x v="63"/>
    <x v="37"/>
    <x v="37"/>
    <x v="37"/>
    <x v="14"/>
    <x v="141"/>
    <x v="137"/>
    <x v="73"/>
    <x v="126"/>
    <x v="69"/>
    <x v="196"/>
    <x v="1"/>
  </r>
  <r>
    <x v="0"/>
    <x v="63"/>
    <x v="63"/>
    <x v="32"/>
    <x v="32"/>
    <x v="32"/>
    <x v="14"/>
    <x v="141"/>
    <x v="137"/>
    <x v="110"/>
    <x v="184"/>
    <x v="70"/>
    <x v="216"/>
    <x v="1"/>
  </r>
  <r>
    <x v="0"/>
    <x v="63"/>
    <x v="63"/>
    <x v="121"/>
    <x v="121"/>
    <x v="121"/>
    <x v="14"/>
    <x v="141"/>
    <x v="137"/>
    <x v="102"/>
    <x v="216"/>
    <x v="72"/>
    <x v="77"/>
    <x v="1"/>
  </r>
  <r>
    <x v="0"/>
    <x v="63"/>
    <x v="63"/>
    <x v="31"/>
    <x v="31"/>
    <x v="31"/>
    <x v="14"/>
    <x v="141"/>
    <x v="137"/>
    <x v="102"/>
    <x v="216"/>
    <x v="72"/>
    <x v="77"/>
    <x v="1"/>
  </r>
  <r>
    <x v="0"/>
    <x v="63"/>
    <x v="63"/>
    <x v="44"/>
    <x v="44"/>
    <x v="44"/>
    <x v="14"/>
    <x v="141"/>
    <x v="137"/>
    <x v="102"/>
    <x v="216"/>
    <x v="72"/>
    <x v="77"/>
    <x v="1"/>
  </r>
  <r>
    <x v="0"/>
    <x v="63"/>
    <x v="63"/>
    <x v="21"/>
    <x v="21"/>
    <x v="21"/>
    <x v="14"/>
    <x v="141"/>
    <x v="137"/>
    <x v="73"/>
    <x v="126"/>
    <x v="69"/>
    <x v="196"/>
    <x v="1"/>
  </r>
  <r>
    <x v="0"/>
    <x v="63"/>
    <x v="63"/>
    <x v="42"/>
    <x v="42"/>
    <x v="42"/>
    <x v="14"/>
    <x v="141"/>
    <x v="137"/>
    <x v="110"/>
    <x v="184"/>
    <x v="70"/>
    <x v="216"/>
    <x v="1"/>
  </r>
  <r>
    <x v="0"/>
    <x v="63"/>
    <x v="63"/>
    <x v="9"/>
    <x v="9"/>
    <x v="9"/>
    <x v="14"/>
    <x v="141"/>
    <x v="137"/>
    <x v="102"/>
    <x v="216"/>
    <x v="72"/>
    <x v="77"/>
    <x v="1"/>
  </r>
  <r>
    <x v="0"/>
    <x v="63"/>
    <x v="63"/>
    <x v="18"/>
    <x v="18"/>
    <x v="18"/>
    <x v="14"/>
    <x v="141"/>
    <x v="137"/>
    <x v="102"/>
    <x v="216"/>
    <x v="72"/>
    <x v="77"/>
    <x v="1"/>
  </r>
  <r>
    <x v="0"/>
    <x v="63"/>
    <x v="63"/>
    <x v="54"/>
    <x v="54"/>
    <x v="54"/>
    <x v="14"/>
    <x v="141"/>
    <x v="137"/>
    <x v="102"/>
    <x v="216"/>
    <x v="72"/>
    <x v="77"/>
    <x v="1"/>
  </r>
  <r>
    <x v="0"/>
    <x v="63"/>
    <x v="63"/>
    <x v="48"/>
    <x v="48"/>
    <x v="48"/>
    <x v="14"/>
    <x v="141"/>
    <x v="137"/>
    <x v="110"/>
    <x v="184"/>
    <x v="69"/>
    <x v="196"/>
    <x v="1"/>
  </r>
  <r>
    <x v="0"/>
    <x v="63"/>
    <x v="63"/>
    <x v="43"/>
    <x v="43"/>
    <x v="43"/>
    <x v="14"/>
    <x v="141"/>
    <x v="137"/>
    <x v="110"/>
    <x v="184"/>
    <x v="72"/>
    <x v="77"/>
    <x v="1"/>
  </r>
  <r>
    <x v="0"/>
    <x v="64"/>
    <x v="64"/>
    <x v="1"/>
    <x v="1"/>
    <x v="1"/>
    <x v="0"/>
    <x v="83"/>
    <x v="331"/>
    <x v="37"/>
    <x v="397"/>
    <x v="84"/>
    <x v="0"/>
    <x v="1"/>
  </r>
  <r>
    <x v="0"/>
    <x v="64"/>
    <x v="64"/>
    <x v="11"/>
    <x v="11"/>
    <x v="11"/>
    <x v="1"/>
    <x v="123"/>
    <x v="332"/>
    <x v="52"/>
    <x v="413"/>
    <x v="69"/>
    <x v="164"/>
    <x v="1"/>
  </r>
  <r>
    <x v="0"/>
    <x v="64"/>
    <x v="64"/>
    <x v="13"/>
    <x v="13"/>
    <x v="13"/>
    <x v="2"/>
    <x v="124"/>
    <x v="333"/>
    <x v="101"/>
    <x v="414"/>
    <x v="60"/>
    <x v="266"/>
    <x v="1"/>
  </r>
  <r>
    <x v="0"/>
    <x v="64"/>
    <x v="64"/>
    <x v="12"/>
    <x v="12"/>
    <x v="12"/>
    <x v="2"/>
    <x v="124"/>
    <x v="333"/>
    <x v="81"/>
    <x v="227"/>
    <x v="84"/>
    <x v="0"/>
    <x v="1"/>
  </r>
  <r>
    <x v="0"/>
    <x v="64"/>
    <x v="64"/>
    <x v="4"/>
    <x v="4"/>
    <x v="4"/>
    <x v="4"/>
    <x v="126"/>
    <x v="334"/>
    <x v="81"/>
    <x v="227"/>
    <x v="70"/>
    <x v="269"/>
    <x v="1"/>
  </r>
  <r>
    <x v="0"/>
    <x v="64"/>
    <x v="64"/>
    <x v="7"/>
    <x v="7"/>
    <x v="7"/>
    <x v="4"/>
    <x v="126"/>
    <x v="334"/>
    <x v="81"/>
    <x v="227"/>
    <x v="70"/>
    <x v="269"/>
    <x v="1"/>
  </r>
  <r>
    <x v="0"/>
    <x v="64"/>
    <x v="64"/>
    <x v="17"/>
    <x v="17"/>
    <x v="17"/>
    <x v="6"/>
    <x v="133"/>
    <x v="221"/>
    <x v="77"/>
    <x v="415"/>
    <x v="60"/>
    <x v="266"/>
    <x v="1"/>
  </r>
  <r>
    <x v="0"/>
    <x v="64"/>
    <x v="64"/>
    <x v="19"/>
    <x v="19"/>
    <x v="19"/>
    <x v="7"/>
    <x v="143"/>
    <x v="335"/>
    <x v="74"/>
    <x v="416"/>
    <x v="69"/>
    <x v="164"/>
    <x v="1"/>
  </r>
  <r>
    <x v="0"/>
    <x v="64"/>
    <x v="64"/>
    <x v="23"/>
    <x v="23"/>
    <x v="23"/>
    <x v="7"/>
    <x v="143"/>
    <x v="335"/>
    <x v="74"/>
    <x v="416"/>
    <x v="69"/>
    <x v="164"/>
    <x v="1"/>
  </r>
  <r>
    <x v="0"/>
    <x v="64"/>
    <x v="64"/>
    <x v="21"/>
    <x v="21"/>
    <x v="21"/>
    <x v="7"/>
    <x v="143"/>
    <x v="335"/>
    <x v="76"/>
    <x v="417"/>
    <x v="78"/>
    <x v="270"/>
    <x v="1"/>
  </r>
  <r>
    <x v="0"/>
    <x v="64"/>
    <x v="64"/>
    <x v="36"/>
    <x v="36"/>
    <x v="36"/>
    <x v="10"/>
    <x v="140"/>
    <x v="104"/>
    <x v="75"/>
    <x v="418"/>
    <x v="72"/>
    <x v="77"/>
    <x v="1"/>
  </r>
  <r>
    <x v="0"/>
    <x v="64"/>
    <x v="64"/>
    <x v="49"/>
    <x v="49"/>
    <x v="49"/>
    <x v="10"/>
    <x v="140"/>
    <x v="104"/>
    <x v="75"/>
    <x v="418"/>
    <x v="72"/>
    <x v="77"/>
    <x v="1"/>
  </r>
  <r>
    <x v="0"/>
    <x v="64"/>
    <x v="64"/>
    <x v="9"/>
    <x v="9"/>
    <x v="9"/>
    <x v="10"/>
    <x v="140"/>
    <x v="104"/>
    <x v="77"/>
    <x v="415"/>
    <x v="84"/>
    <x v="0"/>
    <x v="1"/>
  </r>
  <r>
    <x v="0"/>
    <x v="64"/>
    <x v="64"/>
    <x v="30"/>
    <x v="30"/>
    <x v="30"/>
    <x v="13"/>
    <x v="137"/>
    <x v="118"/>
    <x v="101"/>
    <x v="414"/>
    <x v="72"/>
    <x v="77"/>
    <x v="1"/>
  </r>
  <r>
    <x v="0"/>
    <x v="64"/>
    <x v="64"/>
    <x v="87"/>
    <x v="87"/>
    <x v="87"/>
    <x v="13"/>
    <x v="137"/>
    <x v="118"/>
    <x v="102"/>
    <x v="5"/>
    <x v="84"/>
    <x v="0"/>
    <x v="1"/>
  </r>
  <r>
    <x v="0"/>
    <x v="64"/>
    <x v="64"/>
    <x v="0"/>
    <x v="0"/>
    <x v="0"/>
    <x v="13"/>
    <x v="137"/>
    <x v="118"/>
    <x v="73"/>
    <x v="419"/>
    <x v="78"/>
    <x v="270"/>
    <x v="1"/>
  </r>
  <r>
    <x v="0"/>
    <x v="64"/>
    <x v="64"/>
    <x v="15"/>
    <x v="15"/>
    <x v="15"/>
    <x v="13"/>
    <x v="137"/>
    <x v="118"/>
    <x v="77"/>
    <x v="415"/>
    <x v="70"/>
    <x v="269"/>
    <x v="1"/>
  </r>
  <r>
    <x v="0"/>
    <x v="64"/>
    <x v="64"/>
    <x v="3"/>
    <x v="3"/>
    <x v="3"/>
    <x v="13"/>
    <x v="137"/>
    <x v="118"/>
    <x v="101"/>
    <x v="414"/>
    <x v="72"/>
    <x v="77"/>
    <x v="1"/>
  </r>
  <r>
    <x v="0"/>
    <x v="64"/>
    <x v="64"/>
    <x v="46"/>
    <x v="46"/>
    <x v="46"/>
    <x v="13"/>
    <x v="137"/>
    <x v="118"/>
    <x v="101"/>
    <x v="414"/>
    <x v="72"/>
    <x v="77"/>
    <x v="1"/>
  </r>
  <r>
    <x v="0"/>
    <x v="64"/>
    <x v="64"/>
    <x v="5"/>
    <x v="5"/>
    <x v="5"/>
    <x v="19"/>
    <x v="138"/>
    <x v="47"/>
    <x v="110"/>
    <x v="184"/>
    <x v="78"/>
    <x v="270"/>
    <x v="1"/>
  </r>
  <r>
    <x v="0"/>
    <x v="64"/>
    <x v="64"/>
    <x v="28"/>
    <x v="28"/>
    <x v="28"/>
    <x v="19"/>
    <x v="138"/>
    <x v="47"/>
    <x v="102"/>
    <x v="5"/>
    <x v="70"/>
    <x v="269"/>
    <x v="1"/>
  </r>
  <r>
    <x v="0"/>
    <x v="64"/>
    <x v="64"/>
    <x v="42"/>
    <x v="42"/>
    <x v="42"/>
    <x v="19"/>
    <x v="138"/>
    <x v="47"/>
    <x v="110"/>
    <x v="184"/>
    <x v="78"/>
    <x v="270"/>
    <x v="1"/>
  </r>
  <r>
    <x v="0"/>
    <x v="64"/>
    <x v="64"/>
    <x v="69"/>
    <x v="69"/>
    <x v="69"/>
    <x v="19"/>
    <x v="138"/>
    <x v="47"/>
    <x v="102"/>
    <x v="5"/>
    <x v="70"/>
    <x v="269"/>
    <x v="1"/>
  </r>
  <r>
    <x v="0"/>
    <x v="64"/>
    <x v="64"/>
    <x v="26"/>
    <x v="26"/>
    <x v="26"/>
    <x v="19"/>
    <x v="138"/>
    <x v="47"/>
    <x v="76"/>
    <x v="417"/>
    <x v="72"/>
    <x v="77"/>
    <x v="1"/>
  </r>
  <r>
    <x v="0"/>
    <x v="64"/>
    <x v="64"/>
    <x v="76"/>
    <x v="76"/>
    <x v="76"/>
    <x v="19"/>
    <x v="138"/>
    <x v="47"/>
    <x v="102"/>
    <x v="5"/>
    <x v="70"/>
    <x v="269"/>
    <x v="1"/>
  </r>
  <r>
    <x v="0"/>
    <x v="65"/>
    <x v="65"/>
    <x v="1"/>
    <x v="1"/>
    <x v="1"/>
    <x v="0"/>
    <x v="84"/>
    <x v="336"/>
    <x v="107"/>
    <x v="420"/>
    <x v="84"/>
    <x v="23"/>
    <x v="1"/>
  </r>
  <r>
    <x v="0"/>
    <x v="65"/>
    <x v="65"/>
    <x v="5"/>
    <x v="5"/>
    <x v="5"/>
    <x v="1"/>
    <x v="121"/>
    <x v="337"/>
    <x v="76"/>
    <x v="421"/>
    <x v="54"/>
    <x v="334"/>
    <x v="1"/>
  </r>
  <r>
    <x v="0"/>
    <x v="65"/>
    <x v="65"/>
    <x v="23"/>
    <x v="23"/>
    <x v="23"/>
    <x v="2"/>
    <x v="126"/>
    <x v="338"/>
    <x v="80"/>
    <x v="138"/>
    <x v="72"/>
    <x v="77"/>
    <x v="1"/>
  </r>
  <r>
    <x v="0"/>
    <x v="65"/>
    <x v="65"/>
    <x v="7"/>
    <x v="7"/>
    <x v="7"/>
    <x v="3"/>
    <x v="133"/>
    <x v="339"/>
    <x v="70"/>
    <x v="422"/>
    <x v="72"/>
    <x v="77"/>
    <x v="1"/>
  </r>
  <r>
    <x v="0"/>
    <x v="65"/>
    <x v="65"/>
    <x v="13"/>
    <x v="13"/>
    <x v="13"/>
    <x v="4"/>
    <x v="143"/>
    <x v="225"/>
    <x v="76"/>
    <x v="421"/>
    <x v="78"/>
    <x v="335"/>
    <x v="1"/>
  </r>
  <r>
    <x v="0"/>
    <x v="65"/>
    <x v="65"/>
    <x v="12"/>
    <x v="12"/>
    <x v="12"/>
    <x v="5"/>
    <x v="136"/>
    <x v="235"/>
    <x v="75"/>
    <x v="423"/>
    <x v="69"/>
    <x v="153"/>
    <x v="1"/>
  </r>
  <r>
    <x v="0"/>
    <x v="65"/>
    <x v="65"/>
    <x v="10"/>
    <x v="10"/>
    <x v="10"/>
    <x v="5"/>
    <x v="136"/>
    <x v="235"/>
    <x v="101"/>
    <x v="264"/>
    <x v="70"/>
    <x v="209"/>
    <x v="1"/>
  </r>
  <r>
    <x v="0"/>
    <x v="65"/>
    <x v="65"/>
    <x v="6"/>
    <x v="6"/>
    <x v="6"/>
    <x v="5"/>
    <x v="136"/>
    <x v="235"/>
    <x v="74"/>
    <x v="114"/>
    <x v="72"/>
    <x v="77"/>
    <x v="1"/>
  </r>
  <r>
    <x v="0"/>
    <x v="65"/>
    <x v="65"/>
    <x v="4"/>
    <x v="4"/>
    <x v="4"/>
    <x v="5"/>
    <x v="136"/>
    <x v="235"/>
    <x v="101"/>
    <x v="264"/>
    <x v="70"/>
    <x v="209"/>
    <x v="1"/>
  </r>
  <r>
    <x v="0"/>
    <x v="65"/>
    <x v="65"/>
    <x v="11"/>
    <x v="11"/>
    <x v="11"/>
    <x v="5"/>
    <x v="136"/>
    <x v="235"/>
    <x v="101"/>
    <x v="264"/>
    <x v="70"/>
    <x v="209"/>
    <x v="1"/>
  </r>
  <r>
    <x v="0"/>
    <x v="65"/>
    <x v="65"/>
    <x v="3"/>
    <x v="3"/>
    <x v="3"/>
    <x v="10"/>
    <x v="140"/>
    <x v="24"/>
    <x v="75"/>
    <x v="423"/>
    <x v="72"/>
    <x v="77"/>
    <x v="1"/>
  </r>
  <r>
    <x v="0"/>
    <x v="65"/>
    <x v="65"/>
    <x v="87"/>
    <x v="87"/>
    <x v="87"/>
    <x v="11"/>
    <x v="137"/>
    <x v="145"/>
    <x v="77"/>
    <x v="12"/>
    <x v="70"/>
    <x v="209"/>
    <x v="1"/>
  </r>
  <r>
    <x v="0"/>
    <x v="65"/>
    <x v="65"/>
    <x v="19"/>
    <x v="19"/>
    <x v="19"/>
    <x v="11"/>
    <x v="137"/>
    <x v="145"/>
    <x v="102"/>
    <x v="154"/>
    <x v="84"/>
    <x v="23"/>
    <x v="1"/>
  </r>
  <r>
    <x v="0"/>
    <x v="65"/>
    <x v="65"/>
    <x v="17"/>
    <x v="17"/>
    <x v="17"/>
    <x v="11"/>
    <x v="137"/>
    <x v="145"/>
    <x v="77"/>
    <x v="12"/>
    <x v="70"/>
    <x v="209"/>
    <x v="1"/>
  </r>
  <r>
    <x v="0"/>
    <x v="65"/>
    <x v="65"/>
    <x v="28"/>
    <x v="28"/>
    <x v="28"/>
    <x v="11"/>
    <x v="137"/>
    <x v="145"/>
    <x v="110"/>
    <x v="184"/>
    <x v="56"/>
    <x v="336"/>
    <x v="1"/>
  </r>
  <r>
    <x v="0"/>
    <x v="65"/>
    <x v="65"/>
    <x v="46"/>
    <x v="46"/>
    <x v="46"/>
    <x v="11"/>
    <x v="137"/>
    <x v="145"/>
    <x v="101"/>
    <x v="264"/>
    <x v="72"/>
    <x v="77"/>
    <x v="1"/>
  </r>
  <r>
    <x v="0"/>
    <x v="65"/>
    <x v="65"/>
    <x v="36"/>
    <x v="36"/>
    <x v="36"/>
    <x v="16"/>
    <x v="138"/>
    <x v="45"/>
    <x v="76"/>
    <x v="421"/>
    <x v="72"/>
    <x v="77"/>
    <x v="1"/>
  </r>
  <r>
    <x v="0"/>
    <x v="65"/>
    <x v="65"/>
    <x v="31"/>
    <x v="31"/>
    <x v="31"/>
    <x v="16"/>
    <x v="138"/>
    <x v="45"/>
    <x v="102"/>
    <x v="154"/>
    <x v="70"/>
    <x v="209"/>
    <x v="1"/>
  </r>
  <r>
    <x v="0"/>
    <x v="65"/>
    <x v="65"/>
    <x v="21"/>
    <x v="21"/>
    <x v="21"/>
    <x v="16"/>
    <x v="138"/>
    <x v="45"/>
    <x v="102"/>
    <x v="154"/>
    <x v="70"/>
    <x v="209"/>
    <x v="1"/>
  </r>
  <r>
    <x v="0"/>
    <x v="65"/>
    <x v="65"/>
    <x v="69"/>
    <x v="69"/>
    <x v="69"/>
    <x v="16"/>
    <x v="138"/>
    <x v="45"/>
    <x v="73"/>
    <x v="424"/>
    <x v="84"/>
    <x v="23"/>
    <x v="1"/>
  </r>
  <r>
    <x v="0"/>
    <x v="65"/>
    <x v="65"/>
    <x v="14"/>
    <x v="14"/>
    <x v="14"/>
    <x v="16"/>
    <x v="138"/>
    <x v="45"/>
    <x v="76"/>
    <x v="421"/>
    <x v="72"/>
    <x v="77"/>
    <x v="1"/>
  </r>
  <r>
    <x v="0"/>
    <x v="65"/>
    <x v="65"/>
    <x v="8"/>
    <x v="8"/>
    <x v="8"/>
    <x v="16"/>
    <x v="138"/>
    <x v="45"/>
    <x v="76"/>
    <x v="421"/>
    <x v="72"/>
    <x v="77"/>
    <x v="1"/>
  </r>
  <r>
    <x v="0"/>
    <x v="66"/>
    <x v="66"/>
    <x v="2"/>
    <x v="2"/>
    <x v="2"/>
    <x v="0"/>
    <x v="145"/>
    <x v="340"/>
    <x v="128"/>
    <x v="425"/>
    <x v="27"/>
    <x v="337"/>
    <x v="1"/>
  </r>
  <r>
    <x v="0"/>
    <x v="66"/>
    <x v="66"/>
    <x v="62"/>
    <x v="62"/>
    <x v="62"/>
    <x v="1"/>
    <x v="63"/>
    <x v="341"/>
    <x v="55"/>
    <x v="21"/>
    <x v="86"/>
    <x v="338"/>
    <x v="1"/>
  </r>
  <r>
    <x v="0"/>
    <x v="66"/>
    <x v="66"/>
    <x v="0"/>
    <x v="0"/>
    <x v="0"/>
    <x v="2"/>
    <x v="102"/>
    <x v="342"/>
    <x v="62"/>
    <x v="426"/>
    <x v="25"/>
    <x v="228"/>
    <x v="1"/>
  </r>
  <r>
    <x v="0"/>
    <x v="66"/>
    <x v="66"/>
    <x v="3"/>
    <x v="3"/>
    <x v="3"/>
    <x v="3"/>
    <x v="104"/>
    <x v="214"/>
    <x v="93"/>
    <x v="427"/>
    <x v="76"/>
    <x v="339"/>
    <x v="1"/>
  </r>
  <r>
    <x v="0"/>
    <x v="66"/>
    <x v="66"/>
    <x v="6"/>
    <x v="6"/>
    <x v="6"/>
    <x v="4"/>
    <x v="82"/>
    <x v="343"/>
    <x v="90"/>
    <x v="428"/>
    <x v="70"/>
    <x v="340"/>
    <x v="1"/>
  </r>
  <r>
    <x v="0"/>
    <x v="66"/>
    <x v="66"/>
    <x v="14"/>
    <x v="14"/>
    <x v="14"/>
    <x v="5"/>
    <x v="113"/>
    <x v="55"/>
    <x v="66"/>
    <x v="162"/>
    <x v="70"/>
    <x v="340"/>
    <x v="1"/>
  </r>
  <r>
    <x v="0"/>
    <x v="66"/>
    <x v="66"/>
    <x v="26"/>
    <x v="26"/>
    <x v="26"/>
    <x v="6"/>
    <x v="115"/>
    <x v="13"/>
    <x v="52"/>
    <x v="56"/>
    <x v="70"/>
    <x v="340"/>
    <x v="1"/>
  </r>
  <r>
    <x v="0"/>
    <x v="66"/>
    <x v="66"/>
    <x v="1"/>
    <x v="1"/>
    <x v="1"/>
    <x v="6"/>
    <x v="115"/>
    <x v="13"/>
    <x v="94"/>
    <x v="429"/>
    <x v="69"/>
    <x v="341"/>
    <x v="1"/>
  </r>
  <r>
    <x v="0"/>
    <x v="66"/>
    <x v="66"/>
    <x v="108"/>
    <x v="108"/>
    <x v="108"/>
    <x v="8"/>
    <x v="123"/>
    <x v="59"/>
    <x v="101"/>
    <x v="148"/>
    <x v="42"/>
    <x v="342"/>
    <x v="1"/>
  </r>
  <r>
    <x v="0"/>
    <x v="66"/>
    <x v="66"/>
    <x v="13"/>
    <x v="13"/>
    <x v="13"/>
    <x v="9"/>
    <x v="126"/>
    <x v="79"/>
    <x v="102"/>
    <x v="430"/>
    <x v="44"/>
    <x v="343"/>
    <x v="1"/>
  </r>
  <r>
    <x v="0"/>
    <x v="66"/>
    <x v="66"/>
    <x v="23"/>
    <x v="23"/>
    <x v="23"/>
    <x v="10"/>
    <x v="133"/>
    <x v="344"/>
    <x v="74"/>
    <x v="106"/>
    <x v="70"/>
    <x v="340"/>
    <x v="1"/>
  </r>
  <r>
    <x v="0"/>
    <x v="66"/>
    <x v="66"/>
    <x v="9"/>
    <x v="9"/>
    <x v="9"/>
    <x v="10"/>
    <x v="133"/>
    <x v="344"/>
    <x v="76"/>
    <x v="431"/>
    <x v="56"/>
    <x v="127"/>
    <x v="1"/>
  </r>
  <r>
    <x v="0"/>
    <x v="66"/>
    <x v="66"/>
    <x v="46"/>
    <x v="46"/>
    <x v="46"/>
    <x v="10"/>
    <x v="133"/>
    <x v="344"/>
    <x v="70"/>
    <x v="204"/>
    <x v="72"/>
    <x v="77"/>
    <x v="1"/>
  </r>
  <r>
    <x v="0"/>
    <x v="66"/>
    <x v="66"/>
    <x v="11"/>
    <x v="11"/>
    <x v="11"/>
    <x v="13"/>
    <x v="143"/>
    <x v="345"/>
    <x v="102"/>
    <x v="430"/>
    <x v="60"/>
    <x v="171"/>
    <x v="1"/>
  </r>
  <r>
    <x v="0"/>
    <x v="66"/>
    <x v="66"/>
    <x v="5"/>
    <x v="5"/>
    <x v="5"/>
    <x v="14"/>
    <x v="136"/>
    <x v="346"/>
    <x v="110"/>
    <x v="184"/>
    <x v="42"/>
    <x v="342"/>
    <x v="1"/>
  </r>
  <r>
    <x v="0"/>
    <x v="66"/>
    <x v="66"/>
    <x v="17"/>
    <x v="17"/>
    <x v="17"/>
    <x v="14"/>
    <x v="136"/>
    <x v="346"/>
    <x v="102"/>
    <x v="430"/>
    <x v="56"/>
    <x v="127"/>
    <x v="1"/>
  </r>
  <r>
    <x v="0"/>
    <x v="66"/>
    <x v="66"/>
    <x v="40"/>
    <x v="40"/>
    <x v="40"/>
    <x v="14"/>
    <x v="136"/>
    <x v="346"/>
    <x v="102"/>
    <x v="430"/>
    <x v="56"/>
    <x v="127"/>
    <x v="1"/>
  </r>
  <r>
    <x v="0"/>
    <x v="66"/>
    <x v="66"/>
    <x v="7"/>
    <x v="7"/>
    <x v="7"/>
    <x v="14"/>
    <x v="136"/>
    <x v="346"/>
    <x v="74"/>
    <x v="106"/>
    <x v="72"/>
    <x v="77"/>
    <x v="1"/>
  </r>
  <r>
    <x v="0"/>
    <x v="66"/>
    <x v="66"/>
    <x v="12"/>
    <x v="12"/>
    <x v="12"/>
    <x v="18"/>
    <x v="140"/>
    <x v="347"/>
    <x v="76"/>
    <x v="431"/>
    <x v="70"/>
    <x v="340"/>
    <x v="1"/>
  </r>
  <r>
    <x v="0"/>
    <x v="66"/>
    <x v="66"/>
    <x v="19"/>
    <x v="19"/>
    <x v="19"/>
    <x v="18"/>
    <x v="140"/>
    <x v="347"/>
    <x v="77"/>
    <x v="290"/>
    <x v="84"/>
    <x v="344"/>
    <x v="1"/>
  </r>
  <r>
    <x v="0"/>
    <x v="66"/>
    <x v="66"/>
    <x v="148"/>
    <x v="148"/>
    <x v="148"/>
    <x v="18"/>
    <x v="140"/>
    <x v="347"/>
    <x v="77"/>
    <x v="290"/>
    <x v="84"/>
    <x v="344"/>
    <x v="1"/>
  </r>
  <r>
    <x v="0"/>
    <x v="66"/>
    <x v="66"/>
    <x v="15"/>
    <x v="15"/>
    <x v="15"/>
    <x v="18"/>
    <x v="140"/>
    <x v="347"/>
    <x v="102"/>
    <x v="430"/>
    <x v="70"/>
    <x v="340"/>
    <x v="1"/>
  </r>
  <r>
    <x v="0"/>
    <x v="66"/>
    <x v="66"/>
    <x v="8"/>
    <x v="8"/>
    <x v="8"/>
    <x v="18"/>
    <x v="140"/>
    <x v="347"/>
    <x v="101"/>
    <x v="148"/>
    <x v="69"/>
    <x v="341"/>
    <x v="1"/>
  </r>
  <r>
    <x v="0"/>
    <x v="66"/>
    <x v="66"/>
    <x v="4"/>
    <x v="4"/>
    <x v="4"/>
    <x v="18"/>
    <x v="140"/>
    <x v="347"/>
    <x v="75"/>
    <x v="252"/>
    <x v="72"/>
    <x v="77"/>
    <x v="1"/>
  </r>
  <r>
    <x v="0"/>
    <x v="67"/>
    <x v="67"/>
    <x v="2"/>
    <x v="2"/>
    <x v="2"/>
    <x v="0"/>
    <x v="98"/>
    <x v="348"/>
    <x v="129"/>
    <x v="432"/>
    <x v="71"/>
    <x v="345"/>
    <x v="0"/>
  </r>
  <r>
    <x v="0"/>
    <x v="67"/>
    <x v="67"/>
    <x v="62"/>
    <x v="62"/>
    <x v="62"/>
    <x v="1"/>
    <x v="113"/>
    <x v="349"/>
    <x v="79"/>
    <x v="267"/>
    <x v="84"/>
    <x v="278"/>
    <x v="1"/>
  </r>
  <r>
    <x v="0"/>
    <x v="67"/>
    <x v="67"/>
    <x v="14"/>
    <x v="14"/>
    <x v="14"/>
    <x v="2"/>
    <x v="136"/>
    <x v="350"/>
    <x v="101"/>
    <x v="433"/>
    <x v="70"/>
    <x v="112"/>
    <x v="1"/>
  </r>
  <r>
    <x v="0"/>
    <x v="67"/>
    <x v="67"/>
    <x v="16"/>
    <x v="16"/>
    <x v="16"/>
    <x v="3"/>
    <x v="140"/>
    <x v="261"/>
    <x v="76"/>
    <x v="118"/>
    <x v="70"/>
    <x v="112"/>
    <x v="1"/>
  </r>
  <r>
    <x v="0"/>
    <x v="67"/>
    <x v="67"/>
    <x v="5"/>
    <x v="5"/>
    <x v="5"/>
    <x v="4"/>
    <x v="137"/>
    <x v="135"/>
    <x v="110"/>
    <x v="184"/>
    <x v="56"/>
    <x v="346"/>
    <x v="1"/>
  </r>
  <r>
    <x v="0"/>
    <x v="67"/>
    <x v="67"/>
    <x v="12"/>
    <x v="12"/>
    <x v="12"/>
    <x v="4"/>
    <x v="137"/>
    <x v="135"/>
    <x v="76"/>
    <x v="118"/>
    <x v="69"/>
    <x v="347"/>
    <x v="1"/>
  </r>
  <r>
    <x v="0"/>
    <x v="67"/>
    <x v="67"/>
    <x v="23"/>
    <x v="23"/>
    <x v="23"/>
    <x v="4"/>
    <x v="137"/>
    <x v="135"/>
    <x v="102"/>
    <x v="64"/>
    <x v="70"/>
    <x v="112"/>
    <x v="0"/>
  </r>
  <r>
    <x v="0"/>
    <x v="67"/>
    <x v="67"/>
    <x v="60"/>
    <x v="60"/>
    <x v="60"/>
    <x v="4"/>
    <x v="137"/>
    <x v="135"/>
    <x v="102"/>
    <x v="64"/>
    <x v="84"/>
    <x v="278"/>
    <x v="1"/>
  </r>
  <r>
    <x v="0"/>
    <x v="67"/>
    <x v="67"/>
    <x v="1"/>
    <x v="1"/>
    <x v="1"/>
    <x v="4"/>
    <x v="137"/>
    <x v="135"/>
    <x v="101"/>
    <x v="433"/>
    <x v="72"/>
    <x v="77"/>
    <x v="1"/>
  </r>
  <r>
    <x v="0"/>
    <x v="67"/>
    <x v="67"/>
    <x v="3"/>
    <x v="3"/>
    <x v="3"/>
    <x v="9"/>
    <x v="138"/>
    <x v="11"/>
    <x v="76"/>
    <x v="118"/>
    <x v="72"/>
    <x v="77"/>
    <x v="1"/>
  </r>
  <r>
    <x v="0"/>
    <x v="67"/>
    <x v="67"/>
    <x v="50"/>
    <x v="50"/>
    <x v="50"/>
    <x v="10"/>
    <x v="139"/>
    <x v="276"/>
    <x v="102"/>
    <x v="64"/>
    <x v="69"/>
    <x v="347"/>
    <x v="1"/>
  </r>
  <r>
    <x v="0"/>
    <x v="67"/>
    <x v="67"/>
    <x v="19"/>
    <x v="19"/>
    <x v="19"/>
    <x v="10"/>
    <x v="139"/>
    <x v="276"/>
    <x v="102"/>
    <x v="64"/>
    <x v="69"/>
    <x v="347"/>
    <x v="1"/>
  </r>
  <r>
    <x v="0"/>
    <x v="67"/>
    <x v="67"/>
    <x v="40"/>
    <x v="40"/>
    <x v="40"/>
    <x v="10"/>
    <x v="139"/>
    <x v="276"/>
    <x v="102"/>
    <x v="64"/>
    <x v="69"/>
    <x v="347"/>
    <x v="1"/>
  </r>
  <r>
    <x v="0"/>
    <x v="67"/>
    <x v="67"/>
    <x v="9"/>
    <x v="9"/>
    <x v="9"/>
    <x v="10"/>
    <x v="139"/>
    <x v="276"/>
    <x v="73"/>
    <x v="65"/>
    <x v="70"/>
    <x v="112"/>
    <x v="1"/>
  </r>
  <r>
    <x v="0"/>
    <x v="67"/>
    <x v="67"/>
    <x v="46"/>
    <x v="46"/>
    <x v="46"/>
    <x v="10"/>
    <x v="139"/>
    <x v="276"/>
    <x v="77"/>
    <x v="69"/>
    <x v="72"/>
    <x v="77"/>
    <x v="1"/>
  </r>
  <r>
    <x v="0"/>
    <x v="67"/>
    <x v="67"/>
    <x v="48"/>
    <x v="48"/>
    <x v="48"/>
    <x v="10"/>
    <x v="139"/>
    <x v="276"/>
    <x v="110"/>
    <x v="184"/>
    <x v="72"/>
    <x v="77"/>
    <x v="1"/>
  </r>
  <r>
    <x v="0"/>
    <x v="67"/>
    <x v="67"/>
    <x v="11"/>
    <x v="11"/>
    <x v="11"/>
    <x v="10"/>
    <x v="139"/>
    <x v="276"/>
    <x v="73"/>
    <x v="65"/>
    <x v="70"/>
    <x v="112"/>
    <x v="1"/>
  </r>
  <r>
    <x v="0"/>
    <x v="67"/>
    <x v="67"/>
    <x v="45"/>
    <x v="45"/>
    <x v="45"/>
    <x v="17"/>
    <x v="141"/>
    <x v="351"/>
    <x v="102"/>
    <x v="64"/>
    <x v="72"/>
    <x v="77"/>
    <x v="1"/>
  </r>
  <r>
    <x v="0"/>
    <x v="67"/>
    <x v="67"/>
    <x v="17"/>
    <x v="17"/>
    <x v="17"/>
    <x v="17"/>
    <x v="141"/>
    <x v="351"/>
    <x v="102"/>
    <x v="64"/>
    <x v="72"/>
    <x v="77"/>
    <x v="1"/>
  </r>
  <r>
    <x v="0"/>
    <x v="67"/>
    <x v="67"/>
    <x v="10"/>
    <x v="10"/>
    <x v="10"/>
    <x v="17"/>
    <x v="141"/>
    <x v="351"/>
    <x v="73"/>
    <x v="65"/>
    <x v="69"/>
    <x v="347"/>
    <x v="1"/>
  </r>
  <r>
    <x v="0"/>
    <x v="67"/>
    <x v="67"/>
    <x v="173"/>
    <x v="170"/>
    <x v="173"/>
    <x v="17"/>
    <x v="141"/>
    <x v="351"/>
    <x v="102"/>
    <x v="64"/>
    <x v="72"/>
    <x v="77"/>
    <x v="1"/>
  </r>
  <r>
    <x v="0"/>
    <x v="67"/>
    <x v="67"/>
    <x v="108"/>
    <x v="108"/>
    <x v="108"/>
    <x v="17"/>
    <x v="141"/>
    <x v="351"/>
    <x v="73"/>
    <x v="65"/>
    <x v="69"/>
    <x v="347"/>
    <x v="1"/>
  </r>
  <r>
    <x v="0"/>
    <x v="67"/>
    <x v="67"/>
    <x v="0"/>
    <x v="0"/>
    <x v="0"/>
    <x v="17"/>
    <x v="141"/>
    <x v="351"/>
    <x v="73"/>
    <x v="65"/>
    <x v="69"/>
    <x v="347"/>
    <x v="1"/>
  </r>
  <r>
    <x v="0"/>
    <x v="67"/>
    <x v="67"/>
    <x v="148"/>
    <x v="148"/>
    <x v="148"/>
    <x v="17"/>
    <x v="141"/>
    <x v="351"/>
    <x v="73"/>
    <x v="65"/>
    <x v="69"/>
    <x v="347"/>
    <x v="1"/>
  </r>
  <r>
    <x v="0"/>
    <x v="67"/>
    <x v="67"/>
    <x v="26"/>
    <x v="26"/>
    <x v="26"/>
    <x v="17"/>
    <x v="141"/>
    <x v="351"/>
    <x v="73"/>
    <x v="65"/>
    <x v="69"/>
    <x v="347"/>
    <x v="1"/>
  </r>
  <r>
    <x v="0"/>
    <x v="67"/>
    <x v="67"/>
    <x v="24"/>
    <x v="24"/>
    <x v="24"/>
    <x v="17"/>
    <x v="141"/>
    <x v="351"/>
    <x v="73"/>
    <x v="65"/>
    <x v="69"/>
    <x v="347"/>
    <x v="1"/>
  </r>
  <r>
    <x v="0"/>
    <x v="67"/>
    <x v="67"/>
    <x v="4"/>
    <x v="4"/>
    <x v="4"/>
    <x v="17"/>
    <x v="141"/>
    <x v="351"/>
    <x v="102"/>
    <x v="64"/>
    <x v="72"/>
    <x v="77"/>
    <x v="1"/>
  </r>
  <r>
    <x v="0"/>
    <x v="67"/>
    <x v="67"/>
    <x v="83"/>
    <x v="83"/>
    <x v="83"/>
    <x v="17"/>
    <x v="141"/>
    <x v="351"/>
    <x v="73"/>
    <x v="65"/>
    <x v="69"/>
    <x v="347"/>
    <x v="1"/>
  </r>
  <r>
    <x v="0"/>
    <x v="67"/>
    <x v="67"/>
    <x v="54"/>
    <x v="54"/>
    <x v="54"/>
    <x v="17"/>
    <x v="141"/>
    <x v="351"/>
    <x v="73"/>
    <x v="65"/>
    <x v="69"/>
    <x v="347"/>
    <x v="1"/>
  </r>
  <r>
    <x v="0"/>
    <x v="67"/>
    <x v="67"/>
    <x v="7"/>
    <x v="7"/>
    <x v="7"/>
    <x v="17"/>
    <x v="141"/>
    <x v="351"/>
    <x v="102"/>
    <x v="64"/>
    <x v="72"/>
    <x v="77"/>
    <x v="1"/>
  </r>
  <r>
    <x v="0"/>
    <x v="67"/>
    <x v="67"/>
    <x v="116"/>
    <x v="116"/>
    <x v="116"/>
    <x v="17"/>
    <x v="141"/>
    <x v="351"/>
    <x v="110"/>
    <x v="184"/>
    <x v="69"/>
    <x v="347"/>
    <x v="1"/>
  </r>
  <r>
    <x v="0"/>
    <x v="68"/>
    <x v="68"/>
    <x v="1"/>
    <x v="1"/>
    <x v="1"/>
    <x v="0"/>
    <x v="85"/>
    <x v="352"/>
    <x v="107"/>
    <x v="434"/>
    <x v="70"/>
    <x v="27"/>
    <x v="1"/>
  </r>
  <r>
    <x v="0"/>
    <x v="68"/>
    <x v="68"/>
    <x v="28"/>
    <x v="28"/>
    <x v="28"/>
    <x v="1"/>
    <x v="113"/>
    <x v="353"/>
    <x v="101"/>
    <x v="242"/>
    <x v="54"/>
    <x v="348"/>
    <x v="1"/>
  </r>
  <r>
    <x v="0"/>
    <x v="68"/>
    <x v="68"/>
    <x v="27"/>
    <x v="27"/>
    <x v="27"/>
    <x v="2"/>
    <x v="122"/>
    <x v="354"/>
    <x v="74"/>
    <x v="236"/>
    <x v="44"/>
    <x v="349"/>
    <x v="1"/>
  </r>
  <r>
    <x v="0"/>
    <x v="68"/>
    <x v="68"/>
    <x v="174"/>
    <x v="171"/>
    <x v="174"/>
    <x v="3"/>
    <x v="114"/>
    <x v="338"/>
    <x v="70"/>
    <x v="193"/>
    <x v="56"/>
    <x v="115"/>
    <x v="1"/>
  </r>
  <r>
    <x v="0"/>
    <x v="68"/>
    <x v="68"/>
    <x v="14"/>
    <x v="14"/>
    <x v="14"/>
    <x v="4"/>
    <x v="123"/>
    <x v="322"/>
    <x v="70"/>
    <x v="193"/>
    <x v="84"/>
    <x v="350"/>
    <x v="1"/>
  </r>
  <r>
    <x v="0"/>
    <x v="68"/>
    <x v="68"/>
    <x v="87"/>
    <x v="87"/>
    <x v="87"/>
    <x v="5"/>
    <x v="126"/>
    <x v="243"/>
    <x v="75"/>
    <x v="244"/>
    <x v="78"/>
    <x v="10"/>
    <x v="1"/>
  </r>
  <r>
    <x v="0"/>
    <x v="68"/>
    <x v="68"/>
    <x v="5"/>
    <x v="5"/>
    <x v="5"/>
    <x v="6"/>
    <x v="133"/>
    <x v="83"/>
    <x v="102"/>
    <x v="329"/>
    <x v="42"/>
    <x v="351"/>
    <x v="1"/>
  </r>
  <r>
    <x v="0"/>
    <x v="68"/>
    <x v="68"/>
    <x v="17"/>
    <x v="17"/>
    <x v="17"/>
    <x v="6"/>
    <x v="133"/>
    <x v="83"/>
    <x v="102"/>
    <x v="329"/>
    <x v="42"/>
    <x v="351"/>
    <x v="1"/>
  </r>
  <r>
    <x v="0"/>
    <x v="68"/>
    <x v="68"/>
    <x v="4"/>
    <x v="4"/>
    <x v="4"/>
    <x v="6"/>
    <x v="133"/>
    <x v="83"/>
    <x v="81"/>
    <x v="238"/>
    <x v="69"/>
    <x v="142"/>
    <x v="1"/>
  </r>
  <r>
    <x v="0"/>
    <x v="68"/>
    <x v="68"/>
    <x v="10"/>
    <x v="10"/>
    <x v="10"/>
    <x v="9"/>
    <x v="143"/>
    <x v="161"/>
    <x v="77"/>
    <x v="245"/>
    <x v="56"/>
    <x v="115"/>
    <x v="1"/>
  </r>
  <r>
    <x v="0"/>
    <x v="68"/>
    <x v="68"/>
    <x v="36"/>
    <x v="36"/>
    <x v="36"/>
    <x v="10"/>
    <x v="136"/>
    <x v="145"/>
    <x v="75"/>
    <x v="244"/>
    <x v="69"/>
    <x v="142"/>
    <x v="1"/>
  </r>
  <r>
    <x v="0"/>
    <x v="68"/>
    <x v="68"/>
    <x v="92"/>
    <x v="92"/>
    <x v="92"/>
    <x v="10"/>
    <x v="136"/>
    <x v="145"/>
    <x v="73"/>
    <x v="419"/>
    <x v="60"/>
    <x v="352"/>
    <x v="1"/>
  </r>
  <r>
    <x v="0"/>
    <x v="68"/>
    <x v="68"/>
    <x v="11"/>
    <x v="11"/>
    <x v="11"/>
    <x v="10"/>
    <x v="136"/>
    <x v="145"/>
    <x v="74"/>
    <x v="236"/>
    <x v="72"/>
    <x v="77"/>
    <x v="1"/>
  </r>
  <r>
    <x v="0"/>
    <x v="68"/>
    <x v="68"/>
    <x v="19"/>
    <x v="19"/>
    <x v="19"/>
    <x v="13"/>
    <x v="140"/>
    <x v="106"/>
    <x v="102"/>
    <x v="329"/>
    <x v="78"/>
    <x v="10"/>
    <x v="1"/>
  </r>
  <r>
    <x v="0"/>
    <x v="68"/>
    <x v="68"/>
    <x v="9"/>
    <x v="9"/>
    <x v="9"/>
    <x v="13"/>
    <x v="140"/>
    <x v="106"/>
    <x v="76"/>
    <x v="240"/>
    <x v="70"/>
    <x v="27"/>
    <x v="1"/>
  </r>
  <r>
    <x v="0"/>
    <x v="68"/>
    <x v="68"/>
    <x v="33"/>
    <x v="33"/>
    <x v="33"/>
    <x v="13"/>
    <x v="140"/>
    <x v="106"/>
    <x v="77"/>
    <x v="245"/>
    <x v="70"/>
    <x v="27"/>
    <x v="1"/>
  </r>
  <r>
    <x v="0"/>
    <x v="68"/>
    <x v="68"/>
    <x v="7"/>
    <x v="7"/>
    <x v="7"/>
    <x v="13"/>
    <x v="140"/>
    <x v="106"/>
    <x v="75"/>
    <x v="244"/>
    <x v="72"/>
    <x v="77"/>
    <x v="1"/>
  </r>
  <r>
    <x v="0"/>
    <x v="68"/>
    <x v="68"/>
    <x v="12"/>
    <x v="12"/>
    <x v="12"/>
    <x v="17"/>
    <x v="137"/>
    <x v="68"/>
    <x v="102"/>
    <x v="329"/>
    <x v="84"/>
    <x v="350"/>
    <x v="1"/>
  </r>
  <r>
    <x v="0"/>
    <x v="68"/>
    <x v="68"/>
    <x v="175"/>
    <x v="172"/>
    <x v="175"/>
    <x v="17"/>
    <x v="137"/>
    <x v="68"/>
    <x v="77"/>
    <x v="245"/>
    <x v="70"/>
    <x v="27"/>
    <x v="1"/>
  </r>
  <r>
    <x v="0"/>
    <x v="68"/>
    <x v="68"/>
    <x v="176"/>
    <x v="173"/>
    <x v="176"/>
    <x v="17"/>
    <x v="137"/>
    <x v="68"/>
    <x v="73"/>
    <x v="419"/>
    <x v="78"/>
    <x v="10"/>
    <x v="1"/>
  </r>
  <r>
    <x v="0"/>
    <x v="68"/>
    <x v="68"/>
    <x v="15"/>
    <x v="15"/>
    <x v="15"/>
    <x v="17"/>
    <x v="137"/>
    <x v="68"/>
    <x v="77"/>
    <x v="245"/>
    <x v="70"/>
    <x v="27"/>
    <x v="1"/>
  </r>
  <r>
    <x v="0"/>
    <x v="68"/>
    <x v="68"/>
    <x v="6"/>
    <x v="6"/>
    <x v="6"/>
    <x v="17"/>
    <x v="137"/>
    <x v="68"/>
    <x v="101"/>
    <x v="242"/>
    <x v="72"/>
    <x v="77"/>
    <x v="1"/>
  </r>
  <r>
    <x v="0"/>
    <x v="69"/>
    <x v="69"/>
    <x v="1"/>
    <x v="1"/>
    <x v="1"/>
    <x v="0"/>
    <x v="114"/>
    <x v="236"/>
    <x v="94"/>
    <x v="435"/>
    <x v="70"/>
    <x v="353"/>
    <x v="1"/>
  </r>
  <r>
    <x v="0"/>
    <x v="69"/>
    <x v="69"/>
    <x v="5"/>
    <x v="5"/>
    <x v="5"/>
    <x v="1"/>
    <x v="115"/>
    <x v="355"/>
    <x v="81"/>
    <x v="436"/>
    <x v="56"/>
    <x v="180"/>
    <x v="1"/>
  </r>
  <r>
    <x v="0"/>
    <x v="69"/>
    <x v="69"/>
    <x v="23"/>
    <x v="23"/>
    <x v="23"/>
    <x v="2"/>
    <x v="124"/>
    <x v="71"/>
    <x v="74"/>
    <x v="437"/>
    <x v="78"/>
    <x v="354"/>
    <x v="1"/>
  </r>
  <r>
    <x v="0"/>
    <x v="69"/>
    <x v="69"/>
    <x v="4"/>
    <x v="4"/>
    <x v="4"/>
    <x v="2"/>
    <x v="124"/>
    <x v="71"/>
    <x v="52"/>
    <x v="353"/>
    <x v="72"/>
    <x v="77"/>
    <x v="1"/>
  </r>
  <r>
    <x v="0"/>
    <x v="69"/>
    <x v="69"/>
    <x v="6"/>
    <x v="6"/>
    <x v="6"/>
    <x v="4"/>
    <x v="126"/>
    <x v="89"/>
    <x v="80"/>
    <x v="41"/>
    <x v="72"/>
    <x v="77"/>
    <x v="1"/>
  </r>
  <r>
    <x v="0"/>
    <x v="69"/>
    <x v="69"/>
    <x v="10"/>
    <x v="10"/>
    <x v="10"/>
    <x v="5"/>
    <x v="133"/>
    <x v="180"/>
    <x v="75"/>
    <x v="438"/>
    <x v="84"/>
    <x v="355"/>
    <x v="1"/>
  </r>
  <r>
    <x v="0"/>
    <x v="69"/>
    <x v="69"/>
    <x v="12"/>
    <x v="12"/>
    <x v="12"/>
    <x v="6"/>
    <x v="143"/>
    <x v="101"/>
    <x v="101"/>
    <x v="349"/>
    <x v="84"/>
    <x v="355"/>
    <x v="1"/>
  </r>
  <r>
    <x v="0"/>
    <x v="69"/>
    <x v="69"/>
    <x v="16"/>
    <x v="16"/>
    <x v="16"/>
    <x v="6"/>
    <x v="143"/>
    <x v="101"/>
    <x v="77"/>
    <x v="10"/>
    <x v="56"/>
    <x v="180"/>
    <x v="1"/>
  </r>
  <r>
    <x v="0"/>
    <x v="69"/>
    <x v="69"/>
    <x v="7"/>
    <x v="7"/>
    <x v="7"/>
    <x v="6"/>
    <x v="143"/>
    <x v="101"/>
    <x v="81"/>
    <x v="436"/>
    <x v="72"/>
    <x v="77"/>
    <x v="1"/>
  </r>
  <r>
    <x v="0"/>
    <x v="69"/>
    <x v="69"/>
    <x v="9"/>
    <x v="9"/>
    <x v="9"/>
    <x v="9"/>
    <x v="136"/>
    <x v="5"/>
    <x v="101"/>
    <x v="349"/>
    <x v="70"/>
    <x v="353"/>
    <x v="1"/>
  </r>
  <r>
    <x v="0"/>
    <x v="69"/>
    <x v="69"/>
    <x v="26"/>
    <x v="26"/>
    <x v="26"/>
    <x v="9"/>
    <x v="136"/>
    <x v="5"/>
    <x v="74"/>
    <x v="437"/>
    <x v="72"/>
    <x v="77"/>
    <x v="1"/>
  </r>
  <r>
    <x v="0"/>
    <x v="69"/>
    <x v="69"/>
    <x v="13"/>
    <x v="13"/>
    <x v="13"/>
    <x v="11"/>
    <x v="140"/>
    <x v="29"/>
    <x v="76"/>
    <x v="439"/>
    <x v="70"/>
    <x v="353"/>
    <x v="1"/>
  </r>
  <r>
    <x v="0"/>
    <x v="69"/>
    <x v="69"/>
    <x v="22"/>
    <x v="22"/>
    <x v="22"/>
    <x v="11"/>
    <x v="140"/>
    <x v="29"/>
    <x v="101"/>
    <x v="349"/>
    <x v="69"/>
    <x v="356"/>
    <x v="1"/>
  </r>
  <r>
    <x v="0"/>
    <x v="69"/>
    <x v="69"/>
    <x v="11"/>
    <x v="11"/>
    <x v="11"/>
    <x v="11"/>
    <x v="140"/>
    <x v="29"/>
    <x v="76"/>
    <x v="439"/>
    <x v="70"/>
    <x v="353"/>
    <x v="1"/>
  </r>
  <r>
    <x v="0"/>
    <x v="69"/>
    <x v="69"/>
    <x v="36"/>
    <x v="36"/>
    <x v="36"/>
    <x v="14"/>
    <x v="137"/>
    <x v="117"/>
    <x v="101"/>
    <x v="349"/>
    <x v="72"/>
    <x v="77"/>
    <x v="1"/>
  </r>
  <r>
    <x v="0"/>
    <x v="69"/>
    <x v="69"/>
    <x v="19"/>
    <x v="19"/>
    <x v="19"/>
    <x v="14"/>
    <x v="137"/>
    <x v="117"/>
    <x v="76"/>
    <x v="439"/>
    <x v="69"/>
    <x v="356"/>
    <x v="1"/>
  </r>
  <r>
    <x v="0"/>
    <x v="69"/>
    <x v="69"/>
    <x v="120"/>
    <x v="120"/>
    <x v="120"/>
    <x v="14"/>
    <x v="137"/>
    <x v="117"/>
    <x v="77"/>
    <x v="10"/>
    <x v="70"/>
    <x v="353"/>
    <x v="1"/>
  </r>
  <r>
    <x v="0"/>
    <x v="69"/>
    <x v="69"/>
    <x v="105"/>
    <x v="105"/>
    <x v="105"/>
    <x v="14"/>
    <x v="137"/>
    <x v="117"/>
    <x v="101"/>
    <x v="349"/>
    <x v="72"/>
    <x v="77"/>
    <x v="1"/>
  </r>
  <r>
    <x v="0"/>
    <x v="69"/>
    <x v="69"/>
    <x v="0"/>
    <x v="0"/>
    <x v="0"/>
    <x v="14"/>
    <x v="137"/>
    <x v="117"/>
    <x v="76"/>
    <x v="439"/>
    <x v="69"/>
    <x v="356"/>
    <x v="1"/>
  </r>
  <r>
    <x v="0"/>
    <x v="69"/>
    <x v="69"/>
    <x v="3"/>
    <x v="3"/>
    <x v="3"/>
    <x v="14"/>
    <x v="137"/>
    <x v="117"/>
    <x v="101"/>
    <x v="349"/>
    <x v="72"/>
    <x v="77"/>
    <x v="1"/>
  </r>
  <r>
    <x v="0"/>
    <x v="69"/>
    <x v="69"/>
    <x v="46"/>
    <x v="46"/>
    <x v="46"/>
    <x v="14"/>
    <x v="137"/>
    <x v="117"/>
    <x v="76"/>
    <x v="439"/>
    <x v="69"/>
    <x v="356"/>
    <x v="1"/>
  </r>
  <r>
    <x v="0"/>
    <x v="70"/>
    <x v="70"/>
    <x v="2"/>
    <x v="2"/>
    <x v="2"/>
    <x v="0"/>
    <x v="123"/>
    <x v="356"/>
    <x v="77"/>
    <x v="440"/>
    <x v="25"/>
    <x v="357"/>
    <x v="1"/>
  </r>
  <r>
    <x v="0"/>
    <x v="70"/>
    <x v="70"/>
    <x v="5"/>
    <x v="5"/>
    <x v="5"/>
    <x v="1"/>
    <x v="133"/>
    <x v="357"/>
    <x v="77"/>
    <x v="440"/>
    <x v="60"/>
    <x v="358"/>
    <x v="1"/>
  </r>
  <r>
    <x v="0"/>
    <x v="70"/>
    <x v="70"/>
    <x v="13"/>
    <x v="13"/>
    <x v="13"/>
    <x v="2"/>
    <x v="143"/>
    <x v="358"/>
    <x v="102"/>
    <x v="441"/>
    <x v="60"/>
    <x v="358"/>
    <x v="1"/>
  </r>
  <r>
    <x v="0"/>
    <x v="70"/>
    <x v="70"/>
    <x v="17"/>
    <x v="17"/>
    <x v="17"/>
    <x v="2"/>
    <x v="143"/>
    <x v="358"/>
    <x v="75"/>
    <x v="365"/>
    <x v="70"/>
    <x v="64"/>
    <x v="1"/>
  </r>
  <r>
    <x v="0"/>
    <x v="70"/>
    <x v="70"/>
    <x v="107"/>
    <x v="107"/>
    <x v="107"/>
    <x v="2"/>
    <x v="143"/>
    <x v="358"/>
    <x v="77"/>
    <x v="440"/>
    <x v="56"/>
    <x v="359"/>
    <x v="1"/>
  </r>
  <r>
    <x v="0"/>
    <x v="70"/>
    <x v="70"/>
    <x v="10"/>
    <x v="10"/>
    <x v="10"/>
    <x v="2"/>
    <x v="143"/>
    <x v="358"/>
    <x v="101"/>
    <x v="442"/>
    <x v="84"/>
    <x v="360"/>
    <x v="1"/>
  </r>
  <r>
    <x v="0"/>
    <x v="70"/>
    <x v="70"/>
    <x v="36"/>
    <x v="36"/>
    <x v="36"/>
    <x v="6"/>
    <x v="136"/>
    <x v="359"/>
    <x v="75"/>
    <x v="365"/>
    <x v="69"/>
    <x v="144"/>
    <x v="1"/>
  </r>
  <r>
    <x v="0"/>
    <x v="70"/>
    <x v="70"/>
    <x v="1"/>
    <x v="1"/>
    <x v="1"/>
    <x v="6"/>
    <x v="136"/>
    <x v="359"/>
    <x v="74"/>
    <x v="443"/>
    <x v="72"/>
    <x v="77"/>
    <x v="1"/>
  </r>
  <r>
    <x v="0"/>
    <x v="70"/>
    <x v="70"/>
    <x v="4"/>
    <x v="4"/>
    <x v="4"/>
    <x v="8"/>
    <x v="137"/>
    <x v="246"/>
    <x v="101"/>
    <x v="442"/>
    <x v="72"/>
    <x v="77"/>
    <x v="1"/>
  </r>
  <r>
    <x v="0"/>
    <x v="70"/>
    <x v="70"/>
    <x v="12"/>
    <x v="12"/>
    <x v="12"/>
    <x v="9"/>
    <x v="138"/>
    <x v="43"/>
    <x v="102"/>
    <x v="441"/>
    <x v="70"/>
    <x v="64"/>
    <x v="1"/>
  </r>
  <r>
    <x v="0"/>
    <x v="70"/>
    <x v="70"/>
    <x v="19"/>
    <x v="19"/>
    <x v="19"/>
    <x v="9"/>
    <x v="138"/>
    <x v="43"/>
    <x v="102"/>
    <x v="441"/>
    <x v="70"/>
    <x v="64"/>
    <x v="1"/>
  </r>
  <r>
    <x v="0"/>
    <x v="70"/>
    <x v="70"/>
    <x v="40"/>
    <x v="40"/>
    <x v="40"/>
    <x v="9"/>
    <x v="138"/>
    <x v="43"/>
    <x v="110"/>
    <x v="184"/>
    <x v="78"/>
    <x v="361"/>
    <x v="1"/>
  </r>
  <r>
    <x v="0"/>
    <x v="70"/>
    <x v="70"/>
    <x v="23"/>
    <x v="23"/>
    <x v="23"/>
    <x v="9"/>
    <x v="138"/>
    <x v="43"/>
    <x v="102"/>
    <x v="441"/>
    <x v="69"/>
    <x v="144"/>
    <x v="0"/>
  </r>
  <r>
    <x v="0"/>
    <x v="70"/>
    <x v="70"/>
    <x v="3"/>
    <x v="3"/>
    <x v="3"/>
    <x v="9"/>
    <x v="138"/>
    <x v="43"/>
    <x v="76"/>
    <x v="8"/>
    <x v="72"/>
    <x v="77"/>
    <x v="1"/>
  </r>
  <r>
    <x v="0"/>
    <x v="70"/>
    <x v="70"/>
    <x v="149"/>
    <x v="149"/>
    <x v="149"/>
    <x v="14"/>
    <x v="139"/>
    <x v="30"/>
    <x v="77"/>
    <x v="440"/>
    <x v="72"/>
    <x v="77"/>
    <x v="1"/>
  </r>
  <r>
    <x v="0"/>
    <x v="70"/>
    <x v="70"/>
    <x v="45"/>
    <x v="45"/>
    <x v="45"/>
    <x v="14"/>
    <x v="139"/>
    <x v="30"/>
    <x v="73"/>
    <x v="148"/>
    <x v="70"/>
    <x v="64"/>
    <x v="1"/>
  </r>
  <r>
    <x v="0"/>
    <x v="70"/>
    <x v="70"/>
    <x v="112"/>
    <x v="112"/>
    <x v="112"/>
    <x v="14"/>
    <x v="139"/>
    <x v="30"/>
    <x v="77"/>
    <x v="440"/>
    <x v="72"/>
    <x v="77"/>
    <x v="1"/>
  </r>
  <r>
    <x v="0"/>
    <x v="70"/>
    <x v="70"/>
    <x v="27"/>
    <x v="27"/>
    <x v="27"/>
    <x v="14"/>
    <x v="139"/>
    <x v="30"/>
    <x v="102"/>
    <x v="441"/>
    <x v="69"/>
    <x v="144"/>
    <x v="1"/>
  </r>
  <r>
    <x v="0"/>
    <x v="70"/>
    <x v="70"/>
    <x v="177"/>
    <x v="174"/>
    <x v="177"/>
    <x v="14"/>
    <x v="139"/>
    <x v="30"/>
    <x v="110"/>
    <x v="184"/>
    <x v="84"/>
    <x v="360"/>
    <x v="1"/>
  </r>
  <r>
    <x v="0"/>
    <x v="70"/>
    <x v="70"/>
    <x v="34"/>
    <x v="34"/>
    <x v="34"/>
    <x v="14"/>
    <x v="139"/>
    <x v="30"/>
    <x v="77"/>
    <x v="440"/>
    <x v="72"/>
    <x v="77"/>
    <x v="1"/>
  </r>
  <r>
    <x v="0"/>
    <x v="71"/>
    <x v="71"/>
    <x v="2"/>
    <x v="2"/>
    <x v="2"/>
    <x v="0"/>
    <x v="50"/>
    <x v="360"/>
    <x v="90"/>
    <x v="444"/>
    <x v="90"/>
    <x v="362"/>
    <x v="0"/>
  </r>
  <r>
    <x v="0"/>
    <x v="71"/>
    <x v="71"/>
    <x v="1"/>
    <x v="1"/>
    <x v="1"/>
    <x v="1"/>
    <x v="113"/>
    <x v="361"/>
    <x v="68"/>
    <x v="445"/>
    <x v="69"/>
    <x v="363"/>
    <x v="1"/>
  </r>
  <r>
    <x v="0"/>
    <x v="71"/>
    <x v="71"/>
    <x v="5"/>
    <x v="5"/>
    <x v="5"/>
    <x v="2"/>
    <x v="122"/>
    <x v="273"/>
    <x v="77"/>
    <x v="415"/>
    <x v="54"/>
    <x v="364"/>
    <x v="1"/>
  </r>
  <r>
    <x v="0"/>
    <x v="71"/>
    <x v="71"/>
    <x v="8"/>
    <x v="8"/>
    <x v="8"/>
    <x v="3"/>
    <x v="115"/>
    <x v="123"/>
    <x v="104"/>
    <x v="446"/>
    <x v="72"/>
    <x v="77"/>
    <x v="1"/>
  </r>
  <r>
    <x v="0"/>
    <x v="71"/>
    <x v="71"/>
    <x v="19"/>
    <x v="19"/>
    <x v="19"/>
    <x v="4"/>
    <x v="123"/>
    <x v="274"/>
    <x v="101"/>
    <x v="414"/>
    <x v="42"/>
    <x v="365"/>
    <x v="1"/>
  </r>
  <r>
    <x v="0"/>
    <x v="71"/>
    <x v="71"/>
    <x v="9"/>
    <x v="9"/>
    <x v="9"/>
    <x v="4"/>
    <x v="123"/>
    <x v="274"/>
    <x v="81"/>
    <x v="227"/>
    <x v="78"/>
    <x v="48"/>
    <x v="1"/>
  </r>
  <r>
    <x v="0"/>
    <x v="71"/>
    <x v="71"/>
    <x v="23"/>
    <x v="23"/>
    <x v="23"/>
    <x v="6"/>
    <x v="124"/>
    <x v="4"/>
    <x v="75"/>
    <x v="418"/>
    <x v="56"/>
    <x v="366"/>
    <x v="1"/>
  </r>
  <r>
    <x v="0"/>
    <x v="71"/>
    <x v="71"/>
    <x v="0"/>
    <x v="0"/>
    <x v="0"/>
    <x v="6"/>
    <x v="124"/>
    <x v="4"/>
    <x v="70"/>
    <x v="447"/>
    <x v="70"/>
    <x v="367"/>
    <x v="1"/>
  </r>
  <r>
    <x v="0"/>
    <x v="71"/>
    <x v="71"/>
    <x v="6"/>
    <x v="6"/>
    <x v="6"/>
    <x v="8"/>
    <x v="126"/>
    <x v="103"/>
    <x v="70"/>
    <x v="447"/>
    <x v="69"/>
    <x v="363"/>
    <x v="1"/>
  </r>
  <r>
    <x v="0"/>
    <x v="71"/>
    <x v="71"/>
    <x v="4"/>
    <x v="4"/>
    <x v="4"/>
    <x v="8"/>
    <x v="126"/>
    <x v="103"/>
    <x v="80"/>
    <x v="448"/>
    <x v="72"/>
    <x v="77"/>
    <x v="1"/>
  </r>
  <r>
    <x v="0"/>
    <x v="71"/>
    <x v="71"/>
    <x v="12"/>
    <x v="12"/>
    <x v="12"/>
    <x v="10"/>
    <x v="133"/>
    <x v="275"/>
    <x v="101"/>
    <x v="414"/>
    <x v="78"/>
    <x v="48"/>
    <x v="1"/>
  </r>
  <r>
    <x v="0"/>
    <x v="71"/>
    <x v="71"/>
    <x v="36"/>
    <x v="36"/>
    <x v="36"/>
    <x v="10"/>
    <x v="133"/>
    <x v="275"/>
    <x v="74"/>
    <x v="416"/>
    <x v="70"/>
    <x v="367"/>
    <x v="1"/>
  </r>
  <r>
    <x v="0"/>
    <x v="71"/>
    <x v="71"/>
    <x v="40"/>
    <x v="40"/>
    <x v="40"/>
    <x v="10"/>
    <x v="133"/>
    <x v="275"/>
    <x v="101"/>
    <x v="414"/>
    <x v="78"/>
    <x v="48"/>
    <x v="1"/>
  </r>
  <r>
    <x v="0"/>
    <x v="71"/>
    <x v="71"/>
    <x v="17"/>
    <x v="17"/>
    <x v="17"/>
    <x v="13"/>
    <x v="143"/>
    <x v="94"/>
    <x v="77"/>
    <x v="415"/>
    <x v="56"/>
    <x v="366"/>
    <x v="1"/>
  </r>
  <r>
    <x v="0"/>
    <x v="71"/>
    <x v="71"/>
    <x v="16"/>
    <x v="16"/>
    <x v="16"/>
    <x v="13"/>
    <x v="143"/>
    <x v="94"/>
    <x v="76"/>
    <x v="417"/>
    <x v="78"/>
    <x v="48"/>
    <x v="1"/>
  </r>
  <r>
    <x v="0"/>
    <x v="71"/>
    <x v="71"/>
    <x v="45"/>
    <x v="45"/>
    <x v="45"/>
    <x v="15"/>
    <x v="140"/>
    <x v="276"/>
    <x v="101"/>
    <x v="414"/>
    <x v="69"/>
    <x v="363"/>
    <x v="1"/>
  </r>
  <r>
    <x v="0"/>
    <x v="71"/>
    <x v="71"/>
    <x v="53"/>
    <x v="53"/>
    <x v="53"/>
    <x v="15"/>
    <x v="140"/>
    <x v="276"/>
    <x v="76"/>
    <x v="417"/>
    <x v="70"/>
    <x v="367"/>
    <x v="1"/>
  </r>
  <r>
    <x v="0"/>
    <x v="71"/>
    <x v="71"/>
    <x v="14"/>
    <x v="14"/>
    <x v="14"/>
    <x v="15"/>
    <x v="140"/>
    <x v="276"/>
    <x v="75"/>
    <x v="418"/>
    <x v="72"/>
    <x v="77"/>
    <x v="1"/>
  </r>
  <r>
    <x v="0"/>
    <x v="71"/>
    <x v="71"/>
    <x v="3"/>
    <x v="3"/>
    <x v="3"/>
    <x v="15"/>
    <x v="140"/>
    <x v="276"/>
    <x v="75"/>
    <x v="418"/>
    <x v="72"/>
    <x v="77"/>
    <x v="1"/>
  </r>
  <r>
    <x v="0"/>
    <x v="71"/>
    <x v="71"/>
    <x v="46"/>
    <x v="46"/>
    <x v="46"/>
    <x v="15"/>
    <x v="140"/>
    <x v="276"/>
    <x v="101"/>
    <x v="414"/>
    <x v="69"/>
    <x v="363"/>
    <x v="1"/>
  </r>
  <r>
    <x v="0"/>
    <x v="71"/>
    <x v="71"/>
    <x v="24"/>
    <x v="24"/>
    <x v="24"/>
    <x v="15"/>
    <x v="140"/>
    <x v="276"/>
    <x v="76"/>
    <x v="417"/>
    <x v="70"/>
    <x v="367"/>
    <x v="1"/>
  </r>
  <r>
    <x v="0"/>
    <x v="71"/>
    <x v="71"/>
    <x v="48"/>
    <x v="48"/>
    <x v="48"/>
    <x v="15"/>
    <x v="140"/>
    <x v="276"/>
    <x v="110"/>
    <x v="184"/>
    <x v="72"/>
    <x v="77"/>
    <x v="1"/>
  </r>
  <r>
    <x v="0"/>
    <x v="72"/>
    <x v="72"/>
    <x v="2"/>
    <x v="2"/>
    <x v="2"/>
    <x v="0"/>
    <x v="85"/>
    <x v="362"/>
    <x v="107"/>
    <x v="449"/>
    <x v="70"/>
    <x v="74"/>
    <x v="1"/>
  </r>
  <r>
    <x v="0"/>
    <x v="72"/>
    <x v="72"/>
    <x v="5"/>
    <x v="5"/>
    <x v="5"/>
    <x v="1"/>
    <x v="140"/>
    <x v="197"/>
    <x v="110"/>
    <x v="184"/>
    <x v="60"/>
    <x v="368"/>
    <x v="1"/>
  </r>
  <r>
    <x v="0"/>
    <x v="72"/>
    <x v="72"/>
    <x v="40"/>
    <x v="40"/>
    <x v="40"/>
    <x v="1"/>
    <x v="140"/>
    <x v="197"/>
    <x v="76"/>
    <x v="138"/>
    <x v="70"/>
    <x v="74"/>
    <x v="1"/>
  </r>
  <r>
    <x v="0"/>
    <x v="72"/>
    <x v="72"/>
    <x v="4"/>
    <x v="4"/>
    <x v="4"/>
    <x v="1"/>
    <x v="140"/>
    <x v="197"/>
    <x v="75"/>
    <x v="263"/>
    <x v="72"/>
    <x v="77"/>
    <x v="1"/>
  </r>
  <r>
    <x v="0"/>
    <x v="72"/>
    <x v="72"/>
    <x v="12"/>
    <x v="12"/>
    <x v="12"/>
    <x v="4"/>
    <x v="137"/>
    <x v="363"/>
    <x v="76"/>
    <x v="138"/>
    <x v="69"/>
    <x v="369"/>
    <x v="1"/>
  </r>
  <r>
    <x v="0"/>
    <x v="72"/>
    <x v="72"/>
    <x v="19"/>
    <x v="19"/>
    <x v="19"/>
    <x v="5"/>
    <x v="138"/>
    <x v="198"/>
    <x v="73"/>
    <x v="68"/>
    <x v="84"/>
    <x v="370"/>
    <x v="1"/>
  </r>
  <r>
    <x v="0"/>
    <x v="72"/>
    <x v="72"/>
    <x v="17"/>
    <x v="17"/>
    <x v="17"/>
    <x v="5"/>
    <x v="138"/>
    <x v="198"/>
    <x v="110"/>
    <x v="184"/>
    <x v="78"/>
    <x v="371"/>
    <x v="1"/>
  </r>
  <r>
    <x v="0"/>
    <x v="72"/>
    <x v="72"/>
    <x v="10"/>
    <x v="10"/>
    <x v="10"/>
    <x v="5"/>
    <x v="138"/>
    <x v="198"/>
    <x v="73"/>
    <x v="68"/>
    <x v="84"/>
    <x v="370"/>
    <x v="1"/>
  </r>
  <r>
    <x v="0"/>
    <x v="72"/>
    <x v="72"/>
    <x v="9"/>
    <x v="9"/>
    <x v="9"/>
    <x v="5"/>
    <x v="138"/>
    <x v="198"/>
    <x v="77"/>
    <x v="287"/>
    <x v="69"/>
    <x v="369"/>
    <x v="1"/>
  </r>
  <r>
    <x v="0"/>
    <x v="72"/>
    <x v="72"/>
    <x v="1"/>
    <x v="1"/>
    <x v="1"/>
    <x v="5"/>
    <x v="138"/>
    <x v="198"/>
    <x v="76"/>
    <x v="138"/>
    <x v="72"/>
    <x v="77"/>
    <x v="1"/>
  </r>
  <r>
    <x v="0"/>
    <x v="72"/>
    <x v="72"/>
    <x v="13"/>
    <x v="13"/>
    <x v="13"/>
    <x v="10"/>
    <x v="139"/>
    <x v="135"/>
    <x v="110"/>
    <x v="184"/>
    <x v="84"/>
    <x v="370"/>
    <x v="1"/>
  </r>
  <r>
    <x v="0"/>
    <x v="72"/>
    <x v="72"/>
    <x v="35"/>
    <x v="35"/>
    <x v="35"/>
    <x v="10"/>
    <x v="139"/>
    <x v="135"/>
    <x v="73"/>
    <x v="68"/>
    <x v="70"/>
    <x v="74"/>
    <x v="1"/>
  </r>
  <r>
    <x v="0"/>
    <x v="72"/>
    <x v="72"/>
    <x v="16"/>
    <x v="16"/>
    <x v="16"/>
    <x v="10"/>
    <x v="139"/>
    <x v="135"/>
    <x v="102"/>
    <x v="264"/>
    <x v="69"/>
    <x v="369"/>
    <x v="1"/>
  </r>
  <r>
    <x v="0"/>
    <x v="72"/>
    <x v="72"/>
    <x v="62"/>
    <x v="62"/>
    <x v="62"/>
    <x v="10"/>
    <x v="139"/>
    <x v="135"/>
    <x v="102"/>
    <x v="264"/>
    <x v="69"/>
    <x v="369"/>
    <x v="1"/>
  </r>
  <r>
    <x v="0"/>
    <x v="72"/>
    <x v="72"/>
    <x v="14"/>
    <x v="14"/>
    <x v="14"/>
    <x v="10"/>
    <x v="139"/>
    <x v="135"/>
    <x v="77"/>
    <x v="287"/>
    <x v="72"/>
    <x v="77"/>
    <x v="1"/>
  </r>
  <r>
    <x v="0"/>
    <x v="72"/>
    <x v="72"/>
    <x v="36"/>
    <x v="36"/>
    <x v="36"/>
    <x v="15"/>
    <x v="141"/>
    <x v="31"/>
    <x v="102"/>
    <x v="264"/>
    <x v="72"/>
    <x v="77"/>
    <x v="1"/>
  </r>
  <r>
    <x v="0"/>
    <x v="72"/>
    <x v="72"/>
    <x v="53"/>
    <x v="53"/>
    <x v="53"/>
    <x v="15"/>
    <x v="141"/>
    <x v="31"/>
    <x v="73"/>
    <x v="68"/>
    <x v="72"/>
    <x v="77"/>
    <x v="1"/>
  </r>
  <r>
    <x v="0"/>
    <x v="72"/>
    <x v="72"/>
    <x v="31"/>
    <x v="31"/>
    <x v="31"/>
    <x v="15"/>
    <x v="141"/>
    <x v="31"/>
    <x v="102"/>
    <x v="264"/>
    <x v="72"/>
    <x v="77"/>
    <x v="1"/>
  </r>
  <r>
    <x v="0"/>
    <x v="72"/>
    <x v="72"/>
    <x v="44"/>
    <x v="44"/>
    <x v="44"/>
    <x v="15"/>
    <x v="141"/>
    <x v="31"/>
    <x v="73"/>
    <x v="68"/>
    <x v="69"/>
    <x v="369"/>
    <x v="1"/>
  </r>
  <r>
    <x v="0"/>
    <x v="72"/>
    <x v="72"/>
    <x v="41"/>
    <x v="41"/>
    <x v="41"/>
    <x v="15"/>
    <x v="141"/>
    <x v="31"/>
    <x v="73"/>
    <x v="68"/>
    <x v="69"/>
    <x v="369"/>
    <x v="1"/>
  </r>
  <r>
    <x v="0"/>
    <x v="72"/>
    <x v="72"/>
    <x v="178"/>
    <x v="175"/>
    <x v="178"/>
    <x v="15"/>
    <x v="141"/>
    <x v="31"/>
    <x v="102"/>
    <x v="264"/>
    <x v="72"/>
    <x v="77"/>
    <x v="1"/>
  </r>
  <r>
    <x v="0"/>
    <x v="72"/>
    <x v="72"/>
    <x v="3"/>
    <x v="3"/>
    <x v="3"/>
    <x v="15"/>
    <x v="141"/>
    <x v="31"/>
    <x v="102"/>
    <x v="264"/>
    <x v="72"/>
    <x v="77"/>
    <x v="1"/>
  </r>
  <r>
    <x v="0"/>
    <x v="72"/>
    <x v="72"/>
    <x v="46"/>
    <x v="46"/>
    <x v="46"/>
    <x v="15"/>
    <x v="141"/>
    <x v="31"/>
    <x v="110"/>
    <x v="184"/>
    <x v="70"/>
    <x v="74"/>
    <x v="1"/>
  </r>
  <r>
    <x v="0"/>
    <x v="72"/>
    <x v="72"/>
    <x v="6"/>
    <x v="6"/>
    <x v="6"/>
    <x v="15"/>
    <x v="141"/>
    <x v="31"/>
    <x v="73"/>
    <x v="68"/>
    <x v="69"/>
    <x v="369"/>
    <x v="1"/>
  </r>
  <r>
    <x v="0"/>
    <x v="73"/>
    <x v="73"/>
    <x v="2"/>
    <x v="2"/>
    <x v="2"/>
    <x v="0"/>
    <x v="146"/>
    <x v="364"/>
    <x v="130"/>
    <x v="450"/>
    <x v="74"/>
    <x v="372"/>
    <x v="1"/>
  </r>
  <r>
    <x v="0"/>
    <x v="73"/>
    <x v="73"/>
    <x v="6"/>
    <x v="6"/>
    <x v="6"/>
    <x v="1"/>
    <x v="124"/>
    <x v="365"/>
    <x v="52"/>
    <x v="354"/>
    <x v="72"/>
    <x v="77"/>
    <x v="1"/>
  </r>
  <r>
    <x v="0"/>
    <x v="73"/>
    <x v="73"/>
    <x v="3"/>
    <x v="3"/>
    <x v="3"/>
    <x v="2"/>
    <x v="133"/>
    <x v="2"/>
    <x v="81"/>
    <x v="399"/>
    <x v="69"/>
    <x v="120"/>
    <x v="1"/>
  </r>
  <r>
    <x v="0"/>
    <x v="73"/>
    <x v="73"/>
    <x v="14"/>
    <x v="14"/>
    <x v="14"/>
    <x v="3"/>
    <x v="143"/>
    <x v="4"/>
    <x v="76"/>
    <x v="188"/>
    <x v="78"/>
    <x v="328"/>
    <x v="1"/>
  </r>
  <r>
    <x v="0"/>
    <x v="73"/>
    <x v="73"/>
    <x v="9"/>
    <x v="9"/>
    <x v="9"/>
    <x v="4"/>
    <x v="136"/>
    <x v="191"/>
    <x v="101"/>
    <x v="285"/>
    <x v="70"/>
    <x v="122"/>
    <x v="1"/>
  </r>
  <r>
    <x v="0"/>
    <x v="73"/>
    <x v="73"/>
    <x v="51"/>
    <x v="51"/>
    <x v="51"/>
    <x v="5"/>
    <x v="137"/>
    <x v="188"/>
    <x v="73"/>
    <x v="355"/>
    <x v="78"/>
    <x v="328"/>
    <x v="1"/>
  </r>
  <r>
    <x v="0"/>
    <x v="73"/>
    <x v="73"/>
    <x v="16"/>
    <x v="16"/>
    <x v="16"/>
    <x v="5"/>
    <x v="137"/>
    <x v="188"/>
    <x v="102"/>
    <x v="19"/>
    <x v="84"/>
    <x v="329"/>
    <x v="1"/>
  </r>
  <r>
    <x v="0"/>
    <x v="73"/>
    <x v="73"/>
    <x v="4"/>
    <x v="4"/>
    <x v="4"/>
    <x v="5"/>
    <x v="137"/>
    <x v="188"/>
    <x v="101"/>
    <x v="285"/>
    <x v="72"/>
    <x v="77"/>
    <x v="1"/>
  </r>
  <r>
    <x v="0"/>
    <x v="73"/>
    <x v="73"/>
    <x v="5"/>
    <x v="5"/>
    <x v="5"/>
    <x v="8"/>
    <x v="138"/>
    <x v="366"/>
    <x v="110"/>
    <x v="184"/>
    <x v="78"/>
    <x v="328"/>
    <x v="1"/>
  </r>
  <r>
    <x v="0"/>
    <x v="73"/>
    <x v="73"/>
    <x v="42"/>
    <x v="42"/>
    <x v="42"/>
    <x v="8"/>
    <x v="138"/>
    <x v="366"/>
    <x v="110"/>
    <x v="184"/>
    <x v="78"/>
    <x v="328"/>
    <x v="1"/>
  </r>
  <r>
    <x v="0"/>
    <x v="73"/>
    <x v="73"/>
    <x v="8"/>
    <x v="8"/>
    <x v="8"/>
    <x v="8"/>
    <x v="138"/>
    <x v="366"/>
    <x v="76"/>
    <x v="188"/>
    <x v="72"/>
    <x v="77"/>
    <x v="1"/>
  </r>
  <r>
    <x v="0"/>
    <x v="73"/>
    <x v="73"/>
    <x v="26"/>
    <x v="26"/>
    <x v="26"/>
    <x v="8"/>
    <x v="138"/>
    <x v="366"/>
    <x v="77"/>
    <x v="64"/>
    <x v="72"/>
    <x v="77"/>
    <x v="1"/>
  </r>
  <r>
    <x v="0"/>
    <x v="73"/>
    <x v="73"/>
    <x v="12"/>
    <x v="12"/>
    <x v="12"/>
    <x v="12"/>
    <x v="139"/>
    <x v="367"/>
    <x v="77"/>
    <x v="64"/>
    <x v="72"/>
    <x v="77"/>
    <x v="1"/>
  </r>
  <r>
    <x v="0"/>
    <x v="73"/>
    <x v="73"/>
    <x v="88"/>
    <x v="88"/>
    <x v="88"/>
    <x v="12"/>
    <x v="139"/>
    <x v="367"/>
    <x v="110"/>
    <x v="184"/>
    <x v="70"/>
    <x v="122"/>
    <x v="0"/>
  </r>
  <r>
    <x v="0"/>
    <x v="73"/>
    <x v="73"/>
    <x v="23"/>
    <x v="23"/>
    <x v="23"/>
    <x v="12"/>
    <x v="139"/>
    <x v="367"/>
    <x v="102"/>
    <x v="19"/>
    <x v="69"/>
    <x v="120"/>
    <x v="1"/>
  </r>
  <r>
    <x v="0"/>
    <x v="73"/>
    <x v="73"/>
    <x v="41"/>
    <x v="41"/>
    <x v="41"/>
    <x v="12"/>
    <x v="139"/>
    <x v="367"/>
    <x v="73"/>
    <x v="355"/>
    <x v="70"/>
    <x v="122"/>
    <x v="1"/>
  </r>
  <r>
    <x v="0"/>
    <x v="73"/>
    <x v="73"/>
    <x v="148"/>
    <x v="148"/>
    <x v="148"/>
    <x v="12"/>
    <x v="139"/>
    <x v="367"/>
    <x v="110"/>
    <x v="184"/>
    <x v="84"/>
    <x v="329"/>
    <x v="1"/>
  </r>
  <r>
    <x v="0"/>
    <x v="73"/>
    <x v="73"/>
    <x v="15"/>
    <x v="15"/>
    <x v="15"/>
    <x v="12"/>
    <x v="139"/>
    <x v="367"/>
    <x v="102"/>
    <x v="19"/>
    <x v="69"/>
    <x v="120"/>
    <x v="1"/>
  </r>
  <r>
    <x v="0"/>
    <x v="73"/>
    <x v="73"/>
    <x v="62"/>
    <x v="62"/>
    <x v="62"/>
    <x v="12"/>
    <x v="139"/>
    <x v="367"/>
    <x v="102"/>
    <x v="19"/>
    <x v="69"/>
    <x v="120"/>
    <x v="1"/>
  </r>
  <r>
    <x v="0"/>
    <x v="73"/>
    <x v="73"/>
    <x v="46"/>
    <x v="46"/>
    <x v="46"/>
    <x v="12"/>
    <x v="139"/>
    <x v="367"/>
    <x v="77"/>
    <x v="64"/>
    <x v="72"/>
    <x v="77"/>
    <x v="1"/>
  </r>
  <r>
    <x v="0"/>
    <x v="73"/>
    <x v="73"/>
    <x v="48"/>
    <x v="48"/>
    <x v="48"/>
    <x v="12"/>
    <x v="139"/>
    <x v="367"/>
    <x v="110"/>
    <x v="184"/>
    <x v="69"/>
    <x v="120"/>
    <x v="1"/>
  </r>
  <r>
    <x v="0"/>
    <x v="74"/>
    <x v="74"/>
    <x v="2"/>
    <x v="2"/>
    <x v="2"/>
    <x v="0"/>
    <x v="109"/>
    <x v="368"/>
    <x v="48"/>
    <x v="451"/>
    <x v="60"/>
    <x v="370"/>
    <x v="1"/>
  </r>
  <r>
    <x v="0"/>
    <x v="74"/>
    <x v="74"/>
    <x v="5"/>
    <x v="5"/>
    <x v="5"/>
    <x v="1"/>
    <x v="122"/>
    <x v="369"/>
    <x v="102"/>
    <x v="94"/>
    <x v="57"/>
    <x v="373"/>
    <x v="1"/>
  </r>
  <r>
    <x v="0"/>
    <x v="74"/>
    <x v="74"/>
    <x v="14"/>
    <x v="14"/>
    <x v="14"/>
    <x v="2"/>
    <x v="115"/>
    <x v="370"/>
    <x v="75"/>
    <x v="452"/>
    <x v="42"/>
    <x v="374"/>
    <x v="1"/>
  </r>
  <r>
    <x v="0"/>
    <x v="74"/>
    <x v="74"/>
    <x v="4"/>
    <x v="4"/>
    <x v="4"/>
    <x v="3"/>
    <x v="143"/>
    <x v="123"/>
    <x v="81"/>
    <x v="453"/>
    <x v="72"/>
    <x v="77"/>
    <x v="1"/>
  </r>
  <r>
    <x v="0"/>
    <x v="74"/>
    <x v="74"/>
    <x v="179"/>
    <x v="176"/>
    <x v="179"/>
    <x v="4"/>
    <x v="136"/>
    <x v="246"/>
    <x v="75"/>
    <x v="452"/>
    <x v="69"/>
    <x v="11"/>
    <x v="1"/>
  </r>
  <r>
    <x v="0"/>
    <x v="74"/>
    <x v="74"/>
    <x v="10"/>
    <x v="10"/>
    <x v="10"/>
    <x v="4"/>
    <x v="136"/>
    <x v="246"/>
    <x v="76"/>
    <x v="454"/>
    <x v="84"/>
    <x v="161"/>
    <x v="1"/>
  </r>
  <r>
    <x v="0"/>
    <x v="74"/>
    <x v="74"/>
    <x v="1"/>
    <x v="1"/>
    <x v="1"/>
    <x v="4"/>
    <x v="136"/>
    <x v="246"/>
    <x v="101"/>
    <x v="455"/>
    <x v="70"/>
    <x v="369"/>
    <x v="1"/>
  </r>
  <r>
    <x v="0"/>
    <x v="74"/>
    <x v="74"/>
    <x v="12"/>
    <x v="12"/>
    <x v="12"/>
    <x v="7"/>
    <x v="140"/>
    <x v="114"/>
    <x v="102"/>
    <x v="94"/>
    <x v="78"/>
    <x v="74"/>
    <x v="1"/>
  </r>
  <r>
    <x v="0"/>
    <x v="74"/>
    <x v="74"/>
    <x v="36"/>
    <x v="36"/>
    <x v="36"/>
    <x v="7"/>
    <x v="140"/>
    <x v="114"/>
    <x v="75"/>
    <x v="452"/>
    <x v="72"/>
    <x v="77"/>
    <x v="1"/>
  </r>
  <r>
    <x v="0"/>
    <x v="74"/>
    <x v="74"/>
    <x v="26"/>
    <x v="26"/>
    <x v="26"/>
    <x v="7"/>
    <x v="140"/>
    <x v="114"/>
    <x v="75"/>
    <x v="452"/>
    <x v="72"/>
    <x v="77"/>
    <x v="1"/>
  </r>
  <r>
    <x v="0"/>
    <x v="74"/>
    <x v="74"/>
    <x v="19"/>
    <x v="19"/>
    <x v="19"/>
    <x v="10"/>
    <x v="137"/>
    <x v="10"/>
    <x v="73"/>
    <x v="319"/>
    <x v="78"/>
    <x v="74"/>
    <x v="1"/>
  </r>
  <r>
    <x v="0"/>
    <x v="74"/>
    <x v="74"/>
    <x v="9"/>
    <x v="9"/>
    <x v="9"/>
    <x v="10"/>
    <x v="137"/>
    <x v="10"/>
    <x v="76"/>
    <x v="454"/>
    <x v="69"/>
    <x v="11"/>
    <x v="1"/>
  </r>
  <r>
    <x v="0"/>
    <x v="74"/>
    <x v="74"/>
    <x v="15"/>
    <x v="15"/>
    <x v="15"/>
    <x v="10"/>
    <x v="137"/>
    <x v="10"/>
    <x v="73"/>
    <x v="319"/>
    <x v="78"/>
    <x v="74"/>
    <x v="1"/>
  </r>
  <r>
    <x v="0"/>
    <x v="74"/>
    <x v="74"/>
    <x v="11"/>
    <x v="11"/>
    <x v="11"/>
    <x v="10"/>
    <x v="137"/>
    <x v="10"/>
    <x v="76"/>
    <x v="454"/>
    <x v="69"/>
    <x v="11"/>
    <x v="1"/>
  </r>
  <r>
    <x v="0"/>
    <x v="74"/>
    <x v="74"/>
    <x v="13"/>
    <x v="13"/>
    <x v="13"/>
    <x v="14"/>
    <x v="138"/>
    <x v="106"/>
    <x v="73"/>
    <x v="319"/>
    <x v="84"/>
    <x v="161"/>
    <x v="1"/>
  </r>
  <r>
    <x v="0"/>
    <x v="74"/>
    <x v="74"/>
    <x v="121"/>
    <x v="121"/>
    <x v="121"/>
    <x v="14"/>
    <x v="138"/>
    <x v="106"/>
    <x v="110"/>
    <x v="184"/>
    <x v="78"/>
    <x v="74"/>
    <x v="1"/>
  </r>
  <r>
    <x v="0"/>
    <x v="74"/>
    <x v="74"/>
    <x v="52"/>
    <x v="52"/>
    <x v="52"/>
    <x v="14"/>
    <x v="138"/>
    <x v="106"/>
    <x v="77"/>
    <x v="232"/>
    <x v="69"/>
    <x v="11"/>
    <x v="1"/>
  </r>
  <r>
    <x v="0"/>
    <x v="74"/>
    <x v="74"/>
    <x v="59"/>
    <x v="59"/>
    <x v="59"/>
    <x v="14"/>
    <x v="138"/>
    <x v="106"/>
    <x v="77"/>
    <x v="232"/>
    <x v="69"/>
    <x v="11"/>
    <x v="1"/>
  </r>
  <r>
    <x v="0"/>
    <x v="74"/>
    <x v="74"/>
    <x v="3"/>
    <x v="3"/>
    <x v="3"/>
    <x v="14"/>
    <x v="138"/>
    <x v="106"/>
    <x v="76"/>
    <x v="454"/>
    <x v="72"/>
    <x v="77"/>
    <x v="1"/>
  </r>
  <r>
    <x v="0"/>
    <x v="74"/>
    <x v="74"/>
    <x v="46"/>
    <x v="46"/>
    <x v="46"/>
    <x v="14"/>
    <x v="138"/>
    <x v="106"/>
    <x v="76"/>
    <x v="454"/>
    <x v="72"/>
    <x v="77"/>
    <x v="1"/>
  </r>
  <r>
    <x v="0"/>
    <x v="74"/>
    <x v="74"/>
    <x v="48"/>
    <x v="48"/>
    <x v="48"/>
    <x v="14"/>
    <x v="138"/>
    <x v="106"/>
    <x v="110"/>
    <x v="184"/>
    <x v="69"/>
    <x v="11"/>
    <x v="1"/>
  </r>
  <r>
    <x v="0"/>
    <x v="75"/>
    <x v="75"/>
    <x v="5"/>
    <x v="5"/>
    <x v="5"/>
    <x v="0"/>
    <x v="140"/>
    <x v="203"/>
    <x v="110"/>
    <x v="184"/>
    <x v="60"/>
    <x v="375"/>
    <x v="1"/>
  </r>
  <r>
    <x v="0"/>
    <x v="75"/>
    <x v="75"/>
    <x v="9"/>
    <x v="9"/>
    <x v="9"/>
    <x v="0"/>
    <x v="140"/>
    <x v="203"/>
    <x v="101"/>
    <x v="171"/>
    <x v="69"/>
    <x v="228"/>
    <x v="1"/>
  </r>
  <r>
    <x v="0"/>
    <x v="75"/>
    <x v="75"/>
    <x v="12"/>
    <x v="12"/>
    <x v="12"/>
    <x v="2"/>
    <x v="138"/>
    <x v="371"/>
    <x v="77"/>
    <x v="73"/>
    <x v="69"/>
    <x v="228"/>
    <x v="1"/>
  </r>
  <r>
    <x v="0"/>
    <x v="75"/>
    <x v="75"/>
    <x v="40"/>
    <x v="40"/>
    <x v="40"/>
    <x v="2"/>
    <x v="138"/>
    <x v="371"/>
    <x v="77"/>
    <x v="73"/>
    <x v="69"/>
    <x v="228"/>
    <x v="1"/>
  </r>
  <r>
    <x v="0"/>
    <x v="75"/>
    <x v="75"/>
    <x v="2"/>
    <x v="2"/>
    <x v="2"/>
    <x v="2"/>
    <x v="138"/>
    <x v="371"/>
    <x v="102"/>
    <x v="273"/>
    <x v="69"/>
    <x v="228"/>
    <x v="1"/>
  </r>
  <r>
    <x v="0"/>
    <x v="75"/>
    <x v="75"/>
    <x v="4"/>
    <x v="4"/>
    <x v="4"/>
    <x v="2"/>
    <x v="138"/>
    <x v="371"/>
    <x v="76"/>
    <x v="456"/>
    <x v="72"/>
    <x v="77"/>
    <x v="1"/>
  </r>
  <r>
    <x v="0"/>
    <x v="75"/>
    <x v="75"/>
    <x v="1"/>
    <x v="1"/>
    <x v="1"/>
    <x v="2"/>
    <x v="138"/>
    <x v="371"/>
    <x v="76"/>
    <x v="456"/>
    <x v="72"/>
    <x v="77"/>
    <x v="1"/>
  </r>
  <r>
    <x v="0"/>
    <x v="75"/>
    <x v="75"/>
    <x v="13"/>
    <x v="13"/>
    <x v="13"/>
    <x v="7"/>
    <x v="139"/>
    <x v="204"/>
    <x v="110"/>
    <x v="184"/>
    <x v="84"/>
    <x v="226"/>
    <x v="1"/>
  </r>
  <r>
    <x v="0"/>
    <x v="75"/>
    <x v="75"/>
    <x v="50"/>
    <x v="50"/>
    <x v="50"/>
    <x v="8"/>
    <x v="141"/>
    <x v="41"/>
    <x v="102"/>
    <x v="273"/>
    <x v="72"/>
    <x v="77"/>
    <x v="1"/>
  </r>
  <r>
    <x v="0"/>
    <x v="75"/>
    <x v="75"/>
    <x v="45"/>
    <x v="45"/>
    <x v="45"/>
    <x v="8"/>
    <x v="141"/>
    <x v="41"/>
    <x v="102"/>
    <x v="273"/>
    <x v="72"/>
    <x v="77"/>
    <x v="1"/>
  </r>
  <r>
    <x v="0"/>
    <x v="75"/>
    <x v="75"/>
    <x v="19"/>
    <x v="19"/>
    <x v="19"/>
    <x v="8"/>
    <x v="141"/>
    <x v="41"/>
    <x v="102"/>
    <x v="273"/>
    <x v="72"/>
    <x v="77"/>
    <x v="1"/>
  </r>
  <r>
    <x v="0"/>
    <x v="75"/>
    <x v="75"/>
    <x v="23"/>
    <x v="23"/>
    <x v="23"/>
    <x v="8"/>
    <x v="141"/>
    <x v="41"/>
    <x v="102"/>
    <x v="273"/>
    <x v="72"/>
    <x v="77"/>
    <x v="1"/>
  </r>
  <r>
    <x v="0"/>
    <x v="75"/>
    <x v="75"/>
    <x v="16"/>
    <x v="16"/>
    <x v="16"/>
    <x v="8"/>
    <x v="141"/>
    <x v="41"/>
    <x v="102"/>
    <x v="273"/>
    <x v="72"/>
    <x v="77"/>
    <x v="1"/>
  </r>
  <r>
    <x v="0"/>
    <x v="75"/>
    <x v="75"/>
    <x v="44"/>
    <x v="44"/>
    <x v="44"/>
    <x v="8"/>
    <x v="141"/>
    <x v="41"/>
    <x v="102"/>
    <x v="273"/>
    <x v="72"/>
    <x v="77"/>
    <x v="1"/>
  </r>
  <r>
    <x v="0"/>
    <x v="75"/>
    <x v="75"/>
    <x v="42"/>
    <x v="42"/>
    <x v="42"/>
    <x v="8"/>
    <x v="141"/>
    <x v="41"/>
    <x v="110"/>
    <x v="184"/>
    <x v="70"/>
    <x v="222"/>
    <x v="1"/>
  </r>
  <r>
    <x v="0"/>
    <x v="75"/>
    <x v="75"/>
    <x v="115"/>
    <x v="115"/>
    <x v="115"/>
    <x v="8"/>
    <x v="141"/>
    <x v="41"/>
    <x v="110"/>
    <x v="184"/>
    <x v="72"/>
    <x v="77"/>
    <x v="1"/>
  </r>
  <r>
    <x v="0"/>
    <x v="75"/>
    <x v="75"/>
    <x v="86"/>
    <x v="86"/>
    <x v="86"/>
    <x v="16"/>
    <x v="142"/>
    <x v="372"/>
    <x v="110"/>
    <x v="184"/>
    <x v="69"/>
    <x v="228"/>
    <x v="1"/>
  </r>
  <r>
    <x v="0"/>
    <x v="75"/>
    <x v="75"/>
    <x v="36"/>
    <x v="36"/>
    <x v="36"/>
    <x v="16"/>
    <x v="142"/>
    <x v="372"/>
    <x v="73"/>
    <x v="205"/>
    <x v="72"/>
    <x v="77"/>
    <x v="1"/>
  </r>
  <r>
    <x v="0"/>
    <x v="75"/>
    <x v="75"/>
    <x v="93"/>
    <x v="93"/>
    <x v="93"/>
    <x v="16"/>
    <x v="142"/>
    <x v="372"/>
    <x v="110"/>
    <x v="184"/>
    <x v="69"/>
    <x v="228"/>
    <x v="1"/>
  </r>
  <r>
    <x v="0"/>
    <x v="75"/>
    <x v="75"/>
    <x v="149"/>
    <x v="149"/>
    <x v="149"/>
    <x v="16"/>
    <x v="142"/>
    <x v="372"/>
    <x v="73"/>
    <x v="205"/>
    <x v="72"/>
    <x v="77"/>
    <x v="1"/>
  </r>
  <r>
    <x v="0"/>
    <x v="75"/>
    <x v="75"/>
    <x v="30"/>
    <x v="30"/>
    <x v="30"/>
    <x v="16"/>
    <x v="142"/>
    <x v="372"/>
    <x v="73"/>
    <x v="205"/>
    <x v="72"/>
    <x v="77"/>
    <x v="1"/>
  </r>
  <r>
    <x v="0"/>
    <x v="75"/>
    <x v="75"/>
    <x v="112"/>
    <x v="112"/>
    <x v="112"/>
    <x v="16"/>
    <x v="142"/>
    <x v="372"/>
    <x v="73"/>
    <x v="205"/>
    <x v="72"/>
    <x v="77"/>
    <x v="1"/>
  </r>
  <r>
    <x v="0"/>
    <x v="75"/>
    <x v="75"/>
    <x v="133"/>
    <x v="133"/>
    <x v="133"/>
    <x v="16"/>
    <x v="142"/>
    <x v="372"/>
    <x v="110"/>
    <x v="184"/>
    <x v="69"/>
    <x v="228"/>
    <x v="1"/>
  </r>
  <r>
    <x v="0"/>
    <x v="75"/>
    <x v="75"/>
    <x v="56"/>
    <x v="56"/>
    <x v="56"/>
    <x v="16"/>
    <x v="142"/>
    <x v="372"/>
    <x v="110"/>
    <x v="184"/>
    <x v="69"/>
    <x v="228"/>
    <x v="1"/>
  </r>
  <r>
    <x v="0"/>
    <x v="75"/>
    <x v="75"/>
    <x v="64"/>
    <x v="64"/>
    <x v="64"/>
    <x v="16"/>
    <x v="142"/>
    <x v="372"/>
    <x v="73"/>
    <x v="205"/>
    <x v="72"/>
    <x v="77"/>
    <x v="1"/>
  </r>
  <r>
    <x v="0"/>
    <x v="75"/>
    <x v="75"/>
    <x v="120"/>
    <x v="120"/>
    <x v="120"/>
    <x v="16"/>
    <x v="142"/>
    <x v="372"/>
    <x v="73"/>
    <x v="205"/>
    <x v="72"/>
    <x v="77"/>
    <x v="1"/>
  </r>
  <r>
    <x v="0"/>
    <x v="75"/>
    <x v="75"/>
    <x v="105"/>
    <x v="105"/>
    <x v="105"/>
    <x v="16"/>
    <x v="142"/>
    <x v="372"/>
    <x v="110"/>
    <x v="184"/>
    <x v="69"/>
    <x v="228"/>
    <x v="1"/>
  </r>
  <r>
    <x v="0"/>
    <x v="75"/>
    <x v="75"/>
    <x v="180"/>
    <x v="177"/>
    <x v="180"/>
    <x v="16"/>
    <x v="142"/>
    <x v="372"/>
    <x v="73"/>
    <x v="205"/>
    <x v="72"/>
    <x v="77"/>
    <x v="1"/>
  </r>
  <r>
    <x v="0"/>
    <x v="75"/>
    <x v="75"/>
    <x v="95"/>
    <x v="95"/>
    <x v="95"/>
    <x v="16"/>
    <x v="142"/>
    <x v="372"/>
    <x v="110"/>
    <x v="184"/>
    <x v="69"/>
    <x v="228"/>
    <x v="1"/>
  </r>
  <r>
    <x v="0"/>
    <x v="75"/>
    <x v="75"/>
    <x v="67"/>
    <x v="67"/>
    <x v="67"/>
    <x v="16"/>
    <x v="142"/>
    <x v="372"/>
    <x v="110"/>
    <x v="184"/>
    <x v="72"/>
    <x v="77"/>
    <x v="1"/>
  </r>
  <r>
    <x v="0"/>
    <x v="75"/>
    <x v="75"/>
    <x v="61"/>
    <x v="61"/>
    <x v="61"/>
    <x v="16"/>
    <x v="142"/>
    <x v="372"/>
    <x v="73"/>
    <x v="205"/>
    <x v="72"/>
    <x v="77"/>
    <x v="1"/>
  </r>
  <r>
    <x v="0"/>
    <x v="75"/>
    <x v="75"/>
    <x v="39"/>
    <x v="39"/>
    <x v="39"/>
    <x v="16"/>
    <x v="142"/>
    <x v="372"/>
    <x v="110"/>
    <x v="184"/>
    <x v="69"/>
    <x v="228"/>
    <x v="1"/>
  </r>
  <r>
    <x v="0"/>
    <x v="75"/>
    <x v="75"/>
    <x v="37"/>
    <x v="37"/>
    <x v="37"/>
    <x v="16"/>
    <x v="142"/>
    <x v="372"/>
    <x v="110"/>
    <x v="184"/>
    <x v="69"/>
    <x v="228"/>
    <x v="1"/>
  </r>
  <r>
    <x v="0"/>
    <x v="75"/>
    <x v="75"/>
    <x v="181"/>
    <x v="178"/>
    <x v="181"/>
    <x v="16"/>
    <x v="142"/>
    <x v="372"/>
    <x v="73"/>
    <x v="205"/>
    <x v="72"/>
    <x v="77"/>
    <x v="1"/>
  </r>
  <r>
    <x v="0"/>
    <x v="75"/>
    <x v="75"/>
    <x v="182"/>
    <x v="179"/>
    <x v="182"/>
    <x v="16"/>
    <x v="142"/>
    <x v="372"/>
    <x v="110"/>
    <x v="184"/>
    <x v="69"/>
    <x v="228"/>
    <x v="1"/>
  </r>
  <r>
    <x v="0"/>
    <x v="75"/>
    <x v="75"/>
    <x v="22"/>
    <x v="22"/>
    <x v="22"/>
    <x v="16"/>
    <x v="142"/>
    <x v="372"/>
    <x v="110"/>
    <x v="184"/>
    <x v="69"/>
    <x v="228"/>
    <x v="1"/>
  </r>
  <r>
    <x v="0"/>
    <x v="75"/>
    <x v="75"/>
    <x v="52"/>
    <x v="52"/>
    <x v="52"/>
    <x v="16"/>
    <x v="142"/>
    <x v="372"/>
    <x v="73"/>
    <x v="205"/>
    <x v="72"/>
    <x v="77"/>
    <x v="1"/>
  </r>
  <r>
    <x v="0"/>
    <x v="75"/>
    <x v="75"/>
    <x v="53"/>
    <x v="53"/>
    <x v="53"/>
    <x v="16"/>
    <x v="142"/>
    <x v="372"/>
    <x v="110"/>
    <x v="184"/>
    <x v="69"/>
    <x v="228"/>
    <x v="1"/>
  </r>
  <r>
    <x v="0"/>
    <x v="75"/>
    <x v="75"/>
    <x v="31"/>
    <x v="31"/>
    <x v="31"/>
    <x v="16"/>
    <x v="142"/>
    <x v="372"/>
    <x v="73"/>
    <x v="205"/>
    <x v="72"/>
    <x v="77"/>
    <x v="1"/>
  </r>
  <r>
    <x v="0"/>
    <x v="75"/>
    <x v="75"/>
    <x v="114"/>
    <x v="114"/>
    <x v="114"/>
    <x v="16"/>
    <x v="142"/>
    <x v="372"/>
    <x v="73"/>
    <x v="205"/>
    <x v="72"/>
    <x v="77"/>
    <x v="1"/>
  </r>
  <r>
    <x v="0"/>
    <x v="75"/>
    <x v="75"/>
    <x v="82"/>
    <x v="82"/>
    <x v="82"/>
    <x v="16"/>
    <x v="142"/>
    <x v="372"/>
    <x v="110"/>
    <x v="184"/>
    <x v="69"/>
    <x v="228"/>
    <x v="1"/>
  </r>
  <r>
    <x v="0"/>
    <x v="75"/>
    <x v="75"/>
    <x v="148"/>
    <x v="148"/>
    <x v="148"/>
    <x v="16"/>
    <x v="142"/>
    <x v="372"/>
    <x v="110"/>
    <x v="184"/>
    <x v="69"/>
    <x v="228"/>
    <x v="1"/>
  </r>
  <r>
    <x v="0"/>
    <x v="75"/>
    <x v="75"/>
    <x v="73"/>
    <x v="73"/>
    <x v="73"/>
    <x v="16"/>
    <x v="142"/>
    <x v="372"/>
    <x v="73"/>
    <x v="205"/>
    <x v="72"/>
    <x v="77"/>
    <x v="1"/>
  </r>
  <r>
    <x v="0"/>
    <x v="75"/>
    <x v="75"/>
    <x v="15"/>
    <x v="15"/>
    <x v="15"/>
    <x v="16"/>
    <x v="142"/>
    <x v="372"/>
    <x v="73"/>
    <x v="205"/>
    <x v="72"/>
    <x v="77"/>
    <x v="1"/>
  </r>
  <r>
    <x v="0"/>
    <x v="75"/>
    <x v="75"/>
    <x v="152"/>
    <x v="152"/>
    <x v="152"/>
    <x v="16"/>
    <x v="142"/>
    <x v="372"/>
    <x v="73"/>
    <x v="205"/>
    <x v="72"/>
    <x v="77"/>
    <x v="1"/>
  </r>
  <r>
    <x v="0"/>
    <x v="75"/>
    <x v="75"/>
    <x v="62"/>
    <x v="62"/>
    <x v="62"/>
    <x v="16"/>
    <x v="142"/>
    <x v="372"/>
    <x v="73"/>
    <x v="205"/>
    <x v="72"/>
    <x v="77"/>
    <x v="1"/>
  </r>
  <r>
    <x v="0"/>
    <x v="75"/>
    <x v="75"/>
    <x v="14"/>
    <x v="14"/>
    <x v="14"/>
    <x v="16"/>
    <x v="142"/>
    <x v="372"/>
    <x v="73"/>
    <x v="205"/>
    <x v="72"/>
    <x v="77"/>
    <x v="1"/>
  </r>
  <r>
    <x v="0"/>
    <x v="75"/>
    <x v="75"/>
    <x v="3"/>
    <x v="3"/>
    <x v="3"/>
    <x v="16"/>
    <x v="142"/>
    <x v="372"/>
    <x v="73"/>
    <x v="205"/>
    <x v="72"/>
    <x v="77"/>
    <x v="1"/>
  </r>
  <r>
    <x v="0"/>
    <x v="75"/>
    <x v="75"/>
    <x v="74"/>
    <x v="74"/>
    <x v="74"/>
    <x v="16"/>
    <x v="142"/>
    <x v="372"/>
    <x v="73"/>
    <x v="205"/>
    <x v="72"/>
    <x v="77"/>
    <x v="1"/>
  </r>
  <r>
    <x v="0"/>
    <x v="75"/>
    <x v="75"/>
    <x v="48"/>
    <x v="48"/>
    <x v="48"/>
    <x v="16"/>
    <x v="142"/>
    <x v="372"/>
    <x v="110"/>
    <x v="184"/>
    <x v="72"/>
    <x v="77"/>
    <x v="1"/>
  </r>
  <r>
    <x v="0"/>
    <x v="75"/>
    <x v="75"/>
    <x v="104"/>
    <x v="104"/>
    <x v="104"/>
    <x v="16"/>
    <x v="142"/>
    <x v="372"/>
    <x v="73"/>
    <x v="205"/>
    <x v="72"/>
    <x v="77"/>
    <x v="1"/>
  </r>
  <r>
    <x v="0"/>
    <x v="75"/>
    <x v="75"/>
    <x v="7"/>
    <x v="7"/>
    <x v="7"/>
    <x v="16"/>
    <x v="142"/>
    <x v="372"/>
    <x v="73"/>
    <x v="205"/>
    <x v="72"/>
    <x v="77"/>
    <x v="1"/>
  </r>
  <r>
    <x v="0"/>
    <x v="75"/>
    <x v="75"/>
    <x v="90"/>
    <x v="90"/>
    <x v="90"/>
    <x v="16"/>
    <x v="142"/>
    <x v="372"/>
    <x v="110"/>
    <x v="184"/>
    <x v="72"/>
    <x v="77"/>
    <x v="1"/>
  </r>
  <r>
    <x v="0"/>
    <x v="75"/>
    <x v="75"/>
    <x v="25"/>
    <x v="25"/>
    <x v="25"/>
    <x v="16"/>
    <x v="142"/>
    <x v="372"/>
    <x v="73"/>
    <x v="205"/>
    <x v="72"/>
    <x v="77"/>
    <x v="1"/>
  </r>
  <r>
    <x v="0"/>
    <x v="75"/>
    <x v="75"/>
    <x v="85"/>
    <x v="85"/>
    <x v="85"/>
    <x v="16"/>
    <x v="142"/>
    <x v="372"/>
    <x v="73"/>
    <x v="205"/>
    <x v="72"/>
    <x v="77"/>
    <x v="1"/>
  </r>
  <r>
    <x v="0"/>
    <x v="76"/>
    <x v="76"/>
    <x v="5"/>
    <x v="5"/>
    <x v="5"/>
    <x v="0"/>
    <x v="114"/>
    <x v="373"/>
    <x v="101"/>
    <x v="114"/>
    <x v="25"/>
    <x v="376"/>
    <x v="1"/>
  </r>
  <r>
    <x v="0"/>
    <x v="76"/>
    <x v="76"/>
    <x v="2"/>
    <x v="2"/>
    <x v="2"/>
    <x v="1"/>
    <x v="115"/>
    <x v="374"/>
    <x v="94"/>
    <x v="457"/>
    <x v="69"/>
    <x v="377"/>
    <x v="1"/>
  </r>
  <r>
    <x v="0"/>
    <x v="76"/>
    <x v="76"/>
    <x v="1"/>
    <x v="1"/>
    <x v="1"/>
    <x v="2"/>
    <x v="123"/>
    <x v="375"/>
    <x v="52"/>
    <x v="458"/>
    <x v="69"/>
    <x v="377"/>
    <x v="1"/>
  </r>
  <r>
    <x v="0"/>
    <x v="76"/>
    <x v="76"/>
    <x v="4"/>
    <x v="4"/>
    <x v="4"/>
    <x v="3"/>
    <x v="136"/>
    <x v="376"/>
    <x v="74"/>
    <x v="459"/>
    <x v="72"/>
    <x v="77"/>
    <x v="1"/>
  </r>
  <r>
    <x v="0"/>
    <x v="76"/>
    <x v="76"/>
    <x v="11"/>
    <x v="11"/>
    <x v="11"/>
    <x v="3"/>
    <x v="136"/>
    <x v="376"/>
    <x v="74"/>
    <x v="459"/>
    <x v="72"/>
    <x v="77"/>
    <x v="1"/>
  </r>
  <r>
    <x v="0"/>
    <x v="76"/>
    <x v="76"/>
    <x v="13"/>
    <x v="13"/>
    <x v="13"/>
    <x v="5"/>
    <x v="140"/>
    <x v="52"/>
    <x v="76"/>
    <x v="253"/>
    <x v="70"/>
    <x v="237"/>
    <x v="1"/>
  </r>
  <r>
    <x v="0"/>
    <x v="76"/>
    <x v="76"/>
    <x v="12"/>
    <x v="12"/>
    <x v="12"/>
    <x v="5"/>
    <x v="140"/>
    <x v="52"/>
    <x v="73"/>
    <x v="13"/>
    <x v="56"/>
    <x v="378"/>
    <x v="1"/>
  </r>
  <r>
    <x v="0"/>
    <x v="76"/>
    <x v="76"/>
    <x v="9"/>
    <x v="9"/>
    <x v="9"/>
    <x v="5"/>
    <x v="140"/>
    <x v="52"/>
    <x v="76"/>
    <x v="253"/>
    <x v="70"/>
    <x v="237"/>
    <x v="1"/>
  </r>
  <r>
    <x v="0"/>
    <x v="76"/>
    <x v="76"/>
    <x v="45"/>
    <x v="45"/>
    <x v="45"/>
    <x v="8"/>
    <x v="137"/>
    <x v="92"/>
    <x v="76"/>
    <x v="253"/>
    <x v="69"/>
    <x v="377"/>
    <x v="1"/>
  </r>
  <r>
    <x v="0"/>
    <x v="76"/>
    <x v="76"/>
    <x v="87"/>
    <x v="87"/>
    <x v="87"/>
    <x v="8"/>
    <x v="137"/>
    <x v="92"/>
    <x v="76"/>
    <x v="253"/>
    <x v="69"/>
    <x v="377"/>
    <x v="1"/>
  </r>
  <r>
    <x v="0"/>
    <x v="76"/>
    <x v="76"/>
    <x v="17"/>
    <x v="17"/>
    <x v="17"/>
    <x v="8"/>
    <x v="137"/>
    <x v="92"/>
    <x v="73"/>
    <x v="13"/>
    <x v="78"/>
    <x v="379"/>
    <x v="1"/>
  </r>
  <r>
    <x v="0"/>
    <x v="76"/>
    <x v="76"/>
    <x v="10"/>
    <x v="10"/>
    <x v="10"/>
    <x v="8"/>
    <x v="137"/>
    <x v="92"/>
    <x v="77"/>
    <x v="460"/>
    <x v="70"/>
    <x v="237"/>
    <x v="1"/>
  </r>
  <r>
    <x v="0"/>
    <x v="76"/>
    <x v="76"/>
    <x v="42"/>
    <x v="42"/>
    <x v="42"/>
    <x v="8"/>
    <x v="137"/>
    <x v="92"/>
    <x v="73"/>
    <x v="13"/>
    <x v="78"/>
    <x v="379"/>
    <x v="1"/>
  </r>
  <r>
    <x v="0"/>
    <x v="76"/>
    <x v="76"/>
    <x v="15"/>
    <x v="15"/>
    <x v="15"/>
    <x v="8"/>
    <x v="137"/>
    <x v="92"/>
    <x v="102"/>
    <x v="51"/>
    <x v="84"/>
    <x v="354"/>
    <x v="1"/>
  </r>
  <r>
    <x v="0"/>
    <x v="76"/>
    <x v="76"/>
    <x v="3"/>
    <x v="3"/>
    <x v="3"/>
    <x v="8"/>
    <x v="137"/>
    <x v="92"/>
    <x v="76"/>
    <x v="253"/>
    <x v="69"/>
    <x v="377"/>
    <x v="1"/>
  </r>
  <r>
    <x v="0"/>
    <x v="76"/>
    <x v="76"/>
    <x v="30"/>
    <x v="30"/>
    <x v="30"/>
    <x v="15"/>
    <x v="138"/>
    <x v="95"/>
    <x v="76"/>
    <x v="253"/>
    <x v="72"/>
    <x v="77"/>
    <x v="1"/>
  </r>
  <r>
    <x v="0"/>
    <x v="76"/>
    <x v="76"/>
    <x v="40"/>
    <x v="40"/>
    <x v="40"/>
    <x v="15"/>
    <x v="138"/>
    <x v="95"/>
    <x v="77"/>
    <x v="460"/>
    <x v="69"/>
    <x v="377"/>
    <x v="1"/>
  </r>
  <r>
    <x v="0"/>
    <x v="76"/>
    <x v="76"/>
    <x v="16"/>
    <x v="16"/>
    <x v="16"/>
    <x v="15"/>
    <x v="138"/>
    <x v="95"/>
    <x v="102"/>
    <x v="51"/>
    <x v="70"/>
    <x v="237"/>
    <x v="1"/>
  </r>
  <r>
    <x v="0"/>
    <x v="76"/>
    <x v="76"/>
    <x v="41"/>
    <x v="41"/>
    <x v="41"/>
    <x v="15"/>
    <x v="138"/>
    <x v="95"/>
    <x v="102"/>
    <x v="51"/>
    <x v="70"/>
    <x v="237"/>
    <x v="1"/>
  </r>
  <r>
    <x v="0"/>
    <x v="76"/>
    <x v="76"/>
    <x v="7"/>
    <x v="7"/>
    <x v="7"/>
    <x v="15"/>
    <x v="138"/>
    <x v="95"/>
    <x v="76"/>
    <x v="253"/>
    <x v="72"/>
    <x v="77"/>
    <x v="1"/>
  </r>
  <r>
    <x v="0"/>
    <x v="76"/>
    <x v="76"/>
    <x v="97"/>
    <x v="97"/>
    <x v="97"/>
    <x v="15"/>
    <x v="138"/>
    <x v="95"/>
    <x v="110"/>
    <x v="184"/>
    <x v="78"/>
    <x v="379"/>
    <x v="1"/>
  </r>
  <r>
    <x v="0"/>
    <x v="77"/>
    <x v="77"/>
    <x v="2"/>
    <x v="2"/>
    <x v="2"/>
    <x v="0"/>
    <x v="143"/>
    <x v="202"/>
    <x v="75"/>
    <x v="461"/>
    <x v="70"/>
    <x v="147"/>
    <x v="1"/>
  </r>
  <r>
    <x v="0"/>
    <x v="77"/>
    <x v="77"/>
    <x v="5"/>
    <x v="5"/>
    <x v="5"/>
    <x v="1"/>
    <x v="137"/>
    <x v="290"/>
    <x v="110"/>
    <x v="184"/>
    <x v="56"/>
    <x v="380"/>
    <x v="1"/>
  </r>
  <r>
    <x v="0"/>
    <x v="77"/>
    <x v="77"/>
    <x v="36"/>
    <x v="36"/>
    <x v="36"/>
    <x v="2"/>
    <x v="139"/>
    <x v="308"/>
    <x v="77"/>
    <x v="462"/>
    <x v="72"/>
    <x v="77"/>
    <x v="1"/>
  </r>
  <r>
    <x v="0"/>
    <x v="77"/>
    <x v="77"/>
    <x v="17"/>
    <x v="17"/>
    <x v="17"/>
    <x v="2"/>
    <x v="139"/>
    <x v="308"/>
    <x v="102"/>
    <x v="385"/>
    <x v="69"/>
    <x v="381"/>
    <x v="1"/>
  </r>
  <r>
    <x v="0"/>
    <x v="77"/>
    <x v="77"/>
    <x v="9"/>
    <x v="9"/>
    <x v="9"/>
    <x v="2"/>
    <x v="139"/>
    <x v="308"/>
    <x v="73"/>
    <x v="128"/>
    <x v="70"/>
    <x v="147"/>
    <x v="1"/>
  </r>
  <r>
    <x v="0"/>
    <x v="77"/>
    <x v="77"/>
    <x v="19"/>
    <x v="19"/>
    <x v="19"/>
    <x v="5"/>
    <x v="141"/>
    <x v="204"/>
    <x v="73"/>
    <x v="128"/>
    <x v="69"/>
    <x v="381"/>
    <x v="1"/>
  </r>
  <r>
    <x v="0"/>
    <x v="77"/>
    <x v="77"/>
    <x v="65"/>
    <x v="65"/>
    <x v="65"/>
    <x v="5"/>
    <x v="141"/>
    <x v="204"/>
    <x v="110"/>
    <x v="184"/>
    <x v="70"/>
    <x v="147"/>
    <x v="1"/>
  </r>
  <r>
    <x v="0"/>
    <x v="77"/>
    <x v="77"/>
    <x v="16"/>
    <x v="16"/>
    <x v="16"/>
    <x v="5"/>
    <x v="141"/>
    <x v="204"/>
    <x v="102"/>
    <x v="385"/>
    <x v="72"/>
    <x v="77"/>
    <x v="1"/>
  </r>
  <r>
    <x v="0"/>
    <x v="77"/>
    <x v="77"/>
    <x v="4"/>
    <x v="4"/>
    <x v="4"/>
    <x v="5"/>
    <x v="141"/>
    <x v="204"/>
    <x v="102"/>
    <x v="385"/>
    <x v="72"/>
    <x v="77"/>
    <x v="1"/>
  </r>
  <r>
    <x v="0"/>
    <x v="77"/>
    <x v="77"/>
    <x v="183"/>
    <x v="180"/>
    <x v="183"/>
    <x v="5"/>
    <x v="141"/>
    <x v="204"/>
    <x v="110"/>
    <x v="184"/>
    <x v="70"/>
    <x v="147"/>
    <x v="1"/>
  </r>
  <r>
    <x v="0"/>
    <x v="77"/>
    <x v="77"/>
    <x v="113"/>
    <x v="113"/>
    <x v="113"/>
    <x v="10"/>
    <x v="142"/>
    <x v="44"/>
    <x v="110"/>
    <x v="184"/>
    <x v="69"/>
    <x v="381"/>
    <x v="1"/>
  </r>
  <r>
    <x v="0"/>
    <x v="77"/>
    <x v="77"/>
    <x v="12"/>
    <x v="12"/>
    <x v="12"/>
    <x v="10"/>
    <x v="142"/>
    <x v="44"/>
    <x v="73"/>
    <x v="128"/>
    <x v="72"/>
    <x v="77"/>
    <x v="1"/>
  </r>
  <r>
    <x v="0"/>
    <x v="77"/>
    <x v="77"/>
    <x v="30"/>
    <x v="30"/>
    <x v="30"/>
    <x v="10"/>
    <x v="142"/>
    <x v="44"/>
    <x v="73"/>
    <x v="128"/>
    <x v="72"/>
    <x v="77"/>
    <x v="1"/>
  </r>
  <r>
    <x v="0"/>
    <x v="77"/>
    <x v="77"/>
    <x v="112"/>
    <x v="112"/>
    <x v="112"/>
    <x v="10"/>
    <x v="142"/>
    <x v="44"/>
    <x v="73"/>
    <x v="128"/>
    <x v="72"/>
    <x v="77"/>
    <x v="1"/>
  </r>
  <r>
    <x v="0"/>
    <x v="77"/>
    <x v="77"/>
    <x v="88"/>
    <x v="88"/>
    <x v="88"/>
    <x v="10"/>
    <x v="142"/>
    <x v="44"/>
    <x v="110"/>
    <x v="184"/>
    <x v="69"/>
    <x v="381"/>
    <x v="1"/>
  </r>
  <r>
    <x v="0"/>
    <x v="77"/>
    <x v="77"/>
    <x v="133"/>
    <x v="133"/>
    <x v="133"/>
    <x v="10"/>
    <x v="142"/>
    <x v="44"/>
    <x v="73"/>
    <x v="128"/>
    <x v="72"/>
    <x v="77"/>
    <x v="1"/>
  </r>
  <r>
    <x v="0"/>
    <x v="77"/>
    <x v="77"/>
    <x v="56"/>
    <x v="56"/>
    <x v="56"/>
    <x v="10"/>
    <x v="142"/>
    <x v="44"/>
    <x v="110"/>
    <x v="184"/>
    <x v="69"/>
    <x v="381"/>
    <x v="1"/>
  </r>
  <r>
    <x v="0"/>
    <x v="77"/>
    <x v="77"/>
    <x v="64"/>
    <x v="64"/>
    <x v="64"/>
    <x v="10"/>
    <x v="142"/>
    <x v="44"/>
    <x v="73"/>
    <x v="128"/>
    <x v="72"/>
    <x v="77"/>
    <x v="1"/>
  </r>
  <r>
    <x v="0"/>
    <x v="77"/>
    <x v="77"/>
    <x v="68"/>
    <x v="68"/>
    <x v="68"/>
    <x v="10"/>
    <x v="142"/>
    <x v="44"/>
    <x v="110"/>
    <x v="184"/>
    <x v="69"/>
    <x v="381"/>
    <x v="1"/>
  </r>
  <r>
    <x v="0"/>
    <x v="77"/>
    <x v="77"/>
    <x v="39"/>
    <x v="39"/>
    <x v="39"/>
    <x v="10"/>
    <x v="142"/>
    <x v="44"/>
    <x v="73"/>
    <x v="128"/>
    <x v="72"/>
    <x v="77"/>
    <x v="1"/>
  </r>
  <r>
    <x v="0"/>
    <x v="77"/>
    <x v="77"/>
    <x v="184"/>
    <x v="181"/>
    <x v="184"/>
    <x v="10"/>
    <x v="142"/>
    <x v="44"/>
    <x v="110"/>
    <x v="184"/>
    <x v="69"/>
    <x v="381"/>
    <x v="1"/>
  </r>
  <r>
    <x v="0"/>
    <x v="77"/>
    <x v="77"/>
    <x v="52"/>
    <x v="52"/>
    <x v="52"/>
    <x v="10"/>
    <x v="142"/>
    <x v="44"/>
    <x v="73"/>
    <x v="128"/>
    <x v="72"/>
    <x v="77"/>
    <x v="1"/>
  </r>
  <r>
    <x v="0"/>
    <x v="77"/>
    <x v="77"/>
    <x v="59"/>
    <x v="59"/>
    <x v="59"/>
    <x v="10"/>
    <x v="142"/>
    <x v="44"/>
    <x v="73"/>
    <x v="128"/>
    <x v="72"/>
    <x v="77"/>
    <x v="1"/>
  </r>
  <r>
    <x v="0"/>
    <x v="77"/>
    <x v="77"/>
    <x v="53"/>
    <x v="53"/>
    <x v="53"/>
    <x v="10"/>
    <x v="142"/>
    <x v="44"/>
    <x v="110"/>
    <x v="184"/>
    <x v="69"/>
    <x v="381"/>
    <x v="1"/>
  </r>
  <r>
    <x v="0"/>
    <x v="77"/>
    <x v="77"/>
    <x v="23"/>
    <x v="23"/>
    <x v="23"/>
    <x v="10"/>
    <x v="142"/>
    <x v="44"/>
    <x v="73"/>
    <x v="128"/>
    <x v="72"/>
    <x v="77"/>
    <x v="1"/>
  </r>
  <r>
    <x v="0"/>
    <x v="77"/>
    <x v="77"/>
    <x v="10"/>
    <x v="10"/>
    <x v="10"/>
    <x v="10"/>
    <x v="142"/>
    <x v="44"/>
    <x v="73"/>
    <x v="128"/>
    <x v="72"/>
    <x v="77"/>
    <x v="1"/>
  </r>
  <r>
    <x v="0"/>
    <x v="77"/>
    <x v="77"/>
    <x v="31"/>
    <x v="31"/>
    <x v="31"/>
    <x v="10"/>
    <x v="142"/>
    <x v="44"/>
    <x v="73"/>
    <x v="128"/>
    <x v="72"/>
    <x v="77"/>
    <x v="1"/>
  </r>
  <r>
    <x v="0"/>
    <x v="77"/>
    <x v="77"/>
    <x v="49"/>
    <x v="49"/>
    <x v="49"/>
    <x v="10"/>
    <x v="142"/>
    <x v="44"/>
    <x v="73"/>
    <x v="128"/>
    <x v="72"/>
    <x v="77"/>
    <x v="1"/>
  </r>
  <r>
    <x v="0"/>
    <x v="77"/>
    <x v="77"/>
    <x v="41"/>
    <x v="41"/>
    <x v="41"/>
    <x v="10"/>
    <x v="142"/>
    <x v="44"/>
    <x v="110"/>
    <x v="184"/>
    <x v="69"/>
    <x v="381"/>
    <x v="1"/>
  </r>
  <r>
    <x v="0"/>
    <x v="77"/>
    <x v="77"/>
    <x v="42"/>
    <x v="42"/>
    <x v="42"/>
    <x v="10"/>
    <x v="142"/>
    <x v="44"/>
    <x v="110"/>
    <x v="184"/>
    <x v="69"/>
    <x v="381"/>
    <x v="1"/>
  </r>
  <r>
    <x v="0"/>
    <x v="77"/>
    <x v="77"/>
    <x v="123"/>
    <x v="123"/>
    <x v="123"/>
    <x v="10"/>
    <x v="142"/>
    <x v="44"/>
    <x v="73"/>
    <x v="128"/>
    <x v="72"/>
    <x v="77"/>
    <x v="1"/>
  </r>
  <r>
    <x v="0"/>
    <x v="77"/>
    <x v="77"/>
    <x v="1"/>
    <x v="1"/>
    <x v="1"/>
    <x v="10"/>
    <x v="142"/>
    <x v="44"/>
    <x v="73"/>
    <x v="128"/>
    <x v="72"/>
    <x v="77"/>
    <x v="1"/>
  </r>
  <r>
    <x v="0"/>
    <x v="77"/>
    <x v="77"/>
    <x v="83"/>
    <x v="83"/>
    <x v="83"/>
    <x v="10"/>
    <x v="142"/>
    <x v="44"/>
    <x v="110"/>
    <x v="184"/>
    <x v="69"/>
    <x v="381"/>
    <x v="1"/>
  </r>
  <r>
    <x v="0"/>
    <x v="77"/>
    <x v="77"/>
    <x v="185"/>
    <x v="182"/>
    <x v="185"/>
    <x v="10"/>
    <x v="142"/>
    <x v="44"/>
    <x v="73"/>
    <x v="128"/>
    <x v="72"/>
    <x v="77"/>
    <x v="1"/>
  </r>
  <r>
    <x v="0"/>
    <x v="77"/>
    <x v="77"/>
    <x v="104"/>
    <x v="104"/>
    <x v="104"/>
    <x v="10"/>
    <x v="142"/>
    <x v="44"/>
    <x v="110"/>
    <x v="184"/>
    <x v="72"/>
    <x v="77"/>
    <x v="1"/>
  </r>
  <r>
    <x v="0"/>
    <x v="77"/>
    <x v="77"/>
    <x v="7"/>
    <x v="7"/>
    <x v="7"/>
    <x v="10"/>
    <x v="142"/>
    <x v="44"/>
    <x v="73"/>
    <x v="128"/>
    <x v="72"/>
    <x v="77"/>
    <x v="1"/>
  </r>
  <r>
    <x v="0"/>
    <x v="77"/>
    <x v="77"/>
    <x v="116"/>
    <x v="116"/>
    <x v="116"/>
    <x v="10"/>
    <x v="142"/>
    <x v="44"/>
    <x v="110"/>
    <x v="184"/>
    <x v="69"/>
    <x v="381"/>
    <x v="1"/>
  </r>
  <r>
    <x v="0"/>
    <x v="77"/>
    <x v="77"/>
    <x v="85"/>
    <x v="85"/>
    <x v="85"/>
    <x v="10"/>
    <x v="142"/>
    <x v="44"/>
    <x v="110"/>
    <x v="184"/>
    <x v="69"/>
    <x v="38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922D21-7811-4379-B0AE-636E3691056E}" name="pvt_L" cacheId="2185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1249" firstHeaderRow="0" firstDataRow="1" firstDataCol="1"/>
  <pivotFields count="11">
    <pivotField showAll="0"/>
    <pivotField showAll="0"/>
    <pivotField axis="axisRow" showAll="0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124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1141">
      <pivotArea field="2" type="button" dataOnly="0" labelOnly="1" outline="0" axis="axisRow" fieldPosition="0"/>
    </format>
    <format dxfId="1140">
      <pivotArea outline="0" fieldPosition="0">
        <references count="1">
          <reference field="4294967294" count="1">
            <x v="0"/>
          </reference>
        </references>
      </pivotArea>
    </format>
    <format dxfId="1139">
      <pivotArea outline="0" fieldPosition="0">
        <references count="1">
          <reference field="4294967294" count="1">
            <x v="1"/>
          </reference>
        </references>
      </pivotArea>
    </format>
    <format dxfId="1138">
      <pivotArea outline="0" fieldPosition="0">
        <references count="1">
          <reference field="4294967294" count="1">
            <x v="2"/>
          </reference>
        </references>
      </pivotArea>
    </format>
    <format dxfId="1137">
      <pivotArea outline="0" fieldPosition="0">
        <references count="1">
          <reference field="4294967294" count="1">
            <x v="3"/>
          </reference>
        </references>
      </pivotArea>
    </format>
    <format dxfId="1136">
      <pivotArea outline="0" fieldPosition="0">
        <references count="1">
          <reference field="4294967294" count="1">
            <x v="4"/>
          </reference>
        </references>
      </pivotArea>
    </format>
    <format dxfId="1135">
      <pivotArea outline="0" fieldPosition="0">
        <references count="1">
          <reference field="4294967294" count="1">
            <x v="5"/>
          </reference>
        </references>
      </pivotArea>
    </format>
    <format dxfId="1134">
      <pivotArea outline="0" fieldPosition="0">
        <references count="1">
          <reference field="4294967294" count="1">
            <x v="6"/>
          </reference>
        </references>
      </pivotArea>
    </format>
    <format dxfId="1133">
      <pivotArea field="2" type="button" dataOnly="0" labelOnly="1" outline="0" axis="axisRow" fieldPosition="0"/>
    </format>
    <format dxfId="113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131">
      <pivotArea field="2" type="button" dataOnly="0" labelOnly="1" outline="0" axis="axisRow" fieldPosition="0"/>
    </format>
    <format dxfId="113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129">
      <pivotArea field="2" type="button" dataOnly="0" labelOnly="1" outline="0" axis="axisRow" fieldPosition="0"/>
    </format>
    <format dxfId="112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12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12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B0E9E2-22E9-4D51-AAA5-6A2BE91A86A9}" name="pvt_M" cacheId="2186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907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78">
        <item x="19"/>
        <item x="9"/>
        <item x="15"/>
        <item x="4"/>
        <item x="43"/>
        <item x="42"/>
        <item x="46"/>
        <item x="50"/>
        <item x="41"/>
        <item x="45"/>
        <item x="40"/>
        <item x="49"/>
        <item x="52"/>
        <item x="48"/>
        <item x="47"/>
        <item x="44"/>
        <item x="51"/>
        <item x="71"/>
        <item x="72"/>
        <item x="73"/>
        <item x="77"/>
        <item x="14"/>
        <item x="10"/>
        <item x="16"/>
        <item x="29"/>
        <item x="30"/>
        <item x="8"/>
        <item x="2"/>
        <item x="39"/>
        <item x="34"/>
        <item x="38"/>
        <item x="37"/>
        <item x="36"/>
        <item x="35"/>
        <item x="70"/>
        <item x="69"/>
        <item x="75"/>
        <item x="74"/>
        <item x="76"/>
        <item x="3"/>
        <item x="68"/>
        <item x="31"/>
        <item x="33"/>
        <item x="32"/>
        <item x="6"/>
        <item x="7"/>
        <item x="17"/>
        <item x="12"/>
        <item x="11"/>
        <item x="0"/>
        <item x="1"/>
        <item x="18"/>
        <item x="61"/>
        <item x="60"/>
        <item x="63"/>
        <item x="62"/>
        <item x="59"/>
        <item x="25"/>
        <item x="20"/>
        <item x="21"/>
        <item x="23"/>
        <item x="22"/>
        <item x="24"/>
        <item x="13"/>
        <item x="5"/>
        <item x="67"/>
        <item x="65"/>
        <item x="64"/>
        <item x="66"/>
        <item x="26"/>
        <item x="27"/>
        <item x="28"/>
        <item x="56"/>
        <item x="53"/>
        <item x="57"/>
        <item x="54"/>
        <item x="58"/>
        <item x="55"/>
      </items>
    </pivotField>
    <pivotField axis="axisRow" showAll="0" insertBlankRow="1" defaultSubtota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</items>
    </pivotField>
    <pivotField showAll="0" defaultSubtotal="0">
      <items count="71">
        <item x="48"/>
        <item x="3"/>
        <item x="5"/>
        <item x="9"/>
        <item x="26"/>
        <item x="42"/>
        <item x="56"/>
        <item x="36"/>
        <item x="29"/>
        <item x="27"/>
        <item x="54"/>
        <item x="39"/>
        <item x="67"/>
        <item x="55"/>
        <item x="50"/>
        <item x="43"/>
        <item x="60"/>
        <item x="59"/>
        <item x="19"/>
        <item x="25"/>
        <item x="16"/>
        <item x="51"/>
        <item x="57"/>
        <item x="35"/>
        <item x="66"/>
        <item x="53"/>
        <item x="34"/>
        <item x="44"/>
        <item x="37"/>
        <item x="49"/>
        <item x="58"/>
        <item x="64"/>
        <item x="61"/>
        <item x="69"/>
        <item x="38"/>
        <item x="45"/>
        <item x="68"/>
        <item x="41"/>
        <item x="70"/>
        <item x="24"/>
        <item x="23"/>
        <item x="17"/>
        <item x="20"/>
        <item x="65"/>
        <item x="13"/>
        <item x="6"/>
        <item x="11"/>
        <item x="4"/>
        <item x="33"/>
        <item x="32"/>
        <item x="21"/>
        <item x="2"/>
        <item x="52"/>
        <item x="63"/>
        <item x="12"/>
        <item x="14"/>
        <item x="7"/>
        <item x="0"/>
        <item x="28"/>
        <item x="1"/>
        <item x="30"/>
        <item x="31"/>
        <item x="8"/>
        <item x="10"/>
        <item x="15"/>
        <item x="62"/>
        <item x="18"/>
        <item x="46"/>
        <item x="47"/>
        <item x="22"/>
        <item x="40"/>
      </items>
    </pivotField>
    <pivotField showAll="0" defaultSubtotal="0">
      <items count="71">
        <item x="64"/>
        <item x="40"/>
        <item x="20"/>
        <item x="8"/>
        <item x="22"/>
        <item x="4"/>
        <item x="30"/>
        <item x="34"/>
        <item x="50"/>
        <item x="27"/>
        <item x="25"/>
        <item x="55"/>
        <item x="10"/>
        <item x="54"/>
        <item x="0"/>
        <item x="24"/>
        <item x="6"/>
        <item x="42"/>
        <item x="41"/>
        <item x="61"/>
        <item x="39"/>
        <item x="29"/>
        <item x="65"/>
        <item x="63"/>
        <item x="17"/>
        <item x="11"/>
        <item x="46"/>
        <item x="14"/>
        <item x="51"/>
        <item x="19"/>
        <item x="23"/>
        <item x="31"/>
        <item x="48"/>
        <item x="28"/>
        <item x="18"/>
        <item x="15"/>
        <item x="7"/>
        <item x="58"/>
        <item x="66"/>
        <item x="13"/>
        <item x="47"/>
        <item x="5"/>
        <item x="26"/>
        <item x="37"/>
        <item x="16"/>
        <item x="67"/>
        <item x="9"/>
        <item x="12"/>
        <item x="1"/>
        <item x="70"/>
        <item x="56"/>
        <item x="68"/>
        <item x="3"/>
        <item x="60"/>
        <item x="69"/>
        <item x="35"/>
        <item x="44"/>
        <item x="57"/>
        <item x="45"/>
        <item x="38"/>
        <item x="62"/>
        <item x="59"/>
        <item x="21"/>
        <item x="2"/>
        <item x="52"/>
        <item x="32"/>
        <item x="49"/>
        <item x="33"/>
        <item x="36"/>
        <item x="53"/>
        <item x="43"/>
      </items>
    </pivotField>
    <pivotField axis="axisRow" showAll="0" defaultSubtotal="0">
      <items count="71">
        <item x="48"/>
        <item x="3"/>
        <item x="5"/>
        <item x="9"/>
        <item x="26"/>
        <item x="42"/>
        <item x="56"/>
        <item x="36"/>
        <item x="29"/>
        <item x="27"/>
        <item x="54"/>
        <item x="39"/>
        <item x="67"/>
        <item x="55"/>
        <item x="50"/>
        <item x="43"/>
        <item x="60"/>
        <item x="59"/>
        <item x="19"/>
        <item x="25"/>
        <item x="16"/>
        <item x="51"/>
        <item x="57"/>
        <item x="35"/>
        <item x="66"/>
        <item x="53"/>
        <item x="34"/>
        <item x="44"/>
        <item x="37"/>
        <item x="49"/>
        <item x="58"/>
        <item x="64"/>
        <item x="61"/>
        <item x="69"/>
        <item x="38"/>
        <item x="45"/>
        <item x="68"/>
        <item x="41"/>
        <item x="70"/>
        <item x="24"/>
        <item x="23"/>
        <item x="17"/>
        <item x="20"/>
        <item x="65"/>
        <item x="13"/>
        <item x="6"/>
        <item x="11"/>
        <item x="4"/>
        <item x="33"/>
        <item x="32"/>
        <item x="21"/>
        <item x="2"/>
        <item x="52"/>
        <item x="63"/>
        <item x="12"/>
        <item x="14"/>
        <item x="7"/>
        <item x="0"/>
        <item x="28"/>
        <item x="1"/>
        <item x="30"/>
        <item x="31"/>
        <item x="8"/>
        <item x="10"/>
        <item x="15"/>
        <item x="62"/>
        <item x="18"/>
        <item x="46"/>
        <item x="47"/>
        <item x="22"/>
        <item x="40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08">
        <item x="201"/>
        <item x="200"/>
        <item x="198"/>
        <item x="197"/>
        <item x="196"/>
        <item x="195"/>
        <item x="202"/>
        <item x="199"/>
        <item x="168"/>
        <item x="165"/>
        <item x="156"/>
        <item x="155"/>
        <item x="154"/>
        <item x="153"/>
        <item x="141"/>
        <item x="140"/>
        <item x="130"/>
        <item x="129"/>
        <item x="139"/>
        <item x="128"/>
        <item x="127"/>
        <item x="152"/>
        <item x="162"/>
        <item x="126"/>
        <item x="173"/>
        <item x="125"/>
        <item x="91"/>
        <item x="90"/>
        <item x="167"/>
        <item x="138"/>
        <item x="137"/>
        <item x="89"/>
        <item x="88"/>
        <item x="107"/>
        <item x="87"/>
        <item x="86"/>
        <item x="124"/>
        <item x="85"/>
        <item x="106"/>
        <item x="161"/>
        <item x="115"/>
        <item x="114"/>
        <item x="123"/>
        <item x="164"/>
        <item x="172"/>
        <item x="113"/>
        <item x="84"/>
        <item x="105"/>
        <item x="122"/>
        <item x="151"/>
        <item x="171"/>
        <item x="112"/>
        <item x="166"/>
        <item x="83"/>
        <item x="136"/>
        <item x="82"/>
        <item x="121"/>
        <item x="81"/>
        <item x="74"/>
        <item x="73"/>
        <item x="148"/>
        <item x="147"/>
        <item x="72"/>
        <item x="160"/>
        <item x="111"/>
        <item x="184"/>
        <item x="135"/>
        <item x="150"/>
        <item x="159"/>
        <item x="120"/>
        <item x="163"/>
        <item x="80"/>
        <item x="177"/>
        <item x="204"/>
        <item x="134"/>
        <item x="119"/>
        <item x="133"/>
        <item x="79"/>
        <item x="170"/>
        <item x="71"/>
        <item x="146"/>
        <item x="70"/>
        <item x="104"/>
        <item x="78"/>
        <item x="59"/>
        <item x="110"/>
        <item x="158"/>
        <item x="103"/>
        <item x="145"/>
        <item x="118"/>
        <item x="69"/>
        <item x="102"/>
        <item x="207"/>
        <item x="189"/>
        <item x="58"/>
        <item x="77"/>
        <item x="206"/>
        <item x="57"/>
        <item x="101"/>
        <item x="149"/>
        <item x="132"/>
        <item x="76"/>
        <item x="188"/>
        <item x="100"/>
        <item x="194"/>
        <item x="99"/>
        <item x="157"/>
        <item x="193"/>
        <item x="176"/>
        <item x="68"/>
        <item x="183"/>
        <item x="98"/>
        <item x="67"/>
        <item x="39"/>
        <item x="38"/>
        <item x="144"/>
        <item x="117"/>
        <item x="175"/>
        <item x="75"/>
        <item x="66"/>
        <item x="56"/>
        <item x="37"/>
        <item x="192"/>
        <item x="131"/>
        <item x="55"/>
        <item x="169"/>
        <item x="65"/>
        <item x="116"/>
        <item x="174"/>
        <item x="97"/>
        <item x="36"/>
        <item x="54"/>
        <item x="203"/>
        <item x="35"/>
        <item x="187"/>
        <item x="182"/>
        <item x="34"/>
        <item x="186"/>
        <item x="185"/>
        <item x="64"/>
        <item x="53"/>
        <item x="96"/>
        <item x="52"/>
        <item x="51"/>
        <item x="181"/>
        <item x="109"/>
        <item x="50"/>
        <item x="143"/>
        <item x="191"/>
        <item x="49"/>
        <item x="180"/>
        <item x="33"/>
        <item x="48"/>
        <item x="95"/>
        <item x="142"/>
        <item x="190"/>
        <item x="47"/>
        <item x="32"/>
        <item x="108"/>
        <item x="46"/>
        <item x="63"/>
        <item x="31"/>
        <item x="179"/>
        <item x="30"/>
        <item x="45"/>
        <item x="29"/>
        <item x="44"/>
        <item x="28"/>
        <item x="178"/>
        <item x="27"/>
        <item x="26"/>
        <item x="94"/>
        <item x="62"/>
        <item x="93"/>
        <item x="61"/>
        <item x="205"/>
        <item x="60"/>
        <item x="43"/>
        <item x="92"/>
        <item x="25"/>
        <item x="24"/>
        <item x="23"/>
        <item x="19"/>
        <item x="42"/>
        <item x="18"/>
        <item x="41"/>
        <item x="17"/>
        <item x="16"/>
        <item x="15"/>
        <item x="40"/>
        <item x="22"/>
        <item x="21"/>
        <item x="14"/>
        <item x="13"/>
        <item x="20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604">
        <item x="552"/>
        <item x="547"/>
        <item x="589"/>
        <item x="546"/>
        <item x="578"/>
        <item x="545"/>
        <item x="407"/>
        <item x="325"/>
        <item x="356"/>
        <item x="602"/>
        <item x="293"/>
        <item x="551"/>
        <item x="342"/>
        <item x="588"/>
        <item x="454"/>
        <item x="100"/>
        <item x="569"/>
        <item x="482"/>
        <item x="544"/>
        <item x="324"/>
        <item x="99"/>
        <item x="172"/>
        <item x="98"/>
        <item x="158"/>
        <item x="599"/>
        <item x="323"/>
        <item x="19"/>
        <item x="414"/>
        <item x="171"/>
        <item x="511"/>
        <item x="211"/>
        <item x="18"/>
        <item x="56"/>
        <item x="278"/>
        <item x="184"/>
        <item x="522"/>
        <item x="37"/>
        <item x="36"/>
        <item x="254"/>
        <item x="130"/>
        <item x="145"/>
        <item x="474"/>
        <item x="200"/>
        <item x="17"/>
        <item x="436"/>
        <item x="157"/>
        <item x="16"/>
        <item x="144"/>
        <item x="69"/>
        <item x="322"/>
        <item x="55"/>
        <item x="113"/>
        <item x="129"/>
        <item x="15"/>
        <item x="143"/>
        <item x="112"/>
        <item x="183"/>
        <item x="234"/>
        <item x="128"/>
        <item x="267"/>
        <item x="350"/>
        <item x="413"/>
        <item x="587"/>
        <item x="142"/>
        <item x="510"/>
        <item x="35"/>
        <item x="199"/>
        <item x="210"/>
        <item x="313"/>
        <item x="34"/>
        <item x="221"/>
        <item x="141"/>
        <item x="253"/>
        <item x="33"/>
        <item x="406"/>
        <item x="97"/>
        <item x="277"/>
        <item x="252"/>
        <item x="198"/>
        <item x="127"/>
        <item x="111"/>
        <item x="85"/>
        <item x="382"/>
        <item x="266"/>
        <item x="461"/>
        <item x="84"/>
        <item x="479"/>
        <item x="251"/>
        <item x="233"/>
        <item x="54"/>
        <item x="126"/>
        <item x="392"/>
        <item x="250"/>
        <item x="182"/>
        <item x="68"/>
        <item x="276"/>
        <item x="312"/>
        <item x="156"/>
        <item x="67"/>
        <item x="232"/>
        <item x="197"/>
        <item x="220"/>
        <item x="53"/>
        <item x="435"/>
        <item x="498"/>
        <item x="321"/>
        <item x="110"/>
        <item x="83"/>
        <item x="381"/>
        <item x="196"/>
        <item x="332"/>
        <item x="82"/>
        <item x="170"/>
        <item x="14"/>
        <item x="286"/>
        <item x="52"/>
        <item x="109"/>
        <item x="391"/>
        <item x="399"/>
        <item x="13"/>
        <item x="32"/>
        <item x="81"/>
        <item x="265"/>
        <item x="341"/>
        <item x="66"/>
        <item x="412"/>
        <item x="80"/>
        <item x="374"/>
        <item x="509"/>
        <item x="390"/>
        <item x="209"/>
        <item x="96"/>
        <item x="108"/>
        <item x="534"/>
        <item x="51"/>
        <item x="79"/>
        <item x="577"/>
        <item x="249"/>
        <item x="195"/>
        <item x="264"/>
        <item x="169"/>
        <item x="12"/>
        <item x="181"/>
        <item x="140"/>
        <item x="50"/>
        <item x="95"/>
        <item x="248"/>
        <item x="194"/>
        <item x="125"/>
        <item x="49"/>
        <item x="139"/>
        <item x="434"/>
        <item x="219"/>
        <item x="168"/>
        <item x="107"/>
        <item x="340"/>
        <item x="543"/>
        <item x="94"/>
        <item x="380"/>
        <item x="31"/>
        <item x="155"/>
        <item x="65"/>
        <item x="428"/>
        <item x="48"/>
        <item x="311"/>
        <item x="568"/>
        <item x="193"/>
        <item x="64"/>
        <item x="138"/>
        <item x="11"/>
        <item x="439"/>
        <item x="63"/>
        <item x="30"/>
        <item x="10"/>
        <item x="124"/>
        <item x="47"/>
        <item x="533"/>
        <item x="78"/>
        <item x="180"/>
        <item x="231"/>
        <item x="9"/>
        <item x="123"/>
        <item x="106"/>
        <item x="218"/>
        <item x="528"/>
        <item x="62"/>
        <item x="46"/>
        <item x="517"/>
        <item x="154"/>
        <item x="93"/>
        <item x="444"/>
        <item x="29"/>
        <item x="153"/>
        <item x="285"/>
        <item x="92"/>
        <item x="263"/>
        <item x="593"/>
        <item x="179"/>
        <item x="28"/>
        <item x="303"/>
        <item x="398"/>
        <item x="373"/>
        <item x="361"/>
        <item x="275"/>
        <item x="389"/>
        <item x="586"/>
        <item x="27"/>
        <item x="26"/>
        <item x="217"/>
        <item x="422"/>
        <item x="230"/>
        <item x="427"/>
        <item x="45"/>
        <item x="292"/>
        <item x="122"/>
        <item x="8"/>
        <item x="310"/>
        <item x="567"/>
        <item x="7"/>
        <item x="229"/>
        <item x="167"/>
        <item x="77"/>
        <item x="478"/>
        <item x="274"/>
        <item x="247"/>
        <item x="360"/>
        <item x="152"/>
        <item x="367"/>
        <item x="121"/>
        <item x="216"/>
        <item x="76"/>
        <item x="453"/>
        <item x="539"/>
        <item x="44"/>
        <item x="349"/>
        <item x="576"/>
        <item x="240"/>
        <item x="411"/>
        <item x="309"/>
        <item x="208"/>
        <item x="520"/>
        <item x="559"/>
        <item x="527"/>
        <item x="473"/>
        <item x="331"/>
        <item x="542"/>
        <item x="401"/>
        <item x="379"/>
        <item x="61"/>
        <item x="497"/>
        <item x="488"/>
        <item x="120"/>
        <item x="192"/>
        <item x="339"/>
        <item x="456"/>
        <item x="166"/>
        <item x="378"/>
        <item x="43"/>
        <item x="421"/>
        <item x="330"/>
        <item x="228"/>
        <item x="215"/>
        <item x="262"/>
        <item x="91"/>
        <item x="6"/>
        <item x="372"/>
        <item x="291"/>
        <item x="492"/>
        <item x="558"/>
        <item x="426"/>
        <item x="388"/>
        <item x="397"/>
        <item x="178"/>
        <item x="42"/>
        <item x="503"/>
        <item x="151"/>
        <item x="227"/>
        <item x="420"/>
        <item x="566"/>
        <item x="261"/>
        <item x="348"/>
        <item x="338"/>
        <item x="472"/>
        <item x="571"/>
        <item x="300"/>
        <item x="260"/>
        <item x="165"/>
        <item x="371"/>
        <item x="452"/>
        <item x="75"/>
        <item x="137"/>
        <item x="320"/>
        <item x="5"/>
        <item x="105"/>
        <item x="438"/>
        <item x="396"/>
        <item x="25"/>
        <item x="532"/>
        <item x="164"/>
        <item x="284"/>
        <item x="214"/>
        <item x="557"/>
        <item x="550"/>
        <item x="387"/>
        <item x="150"/>
        <item x="405"/>
        <item x="491"/>
        <item x="425"/>
        <item x="366"/>
        <item x="119"/>
        <item x="90"/>
        <item x="355"/>
        <item x="556"/>
        <item x="74"/>
        <item x="273"/>
        <item x="246"/>
        <item x="464"/>
        <item x="177"/>
        <item x="516"/>
        <item x="347"/>
        <item x="460"/>
        <item x="163"/>
        <item x="176"/>
        <item x="283"/>
        <item x="477"/>
        <item x="531"/>
        <item x="104"/>
        <item x="329"/>
        <item x="538"/>
        <item x="598"/>
        <item x="191"/>
        <item x="354"/>
        <item x="118"/>
        <item x="73"/>
        <item x="451"/>
        <item x="370"/>
        <item x="447"/>
        <item x="502"/>
        <item x="359"/>
        <item x="136"/>
        <item x="386"/>
        <item x="259"/>
        <item x="565"/>
        <item x="190"/>
        <item x="575"/>
        <item x="365"/>
        <item x="239"/>
        <item x="471"/>
        <item x="395"/>
        <item x="337"/>
        <item x="295"/>
        <item x="24"/>
        <item x="23"/>
        <item x="601"/>
        <item x="258"/>
        <item x="433"/>
        <item x="189"/>
        <item x="346"/>
        <item x="496"/>
        <item x="207"/>
        <item x="564"/>
        <item x="226"/>
        <item x="245"/>
        <item x="549"/>
        <item x="490"/>
        <item x="526"/>
        <item x="135"/>
        <item x="41"/>
        <item x="481"/>
        <item x="515"/>
        <item x="272"/>
        <item x="501"/>
        <item x="336"/>
        <item x="308"/>
        <item x="353"/>
        <item x="443"/>
        <item x="60"/>
        <item x="4"/>
        <item x="537"/>
        <item x="470"/>
        <item x="592"/>
        <item x="59"/>
        <item x="188"/>
        <item x="134"/>
        <item x="302"/>
        <item x="206"/>
        <item x="89"/>
        <item x="328"/>
        <item x="583"/>
        <item x="162"/>
        <item x="307"/>
        <item x="271"/>
        <item x="3"/>
        <item x="72"/>
        <item x="487"/>
        <item x="133"/>
        <item x="345"/>
        <item x="335"/>
        <item x="149"/>
        <item x="410"/>
        <item x="364"/>
        <item x="244"/>
        <item x="299"/>
        <item x="225"/>
        <item x="290"/>
        <item x="117"/>
        <item x="282"/>
        <item x="205"/>
        <item x="525"/>
        <item x="148"/>
        <item x="555"/>
        <item x="585"/>
        <item x="385"/>
        <item x="419"/>
        <item x="469"/>
        <item x="238"/>
        <item x="71"/>
        <item x="204"/>
        <item x="319"/>
        <item x="432"/>
        <item x="318"/>
        <item x="508"/>
        <item x="521"/>
        <item x="384"/>
        <item x="116"/>
        <item x="377"/>
        <item x="467"/>
        <item x="175"/>
        <item x="409"/>
        <item x="418"/>
        <item x="306"/>
        <item x="486"/>
        <item x="203"/>
        <item x="224"/>
        <item x="103"/>
        <item x="2"/>
        <item x="554"/>
        <item x="524"/>
        <item x="530"/>
        <item x="237"/>
        <item x="270"/>
        <item x="376"/>
        <item x="563"/>
        <item x="281"/>
        <item x="485"/>
        <item x="582"/>
        <item x="417"/>
        <item x="507"/>
        <item x="213"/>
        <item x="404"/>
        <item x="344"/>
        <item x="187"/>
        <item x="317"/>
        <item x="529"/>
        <item x="424"/>
        <item x="574"/>
        <item x="446"/>
        <item x="316"/>
        <item x="466"/>
        <item x="257"/>
        <item x="70"/>
        <item x="289"/>
        <item x="431"/>
        <item x="58"/>
        <item x="489"/>
        <item x="327"/>
        <item x="506"/>
        <item x="597"/>
        <item x="223"/>
        <item x="459"/>
        <item x="581"/>
        <item x="562"/>
        <item x="212"/>
        <item x="161"/>
        <item x="476"/>
        <item x="343"/>
        <item x="403"/>
        <item x="1"/>
        <item x="383"/>
        <item x="256"/>
        <item x="280"/>
        <item x="22"/>
        <item x="298"/>
        <item x="21"/>
        <item x="561"/>
        <item x="450"/>
        <item x="523"/>
        <item x="375"/>
        <item x="600"/>
        <item x="186"/>
        <item x="115"/>
        <item x="514"/>
        <item x="132"/>
        <item x="202"/>
        <item x="334"/>
        <item x="394"/>
        <item x="442"/>
        <item x="174"/>
        <item x="580"/>
        <item x="40"/>
        <item x="173"/>
        <item x="305"/>
        <item x="596"/>
        <item x="57"/>
        <item x="88"/>
        <item x="269"/>
        <item x="255"/>
        <item x="363"/>
        <item x="243"/>
        <item x="495"/>
        <item x="480"/>
        <item x="500"/>
        <item x="536"/>
        <item x="236"/>
        <item x="222"/>
        <item x="242"/>
        <item x="362"/>
        <item x="241"/>
        <item x="463"/>
        <item x="315"/>
        <item x="573"/>
        <item x="0"/>
        <item x="513"/>
        <item x="560"/>
        <item x="39"/>
        <item x="160"/>
        <item x="87"/>
        <item x="570"/>
        <item x="430"/>
        <item x="416"/>
        <item x="484"/>
        <item x="114"/>
        <item x="102"/>
        <item x="369"/>
        <item x="268"/>
        <item x="352"/>
        <item x="519"/>
        <item x="147"/>
        <item x="449"/>
        <item x="483"/>
        <item x="358"/>
        <item x="279"/>
        <item x="445"/>
        <item x="415"/>
        <item x="437"/>
        <item x="297"/>
        <item x="402"/>
        <item x="535"/>
        <item x="512"/>
        <item x="591"/>
        <item x="235"/>
        <item x="505"/>
        <item x="423"/>
        <item x="357"/>
        <item x="595"/>
        <item x="288"/>
        <item x="541"/>
        <item x="159"/>
        <item x="38"/>
        <item x="393"/>
        <item x="201"/>
        <item x="408"/>
        <item x="131"/>
        <item x="146"/>
        <item x="504"/>
        <item x="441"/>
        <item x="185"/>
        <item x="553"/>
        <item x="287"/>
        <item x="86"/>
        <item x="603"/>
        <item x="400"/>
        <item x="499"/>
        <item x="304"/>
        <item x="101"/>
        <item x="20"/>
        <item x="462"/>
        <item x="494"/>
        <item x="468"/>
        <item x="314"/>
        <item x="326"/>
        <item x="594"/>
        <item x="458"/>
        <item x="296"/>
        <item x="465"/>
        <item x="590"/>
        <item x="455"/>
        <item x="448"/>
        <item x="579"/>
        <item x="333"/>
        <item x="457"/>
        <item x="429"/>
        <item x="351"/>
        <item x="294"/>
        <item x="368"/>
        <item x="301"/>
        <item x="475"/>
        <item x="572"/>
        <item x="518"/>
        <item x="440"/>
        <item x="493"/>
        <item x="548"/>
        <item x="540"/>
        <item x="584"/>
      </items>
    </pivotField>
    <pivotField dataField="1" showAll="0" defaultSubtotal="0">
      <items count="150">
        <item x="82"/>
        <item x="36"/>
        <item x="97"/>
        <item x="51"/>
        <item x="81"/>
        <item x="70"/>
        <item x="50"/>
        <item x="110"/>
        <item x="80"/>
        <item x="15"/>
        <item x="55"/>
        <item x="35"/>
        <item x="109"/>
        <item x="116"/>
        <item x="37"/>
        <item x="108"/>
        <item x="78"/>
        <item x="54"/>
        <item x="53"/>
        <item x="126"/>
        <item x="47"/>
        <item x="98"/>
        <item x="34"/>
        <item x="76"/>
        <item x="145"/>
        <item x="120"/>
        <item x="79"/>
        <item x="103"/>
        <item x="106"/>
        <item x="104"/>
        <item x="69"/>
        <item x="91"/>
        <item x="92"/>
        <item x="117"/>
        <item x="75"/>
        <item x="77"/>
        <item x="64"/>
        <item x="74"/>
        <item x="52"/>
        <item x="102"/>
        <item x="105"/>
        <item x="95"/>
        <item x="128"/>
        <item x="96"/>
        <item x="140"/>
        <item x="73"/>
        <item x="135"/>
        <item x="68"/>
        <item x="67"/>
        <item x="133"/>
        <item x="65"/>
        <item x="146"/>
        <item x="113"/>
        <item x="101"/>
        <item x="29"/>
        <item x="89"/>
        <item x="144"/>
        <item x="134"/>
        <item x="124"/>
        <item x="142"/>
        <item x="139"/>
        <item x="112"/>
        <item x="122"/>
        <item x="90"/>
        <item x="88"/>
        <item x="33"/>
        <item x="115"/>
        <item x="66"/>
        <item x="17"/>
        <item x="143"/>
        <item x="121"/>
        <item x="32"/>
        <item x="49"/>
        <item x="148"/>
        <item x="125"/>
        <item x="60"/>
        <item x="123"/>
        <item x="72"/>
        <item x="48"/>
        <item x="62"/>
        <item x="44"/>
        <item x="141"/>
        <item x="61"/>
        <item x="131"/>
        <item x="119"/>
        <item x="114"/>
        <item x="59"/>
        <item x="118"/>
        <item x="87"/>
        <item x="132"/>
        <item x="31"/>
        <item x="100"/>
        <item x="71"/>
        <item x="23"/>
        <item x="63"/>
        <item x="86"/>
        <item x="107"/>
        <item x="99"/>
        <item x="149"/>
        <item x="136"/>
        <item x="138"/>
        <item x="46"/>
        <item x="137"/>
        <item x="127"/>
        <item x="43"/>
        <item x="94"/>
        <item x="42"/>
        <item x="93"/>
        <item x="111"/>
        <item x="25"/>
        <item x="26"/>
        <item x="27"/>
        <item x="41"/>
        <item x="45"/>
        <item x="28"/>
        <item x="58"/>
        <item x="24"/>
        <item x="16"/>
        <item x="19"/>
        <item x="130"/>
        <item x="30"/>
        <item x="84"/>
        <item x="129"/>
        <item x="147"/>
        <item x="85"/>
        <item x="57"/>
        <item x="56"/>
        <item x="83"/>
        <item x="18"/>
        <item x="39"/>
        <item x="14"/>
        <item x="40"/>
        <item x="9"/>
        <item x="13"/>
        <item x="21"/>
        <item x="22"/>
        <item x="38"/>
        <item x="20"/>
        <item x="11"/>
        <item x="12"/>
        <item x="3"/>
        <item x="8"/>
        <item x="7"/>
        <item x="6"/>
        <item x="5"/>
        <item x="10"/>
        <item x="4"/>
        <item x="2"/>
        <item x="1"/>
        <item x="0"/>
      </items>
    </pivotField>
    <pivotField dataField="1" showAll="0" defaultSubtotal="0">
      <items count="617">
        <item x="86"/>
        <item x="35"/>
        <item x="15"/>
        <item x="100"/>
        <item x="52"/>
        <item x="242"/>
        <item x="69"/>
        <item x="190"/>
        <item x="51"/>
        <item x="36"/>
        <item x="163"/>
        <item x="113"/>
        <item x="17"/>
        <item x="34"/>
        <item x="295"/>
        <item x="55"/>
        <item x="226"/>
        <item x="37"/>
        <item x="164"/>
        <item x="147"/>
        <item x="117"/>
        <item x="177"/>
        <item x="567"/>
        <item x="103"/>
        <item x="132"/>
        <item x="83"/>
        <item x="118"/>
        <item x="102"/>
        <item x="278"/>
        <item x="33"/>
        <item x="336"/>
        <item x="54"/>
        <item x="330"/>
        <item x="294"/>
        <item x="561"/>
        <item x="131"/>
        <item x="48"/>
        <item x="350"/>
        <item x="85"/>
        <item x="380"/>
        <item x="162"/>
        <item x="387"/>
        <item x="149"/>
        <item x="368"/>
        <item x="116"/>
        <item x="443"/>
        <item x="212"/>
        <item x="281"/>
        <item x="175"/>
        <item x="422"/>
        <item x="84"/>
        <item x="341"/>
        <item x="16"/>
        <item x="492"/>
        <item x="357"/>
        <item x="191"/>
        <item x="19"/>
        <item x="256"/>
        <item x="129"/>
        <item x="227"/>
        <item x="381"/>
        <item x="439"/>
        <item x="213"/>
        <item x="255"/>
        <item x="585"/>
        <item x="150"/>
        <item x="340"/>
        <item x="73"/>
        <item x="329"/>
        <item x="53"/>
        <item x="515"/>
        <item x="577"/>
        <item x="130"/>
        <item x="267"/>
        <item x="148"/>
        <item x="243"/>
        <item x="211"/>
        <item x="363"/>
        <item x="29"/>
        <item x="416"/>
        <item x="377"/>
        <item x="174"/>
        <item x="238"/>
        <item x="160"/>
        <item x="187"/>
        <item x="388"/>
        <item x="96"/>
        <item x="504"/>
        <item x="522"/>
        <item x="428"/>
        <item x="241"/>
        <item x="468"/>
        <item x="71"/>
        <item x="552"/>
        <item x="292"/>
        <item x="176"/>
        <item x="420"/>
        <item x="146"/>
        <item x="161"/>
        <item x="18"/>
        <item x="610"/>
        <item x="335"/>
        <item x="200"/>
        <item x="42"/>
        <item x="495"/>
        <item x="109"/>
        <item x="99"/>
        <item x="303"/>
        <item x="189"/>
        <item x="219"/>
        <item x="562"/>
        <item x="101"/>
        <item x="280"/>
        <item x="65"/>
        <item x="14"/>
        <item x="32"/>
        <item x="266"/>
        <item x="240"/>
        <item x="349"/>
        <item x="72"/>
        <item x="201"/>
        <item x="141"/>
        <item x="453"/>
        <item x="268"/>
        <item x="376"/>
        <item x="9"/>
        <item x="537"/>
        <item x="289"/>
        <item x="554"/>
        <item x="279"/>
        <item x="253"/>
        <item x="566"/>
        <item x="603"/>
        <item x="386"/>
        <item x="145"/>
        <item x="13"/>
        <item x="367"/>
        <item x="505"/>
        <item x="115"/>
        <item x="265"/>
        <item x="228"/>
        <item x="209"/>
        <item x="393"/>
        <item x="379"/>
        <item x="173"/>
        <item x="560"/>
        <item x="70"/>
        <item x="579"/>
        <item x="402"/>
        <item x="50"/>
        <item x="68"/>
        <item x="612"/>
        <item x="543"/>
        <item x="144"/>
        <item x="97"/>
        <item x="293"/>
        <item x="347"/>
        <item x="66"/>
        <item x="553"/>
        <item x="114"/>
        <item x="521"/>
        <item x="355"/>
        <item x="82"/>
        <item x="304"/>
        <item x="415"/>
        <item x="452"/>
        <item x="378"/>
        <item x="480"/>
        <item x="142"/>
        <item x="107"/>
        <item x="221"/>
        <item x="531"/>
        <item x="79"/>
        <item x="31"/>
        <item x="602"/>
        <item x="49"/>
        <item x="275"/>
        <item x="225"/>
        <item x="23"/>
        <item x="506"/>
        <item x="45"/>
        <item x="375"/>
        <item x="429"/>
        <item x="90"/>
        <item x="466"/>
        <item x="338"/>
        <item x="210"/>
        <item x="198"/>
        <item x="277"/>
        <item x="251"/>
        <item x="586"/>
        <item x="95"/>
        <item x="407"/>
        <item x="348"/>
        <item x="254"/>
        <item x="11"/>
        <item x="158"/>
        <item x="414"/>
        <item x="451"/>
        <item x="337"/>
        <item x="261"/>
        <item x="157"/>
        <item x="239"/>
        <item x="493"/>
        <item x="327"/>
        <item x="356"/>
        <item x="154"/>
        <item x="301"/>
        <item x="237"/>
        <item x="389"/>
        <item x="557"/>
        <item x="440"/>
        <item x="78"/>
        <item x="334"/>
        <item x="580"/>
        <item x="67"/>
        <item x="274"/>
        <item x="98"/>
        <item x="371"/>
        <item x="498"/>
        <item x="112"/>
        <item x="94"/>
        <item x="63"/>
        <item x="81"/>
        <item x="140"/>
        <item x="291"/>
        <item x="208"/>
        <item x="362"/>
        <item x="199"/>
        <item x="487"/>
        <item x="413"/>
        <item x="12"/>
        <item x="325"/>
        <item x="185"/>
        <item x="394"/>
        <item x="595"/>
        <item x="250"/>
        <item x="551"/>
        <item x="135"/>
        <item x="123"/>
        <item x="272"/>
        <item x="584"/>
        <item x="224"/>
        <item x="3"/>
        <item x="578"/>
        <item x="601"/>
        <item x="263"/>
        <item x="60"/>
        <item x="494"/>
        <item x="283"/>
        <item x="127"/>
        <item x="92"/>
        <item x="172"/>
        <item x="222"/>
        <item x="264"/>
        <item x="302"/>
        <item x="188"/>
        <item x="8"/>
        <item x="110"/>
        <item x="124"/>
        <item x="479"/>
        <item x="398"/>
        <item x="465"/>
        <item x="246"/>
        <item x="437"/>
        <item x="326"/>
        <item x="432"/>
        <item x="590"/>
        <item x="276"/>
        <item x="316"/>
        <item x="62"/>
        <item x="339"/>
        <item x="47"/>
        <item x="128"/>
        <item x="25"/>
        <item x="252"/>
        <item x="26"/>
        <item x="520"/>
        <item x="218"/>
        <item x="143"/>
        <item x="27"/>
        <item x="459"/>
        <item x="600"/>
        <item x="611"/>
        <item x="216"/>
        <item x="373"/>
        <item x="61"/>
        <item x="233"/>
        <item x="108"/>
        <item x="538"/>
        <item x="183"/>
        <item x="91"/>
        <item x="361"/>
        <item x="547"/>
        <item x="328"/>
        <item x="44"/>
        <item x="273"/>
        <item x="137"/>
        <item x="7"/>
        <item x="156"/>
        <item x="299"/>
        <item x="181"/>
        <item x="411"/>
        <item x="111"/>
        <item x="236"/>
        <item x="558"/>
        <item x="319"/>
        <item x="28"/>
        <item x="234"/>
        <item x="525"/>
        <item x="59"/>
        <item x="530"/>
        <item x="400"/>
        <item x="80"/>
        <item x="197"/>
        <item x="435"/>
        <item x="220"/>
        <item x="550"/>
        <item x="126"/>
        <item x="24"/>
        <item x="43"/>
        <item x="346"/>
        <item x="6"/>
        <item x="184"/>
        <item x="159"/>
        <item x="5"/>
        <item x="10"/>
        <item x="565"/>
        <item x="399"/>
        <item x="169"/>
        <item x="312"/>
        <item x="286"/>
        <item x="262"/>
        <item x="121"/>
        <item x="513"/>
        <item x="423"/>
        <item x="576"/>
        <item x="77"/>
        <item x="467"/>
        <item x="93"/>
        <item x="285"/>
        <item x="125"/>
        <item x="155"/>
        <item x="401"/>
        <item x="456"/>
        <item x="64"/>
        <item x="170"/>
        <item x="186"/>
        <item x="30"/>
        <item x="204"/>
        <item x="194"/>
        <item x="139"/>
        <item x="171"/>
        <item x="559"/>
        <item x="486"/>
        <item x="4"/>
        <item x="41"/>
        <item x="122"/>
        <item x="502"/>
        <item x="405"/>
        <item x="46"/>
        <item x="614"/>
        <item x="247"/>
        <item x="168"/>
        <item x="288"/>
        <item x="354"/>
        <item x="89"/>
        <item x="260"/>
        <item x="196"/>
        <item x="345"/>
        <item x="182"/>
        <item x="470"/>
        <item x="235"/>
        <item x="382"/>
        <item x="290"/>
        <item x="532"/>
        <item x="477"/>
        <item x="136"/>
        <item x="514"/>
        <item x="549"/>
        <item x="574"/>
        <item x="308"/>
        <item x="450"/>
        <item x="287"/>
        <item x="153"/>
        <item x="76"/>
        <item x="503"/>
        <item x="207"/>
        <item x="609"/>
        <item x="406"/>
        <item x="249"/>
        <item x="427"/>
        <item x="223"/>
        <item x="464"/>
        <item x="438"/>
        <item x="374"/>
        <item x="360"/>
        <item x="599"/>
        <item x="385"/>
        <item x="248"/>
        <item x="300"/>
        <item x="433"/>
        <item x="419"/>
        <item x="195"/>
        <item x="536"/>
        <item x="120"/>
        <item x="545"/>
        <item x="529"/>
        <item x="344"/>
        <item x="605"/>
        <item x="583"/>
        <item x="509"/>
        <item x="491"/>
        <item x="412"/>
        <item x="138"/>
        <item x="448"/>
        <item x="372"/>
        <item x="366"/>
        <item x="298"/>
        <item x="541"/>
        <item x="421"/>
        <item x="500"/>
        <item x="311"/>
        <item x="478"/>
        <item x="397"/>
        <item x="269"/>
        <item x="608"/>
        <item x="180"/>
        <item x="463"/>
        <item x="485"/>
        <item x="206"/>
        <item x="409"/>
        <item x="548"/>
        <item x="446"/>
        <item x="391"/>
        <item x="314"/>
        <item x="333"/>
        <item x="284"/>
        <item x="205"/>
        <item x="556"/>
        <item x="501"/>
        <item x="512"/>
        <item x="575"/>
        <item x="323"/>
        <item x="460"/>
        <item x="231"/>
        <item x="507"/>
        <item x="598"/>
        <item x="431"/>
        <item x="604"/>
        <item x="518"/>
        <item x="542"/>
        <item x="2"/>
        <item x="358"/>
        <item x="546"/>
        <item x="497"/>
        <item x="232"/>
        <item x="324"/>
        <item x="591"/>
        <item x="353"/>
        <item x="426"/>
        <item x="436"/>
        <item x="317"/>
        <item x="517"/>
        <item x="511"/>
        <item x="307"/>
        <item x="528"/>
        <item x="499"/>
        <item x="490"/>
        <item x="449"/>
        <item x="587"/>
        <item x="569"/>
        <item x="322"/>
        <item x="607"/>
        <item x="392"/>
        <item x="476"/>
        <item x="484"/>
        <item x="58"/>
        <item x="447"/>
        <item x="418"/>
        <item x="320"/>
        <item x="296"/>
        <item x="455"/>
        <item x="445"/>
        <item x="305"/>
        <item x="384"/>
        <item x="359"/>
        <item x="571"/>
        <item x="539"/>
        <item x="481"/>
        <item x="217"/>
        <item x="519"/>
        <item x="425"/>
        <item x="167"/>
        <item x="555"/>
        <item x="616"/>
        <item x="462"/>
        <item x="404"/>
        <item x="570"/>
        <item x="315"/>
        <item x="383"/>
        <item x="535"/>
        <item x="75"/>
        <item x="483"/>
        <item x="573"/>
        <item x="106"/>
        <item x="524"/>
        <item x="582"/>
        <item x="457"/>
        <item x="352"/>
        <item x="474"/>
        <item x="39"/>
        <item x="297"/>
        <item x="544"/>
        <item x="444"/>
        <item x="403"/>
        <item x="424"/>
        <item x="533"/>
        <item x="88"/>
        <item x="203"/>
        <item x="489"/>
        <item x="496"/>
        <item x="230"/>
        <item x="332"/>
        <item x="343"/>
        <item x="271"/>
        <item x="540"/>
        <item x="396"/>
        <item x="592"/>
        <item x="306"/>
        <item x="589"/>
        <item x="410"/>
        <item x="527"/>
        <item x="606"/>
        <item x="321"/>
        <item x="581"/>
        <item x="461"/>
        <item x="1"/>
        <item x="597"/>
        <item x="564"/>
        <item x="134"/>
        <item x="615"/>
        <item x="534"/>
        <item x="594"/>
        <item x="215"/>
        <item x="365"/>
        <item x="214"/>
        <item x="57"/>
        <item x="395"/>
        <item x="310"/>
        <item x="257"/>
        <item x="245"/>
        <item x="21"/>
        <item x="193"/>
        <item x="179"/>
        <item x="270"/>
        <item x="259"/>
        <item x="40"/>
        <item x="572"/>
        <item x="472"/>
        <item x="22"/>
        <item x="482"/>
        <item x="56"/>
        <item x="166"/>
        <item x="313"/>
        <item x="178"/>
        <item x="370"/>
        <item x="258"/>
        <item x="408"/>
        <item x="0"/>
        <item x="510"/>
        <item x="74"/>
        <item x="516"/>
        <item x="229"/>
        <item x="458"/>
        <item x="434"/>
        <item x="523"/>
        <item x="442"/>
        <item x="430"/>
        <item x="613"/>
        <item x="475"/>
        <item x="119"/>
        <item x="165"/>
        <item x="473"/>
        <item x="282"/>
        <item x="441"/>
        <item x="105"/>
        <item x="244"/>
        <item x="192"/>
        <item x="152"/>
        <item x="20"/>
        <item x="87"/>
        <item x="369"/>
        <item x="471"/>
        <item x="202"/>
        <item x="588"/>
        <item x="151"/>
        <item x="351"/>
        <item x="133"/>
        <item x="104"/>
        <item x="38"/>
        <item x="596"/>
        <item x="526"/>
        <item x="417"/>
        <item x="342"/>
        <item x="469"/>
        <item x="364"/>
        <item x="390"/>
        <item x="488"/>
        <item x="318"/>
        <item x="309"/>
        <item x="331"/>
        <item x="454"/>
        <item x="568"/>
        <item x="508"/>
        <item x="563"/>
        <item x="593"/>
      </items>
    </pivotField>
    <pivotField dataField="1" showAll="0" defaultSubtotal="0">
      <items count="140">
        <item x="128"/>
        <item x="125"/>
        <item x="127"/>
        <item x="83"/>
        <item x="111"/>
        <item x="108"/>
        <item x="109"/>
        <item x="110"/>
        <item x="93"/>
        <item x="86"/>
        <item x="120"/>
        <item x="122"/>
        <item x="112"/>
        <item x="63"/>
        <item x="121"/>
        <item x="82"/>
        <item x="104"/>
        <item x="74"/>
        <item x="47"/>
        <item x="85"/>
        <item x="84"/>
        <item x="103"/>
        <item x="107"/>
        <item x="94"/>
        <item x="79"/>
        <item x="71"/>
        <item x="99"/>
        <item x="88"/>
        <item x="98"/>
        <item x="65"/>
        <item x="87"/>
        <item x="81"/>
        <item x="118"/>
        <item x="114"/>
        <item x="80"/>
        <item x="67"/>
        <item x="130"/>
        <item x="30"/>
        <item x="72"/>
        <item x="78"/>
        <item x="117"/>
        <item x="119"/>
        <item x="126"/>
        <item x="102"/>
        <item x="135"/>
        <item x="113"/>
        <item x="92"/>
        <item x="97"/>
        <item x="138"/>
        <item x="68"/>
        <item x="57"/>
        <item x="70"/>
        <item x="95"/>
        <item x="73"/>
        <item x="77"/>
        <item x="75"/>
        <item x="76"/>
        <item x="105"/>
        <item x="61"/>
        <item x="106"/>
        <item x="124"/>
        <item x="91"/>
        <item x="123"/>
        <item x="51"/>
        <item x="100"/>
        <item x="137"/>
        <item x="48"/>
        <item x="115"/>
        <item x="96"/>
        <item x="134"/>
        <item x="66"/>
        <item x="60"/>
        <item x="131"/>
        <item x="62"/>
        <item x="56"/>
        <item x="69"/>
        <item x="101"/>
        <item x="139"/>
        <item x="45"/>
        <item x="55"/>
        <item x="54"/>
        <item x="64"/>
        <item x="53"/>
        <item x="129"/>
        <item x="116"/>
        <item x="52"/>
        <item x="38"/>
        <item x="133"/>
        <item x="46"/>
        <item x="28"/>
        <item x="39"/>
        <item x="89"/>
        <item x="27"/>
        <item x="90"/>
        <item x="37"/>
        <item x="136"/>
        <item x="40"/>
        <item x="42"/>
        <item x="58"/>
        <item x="34"/>
        <item x="36"/>
        <item x="26"/>
        <item x="35"/>
        <item x="132"/>
        <item x="33"/>
        <item x="10"/>
        <item x="31"/>
        <item x="50"/>
        <item x="32"/>
        <item x="22"/>
        <item x="49"/>
        <item x="59"/>
        <item x="21"/>
        <item x="43"/>
        <item x="29"/>
        <item x="44"/>
        <item x="18"/>
        <item x="25"/>
        <item x="41"/>
        <item x="24"/>
        <item x="19"/>
        <item x="12"/>
        <item x="23"/>
        <item x="20"/>
        <item x="8"/>
        <item x="16"/>
        <item x="15"/>
        <item x="7"/>
        <item x="17"/>
        <item x="13"/>
        <item x="14"/>
        <item x="1"/>
        <item x="11"/>
        <item x="6"/>
        <item x="0"/>
        <item x="5"/>
        <item x="9"/>
        <item x="2"/>
        <item x="4"/>
        <item x="3"/>
      </items>
    </pivotField>
    <pivotField dataField="1" showAll="0" defaultSubtotal="0">
      <items count="509">
        <item x="207"/>
        <item x="182"/>
        <item x="86"/>
        <item x="334"/>
        <item x="458"/>
        <item x="218"/>
        <item x="302"/>
        <item x="131"/>
        <item x="47"/>
        <item x="434"/>
        <item x="97"/>
        <item x="10"/>
        <item x="259"/>
        <item x="194"/>
        <item x="66"/>
        <item x="386"/>
        <item x="370"/>
        <item x="206"/>
        <item x="30"/>
        <item x="251"/>
        <item x="332"/>
        <item x="142"/>
        <item x="132"/>
        <item x="272"/>
        <item x="478"/>
        <item x="291"/>
        <item x="166"/>
        <item x="196"/>
        <item x="236"/>
        <item x="116"/>
        <item x="491"/>
        <item x="342"/>
        <item x="18"/>
        <item x="271"/>
        <item x="155"/>
        <item x="362"/>
        <item x="104"/>
        <item x="430"/>
        <item x="451"/>
        <item x="363"/>
        <item x="395"/>
        <item x="471"/>
        <item x="87"/>
        <item x="135"/>
        <item x="171"/>
        <item x="377"/>
        <item x="507"/>
        <item x="314"/>
        <item x="220"/>
        <item x="253"/>
        <item x="75"/>
        <item x="303"/>
        <item x="346"/>
        <item x="229"/>
        <item x="385"/>
        <item x="368"/>
        <item x="156"/>
        <item x="143"/>
        <item x="168"/>
        <item x="209"/>
        <item x="270"/>
        <item x="68"/>
        <item x="247"/>
        <item x="321"/>
        <item x="240"/>
        <item x="462"/>
        <item x="333"/>
        <item x="414"/>
        <item x="261"/>
        <item x="299"/>
        <item x="98"/>
        <item x="19"/>
        <item x="12"/>
        <item x="269"/>
        <item x="457"/>
        <item x="472"/>
        <item x="184"/>
        <item x="353"/>
        <item x="361"/>
        <item x="70"/>
        <item x="204"/>
        <item x="477"/>
        <item x="106"/>
        <item x="158"/>
        <item x="115"/>
        <item x="290"/>
        <item x="73"/>
        <item x="165"/>
        <item x="85"/>
        <item x="304"/>
        <item x="53"/>
        <item x="152"/>
        <item x="102"/>
        <item x="496"/>
        <item x="490"/>
        <item x="338"/>
        <item x="239"/>
        <item x="38"/>
        <item x="48"/>
        <item x="114"/>
        <item x="175"/>
        <item x="105"/>
        <item x="8"/>
        <item x="433"/>
        <item x="170"/>
        <item x="205"/>
        <item x="273"/>
        <item x="77"/>
        <item x="365"/>
        <item x="28"/>
        <item x="396"/>
        <item x="16"/>
        <item x="230"/>
        <item x="195"/>
        <item x="466"/>
        <item x="390"/>
        <item x="118"/>
        <item x="27"/>
        <item x="335"/>
        <item x="282"/>
        <item x="174"/>
        <item x="249"/>
        <item x="217"/>
        <item x="301"/>
        <item x="15"/>
        <item x="144"/>
        <item x="313"/>
        <item x="44"/>
        <item x="134"/>
        <item x="238"/>
        <item x="489"/>
        <item x="226"/>
        <item x="341"/>
        <item x="57"/>
        <item x="157"/>
        <item x="37"/>
        <item x="71"/>
        <item x="56"/>
        <item x="186"/>
        <item x="7"/>
        <item x="59"/>
        <item x="172"/>
        <item x="123"/>
        <item x="74"/>
        <item x="432"/>
        <item x="103"/>
        <item x="55"/>
        <item x="329"/>
        <item x="473"/>
        <item x="121"/>
        <item x="369"/>
        <item x="92"/>
        <item x="76"/>
        <item x="17"/>
        <item x="13"/>
        <item x="292"/>
        <item x="14"/>
        <item x="464"/>
        <item x="34"/>
        <item x="208"/>
        <item x="36"/>
        <item x="26"/>
        <item x="456"/>
        <item x="119"/>
        <item x="219"/>
        <item x="487"/>
        <item x="35"/>
        <item x="323"/>
        <item x="54"/>
        <item x="50"/>
        <item x="145"/>
        <item x="300"/>
        <item x="64"/>
        <item x="173"/>
        <item x="327"/>
        <item x="122"/>
        <item x="33"/>
        <item x="1"/>
        <item x="355"/>
        <item x="109"/>
        <item x="257"/>
        <item x="78"/>
        <item x="431"/>
        <item x="45"/>
        <item x="193"/>
        <item x="136"/>
        <item x="51"/>
        <item x="242"/>
        <item x="133"/>
        <item x="221"/>
        <item x="96"/>
        <item x="31"/>
        <item x="169"/>
        <item x="383"/>
        <item x="11"/>
        <item x="101"/>
        <item x="316"/>
        <item x="470"/>
        <item x="183"/>
        <item x="89"/>
        <item x="32"/>
        <item x="440"/>
        <item x="350"/>
        <item x="330"/>
        <item x="411"/>
        <item x="266"/>
        <item x="337"/>
        <item x="191"/>
        <item x="160"/>
        <item x="250"/>
        <item x="376"/>
        <item x="22"/>
        <item x="128"/>
        <item x="58"/>
        <item x="234"/>
        <item x="215"/>
        <item x="153"/>
        <item x="120"/>
        <item x="99"/>
        <item x="6"/>
        <item x="129"/>
        <item x="147"/>
        <item x="262"/>
        <item x="258"/>
        <item x="88"/>
        <item x="39"/>
        <item x="140"/>
        <item x="246"/>
        <item x="324"/>
        <item x="69"/>
        <item x="352"/>
        <item x="63"/>
        <item x="222"/>
        <item x="84"/>
        <item x="0"/>
        <item x="181"/>
        <item x="384"/>
        <item x="340"/>
        <item x="65"/>
        <item x="108"/>
        <item x="41"/>
        <item x="216"/>
        <item x="21"/>
        <item x="72"/>
        <item x="241"/>
        <item x="275"/>
        <item x="112"/>
        <item x="305"/>
        <item x="197"/>
        <item x="448"/>
        <item x="267"/>
        <item x="83"/>
        <item x="151"/>
        <item x="397"/>
        <item x="237"/>
        <item x="227"/>
        <item x="95"/>
        <item x="192"/>
        <item x="465"/>
        <item x="359"/>
        <item x="499"/>
        <item x="331"/>
        <item x="141"/>
        <item x="46"/>
        <item x="210"/>
        <item x="67"/>
        <item x="5"/>
        <item x="150"/>
        <item x="163"/>
        <item x="179"/>
        <item x="260"/>
        <item x="233"/>
        <item x="117"/>
        <item x="506"/>
        <item x="154"/>
        <item x="418"/>
        <item x="310"/>
        <item x="9"/>
        <item x="127"/>
        <item x="501"/>
        <item x="82"/>
        <item x="167"/>
        <item x="308"/>
        <item x="52"/>
        <item x="201"/>
        <item x="248"/>
        <item x="256"/>
        <item x="469"/>
        <item x="224"/>
        <item x="345"/>
        <item x="190"/>
        <item x="100"/>
        <item x="410"/>
        <item x="212"/>
        <item x="360"/>
        <item x="146"/>
        <item x="481"/>
        <item x="29"/>
        <item x="453"/>
        <item x="328"/>
        <item x="159"/>
        <item x="111"/>
        <item x="367"/>
        <item x="49"/>
        <item x="394"/>
        <item x="228"/>
        <item x="113"/>
        <item x="354"/>
        <item x="424"/>
        <item x="245"/>
        <item x="25"/>
        <item x="178"/>
        <item x="213"/>
        <item x="429"/>
        <item x="492"/>
        <item x="373"/>
        <item x="358"/>
        <item x="319"/>
        <item x="351"/>
        <item x="265"/>
        <item x="202"/>
        <item x="90"/>
        <item x="189"/>
        <item x="162"/>
        <item x="130"/>
        <item x="278"/>
        <item x="479"/>
        <item x="254"/>
        <item x="80"/>
        <item x="415"/>
        <item x="199"/>
        <item x="447"/>
        <item x="349"/>
        <item x="339"/>
        <item x="235"/>
        <item x="214"/>
        <item x="482"/>
        <item x="180"/>
        <item x="255"/>
        <item x="381"/>
        <item x="293"/>
        <item x="317"/>
        <item x="468"/>
        <item x="203"/>
        <item x="388"/>
        <item x="441"/>
        <item x="425"/>
        <item x="2"/>
        <item x="283"/>
        <item x="185"/>
        <item x="268"/>
        <item x="81"/>
        <item x="375"/>
        <item x="24"/>
        <item x="476"/>
        <item x="79"/>
        <item x="42"/>
        <item x="357"/>
        <item x="223"/>
        <item x="60"/>
        <item x="107"/>
        <item x="138"/>
        <item x="380"/>
        <item x="450"/>
        <item x="460"/>
        <item x="407"/>
        <item x="364"/>
        <item x="391"/>
        <item x="284"/>
        <item x="91"/>
        <item x="412"/>
        <item x="4"/>
        <item x="454"/>
        <item x="494"/>
        <item x="264"/>
        <item x="43"/>
        <item x="484"/>
        <item x="428"/>
        <item x="161"/>
        <item x="93"/>
        <item x="326"/>
        <item x="343"/>
        <item x="164"/>
        <item x="455"/>
        <item x="124"/>
        <item x="277"/>
        <item x="148"/>
        <item x="467"/>
        <item x="427"/>
        <item x="312"/>
        <item x="243"/>
        <item x="449"/>
        <item x="347"/>
        <item x="188"/>
        <item x="409"/>
        <item x="393"/>
        <item x="139"/>
        <item x="486"/>
        <item x="110"/>
        <item x="294"/>
        <item x="61"/>
        <item x="40"/>
        <item x="94"/>
        <item x="422"/>
        <item x="298"/>
        <item x="439"/>
        <item x="295"/>
        <item x="232"/>
        <item x="296"/>
        <item x="23"/>
        <item x="400"/>
        <item x="125"/>
        <item x="311"/>
        <item x="488"/>
        <item x="62"/>
        <item x="126"/>
        <item x="200"/>
        <item x="318"/>
        <item x="225"/>
        <item x="366"/>
        <item x="20"/>
        <item x="325"/>
        <item x="322"/>
        <item x="461"/>
        <item x="307"/>
        <item x="297"/>
        <item x="474"/>
        <item x="356"/>
        <item x="3"/>
        <item x="413"/>
        <item x="379"/>
        <item x="211"/>
        <item x="244"/>
        <item x="503"/>
        <item x="137"/>
        <item x="389"/>
        <item x="408"/>
        <item x="281"/>
        <item x="149"/>
        <item x="475"/>
        <item x="177"/>
        <item x="198"/>
        <item x="483"/>
        <item x="403"/>
        <item x="176"/>
        <item x="372"/>
        <item x="276"/>
        <item x="382"/>
        <item x="348"/>
        <item x="374"/>
        <item x="405"/>
        <item x="444"/>
        <item x="309"/>
        <item x="263"/>
        <item x="315"/>
        <item x="420"/>
        <item x="378"/>
        <item x="495"/>
        <item x="187"/>
        <item x="443"/>
        <item x="231"/>
        <item x="252"/>
        <item x="505"/>
        <item x="336"/>
        <item x="274"/>
        <item x="286"/>
        <item x="445"/>
        <item x="426"/>
        <item x="436"/>
        <item x="416"/>
        <item x="280"/>
        <item x="306"/>
        <item x="320"/>
        <item x="392"/>
        <item x="442"/>
        <item x="406"/>
        <item x="498"/>
        <item x="344"/>
        <item x="463"/>
        <item x="438"/>
        <item x="404"/>
        <item x="480"/>
        <item x="398"/>
        <item x="289"/>
        <item x="446"/>
        <item x="288"/>
        <item x="285"/>
        <item x="500"/>
        <item x="421"/>
        <item x="504"/>
        <item x="279"/>
        <item x="493"/>
        <item x="508"/>
        <item x="371"/>
        <item x="417"/>
        <item x="423"/>
        <item x="401"/>
        <item x="399"/>
        <item x="497"/>
        <item x="419"/>
        <item x="435"/>
        <item x="437"/>
        <item x="452"/>
        <item x="459"/>
        <item x="387"/>
        <item x="485"/>
        <item x="502"/>
        <item x="402"/>
        <item x="287"/>
      </items>
    </pivotField>
    <pivotField dataField="1" showAll="0" defaultSubtotal="0">
      <items count="9">
        <item x="3"/>
        <item x="0"/>
        <item x="4"/>
        <item x="1"/>
        <item x="7"/>
        <item x="2"/>
        <item x="8"/>
        <item x="6"/>
        <item x="5"/>
      </items>
    </pivotField>
  </pivotFields>
  <rowFields count="3">
    <field x="2"/>
    <field x="6"/>
    <field x="5"/>
  </rowFields>
  <rowItems count="1906">
    <i>
      <x/>
    </i>
    <i r="1">
      <x/>
      <x v="57"/>
    </i>
    <i r="1">
      <x v="1"/>
      <x v="59"/>
    </i>
    <i r="1">
      <x v="2"/>
      <x v="51"/>
    </i>
    <i r="1">
      <x v="3"/>
      <x v="1"/>
    </i>
    <i r="1">
      <x v="4"/>
      <x v="47"/>
    </i>
    <i r="1">
      <x v="5"/>
      <x v="2"/>
    </i>
    <i r="1">
      <x v="6"/>
      <x v="45"/>
    </i>
    <i r="1">
      <x v="7"/>
      <x v="56"/>
    </i>
    <i r="1">
      <x v="8"/>
      <x v="62"/>
    </i>
    <i r="1">
      <x v="9"/>
      <x v="3"/>
    </i>
    <i r="1">
      <x v="10"/>
      <x v="63"/>
    </i>
    <i r="1">
      <x v="11"/>
      <x v="46"/>
    </i>
    <i r="1">
      <x v="12"/>
      <x v="54"/>
    </i>
    <i r="1">
      <x v="13"/>
      <x v="44"/>
    </i>
    <i r="1">
      <x v="14"/>
      <x v="55"/>
    </i>
    <i r="1">
      <x v="15"/>
      <x v="64"/>
    </i>
    <i r="1">
      <x v="16"/>
      <x v="20"/>
    </i>
    <i r="1">
      <x v="17"/>
      <x v="41"/>
    </i>
    <i r="1">
      <x v="18"/>
      <x v="66"/>
    </i>
    <i r="1">
      <x v="19"/>
      <x v="18"/>
    </i>
    <i t="blank">
      <x/>
    </i>
    <i>
      <x v="1"/>
    </i>
    <i r="1">
      <x/>
      <x v="51"/>
    </i>
    <i r="1">
      <x v="1"/>
      <x v="57"/>
    </i>
    <i r="1">
      <x v="2"/>
      <x v="59"/>
    </i>
    <i r="1">
      <x v="3"/>
      <x v="1"/>
    </i>
    <i r="1">
      <x v="4"/>
      <x v="47"/>
    </i>
    <i r="1">
      <x v="5"/>
      <x v="2"/>
    </i>
    <i r="1">
      <x v="6"/>
      <x v="45"/>
    </i>
    <i r="1">
      <x v="7"/>
      <x v="62"/>
    </i>
    <i r="1">
      <x v="8"/>
      <x v="54"/>
    </i>
    <i r="1">
      <x v="9"/>
      <x v="3"/>
    </i>
    <i r="1">
      <x v="10"/>
      <x v="63"/>
    </i>
    <i r="1">
      <x v="11"/>
      <x v="46"/>
    </i>
    <i r="1">
      <x v="12"/>
      <x v="55"/>
    </i>
    <i r="1">
      <x v="13"/>
      <x v="44"/>
    </i>
    <i r="1">
      <x v="14"/>
      <x v="42"/>
    </i>
    <i r="1">
      <x v="15"/>
      <x v="41"/>
    </i>
    <i r="1">
      <x v="16"/>
      <x v="64"/>
    </i>
    <i r="1">
      <x v="17"/>
      <x v="50"/>
    </i>
    <i r="1">
      <x v="18"/>
      <x v="69"/>
    </i>
    <i r="1">
      <x v="19"/>
      <x v="40"/>
    </i>
    <i t="blank">
      <x v="1"/>
    </i>
    <i>
      <x v="2"/>
    </i>
    <i r="1">
      <x/>
      <x v="57"/>
    </i>
    <i r="1">
      <x v="1"/>
      <x v="51"/>
    </i>
    <i r="1">
      <x v="2"/>
      <x v="59"/>
    </i>
    <i r="1">
      <x v="3"/>
      <x v="47"/>
    </i>
    <i r="1">
      <x v="4"/>
      <x v="1"/>
    </i>
    <i r="1">
      <x v="5"/>
      <x v="62"/>
    </i>
    <i r="1">
      <x v="6"/>
      <x v="45"/>
    </i>
    <i r="1">
      <x v="7"/>
      <x v="2"/>
    </i>
    <i r="1">
      <x v="8"/>
      <x v="63"/>
    </i>
    <i r="1">
      <x v="9"/>
      <x v="54"/>
    </i>
    <i r="1">
      <x v="10"/>
      <x v="3"/>
    </i>
    <i r="1">
      <x v="11"/>
      <x v="46"/>
    </i>
    <i r="1">
      <x v="12"/>
      <x v="44"/>
    </i>
    <i r="1">
      <x v="13"/>
      <x v="41"/>
    </i>
    <i r="1">
      <x v="14"/>
      <x v="56"/>
    </i>
    <i r="1">
      <x v="15"/>
      <x v="64"/>
    </i>
    <i r="1">
      <x v="16"/>
      <x v="55"/>
    </i>
    <i r="1">
      <x v="17"/>
      <x v="42"/>
    </i>
    <i r="1">
      <x v="18"/>
      <x v="50"/>
    </i>
    <i r="1">
      <x v="19"/>
      <x v="39"/>
    </i>
    <i t="blank">
      <x v="2"/>
    </i>
    <i>
      <x v="3"/>
    </i>
    <i r="1">
      <x/>
      <x v="57"/>
    </i>
    <i r="1">
      <x v="1"/>
      <x v="59"/>
    </i>
    <i r="1">
      <x v="2"/>
      <x v="51"/>
    </i>
    <i r="1">
      <x v="3"/>
      <x v="47"/>
    </i>
    <i r="1">
      <x v="4"/>
      <x v="1"/>
    </i>
    <i r="1">
      <x v="5"/>
      <x v="2"/>
    </i>
    <i r="1">
      <x v="6"/>
      <x v="45"/>
    </i>
    <i r="2">
      <x v="46"/>
    </i>
    <i r="1">
      <x v="8"/>
      <x v="63"/>
    </i>
    <i r="1">
      <x v="9"/>
      <x v="20"/>
    </i>
    <i r="2">
      <x v="54"/>
    </i>
    <i r="1">
      <x v="11"/>
      <x v="3"/>
    </i>
    <i r="1">
      <x v="12"/>
      <x v="62"/>
    </i>
    <i r="1">
      <x v="13"/>
      <x v="55"/>
    </i>
    <i r="1">
      <x v="14"/>
      <x v="41"/>
    </i>
    <i r="2">
      <x v="56"/>
    </i>
    <i r="1">
      <x v="16"/>
      <x v="44"/>
    </i>
    <i r="1">
      <x v="17"/>
      <x v="66"/>
    </i>
    <i r="1">
      <x v="18"/>
      <x v="18"/>
    </i>
    <i r="1">
      <x v="19"/>
      <x v="40"/>
    </i>
    <i t="blank">
      <x v="3"/>
    </i>
    <i>
      <x v="4"/>
    </i>
    <i r="1">
      <x/>
      <x v="59"/>
    </i>
    <i r="1">
      <x v="1"/>
      <x v="57"/>
    </i>
    <i r="1">
      <x v="2"/>
      <x v="51"/>
    </i>
    <i r="1">
      <x v="3"/>
      <x v="47"/>
    </i>
    <i r="1">
      <x v="4"/>
      <x v="20"/>
    </i>
    <i r="1">
      <x v="5"/>
      <x v="1"/>
    </i>
    <i r="2">
      <x v="2"/>
    </i>
    <i r="1">
      <x v="7"/>
      <x v="45"/>
    </i>
    <i r="1">
      <x v="8"/>
      <x v="18"/>
    </i>
    <i r="1">
      <x v="9"/>
      <x v="46"/>
    </i>
    <i r="1">
      <x v="10"/>
      <x v="62"/>
    </i>
    <i r="1">
      <x v="11"/>
      <x v="63"/>
    </i>
    <i r="1">
      <x v="12"/>
      <x v="44"/>
    </i>
    <i r="2">
      <x v="55"/>
    </i>
    <i r="1">
      <x v="14"/>
      <x v="54"/>
    </i>
    <i r="1">
      <x v="15"/>
      <x v="3"/>
    </i>
    <i r="2">
      <x v="41"/>
    </i>
    <i r="1">
      <x v="17"/>
      <x v="19"/>
    </i>
    <i r="1">
      <x v="18"/>
      <x v="40"/>
    </i>
    <i r="1">
      <x v="19"/>
      <x v="64"/>
    </i>
    <i t="blank">
      <x v="4"/>
    </i>
    <i>
      <x v="5"/>
    </i>
    <i r="1">
      <x/>
      <x v="57"/>
    </i>
    <i r="1">
      <x v="1"/>
      <x v="51"/>
    </i>
    <i r="1">
      <x v="2"/>
      <x v="59"/>
    </i>
    <i r="1">
      <x v="3"/>
      <x v="47"/>
    </i>
    <i r="1">
      <x v="4"/>
      <x v="1"/>
    </i>
    <i r="1">
      <x v="5"/>
      <x v="2"/>
    </i>
    <i r="1">
      <x v="6"/>
      <x v="45"/>
    </i>
    <i r="1">
      <x v="7"/>
      <x v="63"/>
    </i>
    <i r="1">
      <x v="8"/>
      <x v="62"/>
    </i>
    <i r="1">
      <x v="9"/>
      <x v="44"/>
    </i>
    <i r="1">
      <x v="10"/>
      <x v="3"/>
    </i>
    <i r="1">
      <x v="11"/>
      <x v="46"/>
    </i>
    <i r="2">
      <x v="54"/>
    </i>
    <i r="1">
      <x v="13"/>
      <x v="55"/>
    </i>
    <i r="1">
      <x v="14"/>
      <x v="64"/>
    </i>
    <i r="1">
      <x v="15"/>
      <x v="66"/>
    </i>
    <i r="1">
      <x v="16"/>
      <x v="4"/>
    </i>
    <i r="1">
      <x v="17"/>
      <x v="20"/>
    </i>
    <i r="1">
      <x v="18"/>
      <x v="9"/>
    </i>
    <i r="2">
      <x v="41"/>
    </i>
    <i t="blank">
      <x v="5"/>
    </i>
    <i>
      <x v="6"/>
    </i>
    <i r="1">
      <x/>
      <x v="51"/>
    </i>
    <i r="1">
      <x v="1"/>
      <x v="57"/>
    </i>
    <i r="1">
      <x v="2"/>
      <x v="59"/>
    </i>
    <i r="1">
      <x v="3"/>
      <x v="1"/>
    </i>
    <i r="1">
      <x v="4"/>
      <x v="47"/>
    </i>
    <i r="1">
      <x v="5"/>
      <x v="2"/>
    </i>
    <i r="2">
      <x v="3"/>
    </i>
    <i r="1">
      <x v="7"/>
      <x v="62"/>
    </i>
    <i r="1">
      <x v="8"/>
      <x v="54"/>
    </i>
    <i r="1">
      <x v="9"/>
      <x v="45"/>
    </i>
    <i r="1">
      <x v="10"/>
      <x v="63"/>
    </i>
    <i r="1">
      <x v="11"/>
      <x v="41"/>
    </i>
    <i r="1">
      <x v="12"/>
      <x v="44"/>
    </i>
    <i r="1">
      <x v="13"/>
      <x v="46"/>
    </i>
    <i r="2">
      <x v="55"/>
    </i>
    <i r="1">
      <x v="15"/>
      <x v="20"/>
    </i>
    <i r="1">
      <x v="16"/>
      <x v="18"/>
    </i>
    <i r="1">
      <x v="17"/>
      <x v="50"/>
    </i>
    <i r="1">
      <x v="18"/>
      <x v="42"/>
    </i>
    <i r="2">
      <x v="58"/>
    </i>
    <i t="blank">
      <x v="6"/>
    </i>
    <i>
      <x v="7"/>
    </i>
    <i r="1">
      <x/>
      <x v="57"/>
    </i>
    <i r="1">
      <x v="1"/>
      <x v="59"/>
    </i>
    <i r="1">
      <x v="2"/>
      <x v="51"/>
    </i>
    <i r="1">
      <x v="3"/>
      <x v="47"/>
    </i>
    <i r="1">
      <x v="4"/>
      <x v="1"/>
    </i>
    <i r="1">
      <x v="5"/>
      <x v="62"/>
    </i>
    <i r="1">
      <x v="6"/>
      <x v="2"/>
    </i>
    <i r="2">
      <x v="45"/>
    </i>
    <i r="1">
      <x v="8"/>
      <x v="46"/>
    </i>
    <i r="1">
      <x v="9"/>
      <x v="3"/>
    </i>
    <i r="1">
      <x v="10"/>
      <x v="56"/>
    </i>
    <i r="1">
      <x v="11"/>
      <x v="63"/>
    </i>
    <i r="1">
      <x v="12"/>
      <x v="44"/>
    </i>
    <i r="2">
      <x v="54"/>
    </i>
    <i r="1">
      <x v="14"/>
      <x v="55"/>
    </i>
    <i r="1">
      <x v="15"/>
      <x v="18"/>
    </i>
    <i r="1">
      <x v="16"/>
      <x v="20"/>
    </i>
    <i r="1">
      <x v="17"/>
      <x v="4"/>
    </i>
    <i r="1">
      <x v="18"/>
      <x v="39"/>
    </i>
    <i r="1">
      <x v="19"/>
      <x v="8"/>
    </i>
    <i t="blank">
      <x v="7"/>
    </i>
    <i>
      <x v="8"/>
    </i>
    <i r="1">
      <x/>
      <x v="57"/>
    </i>
    <i r="1">
      <x v="1"/>
      <x v="59"/>
    </i>
    <i r="1">
      <x v="2"/>
      <x v="1"/>
    </i>
    <i r="1">
      <x v="3"/>
      <x v="51"/>
    </i>
    <i r="1">
      <x v="4"/>
      <x v="47"/>
    </i>
    <i r="1">
      <x v="5"/>
      <x v="2"/>
    </i>
    <i r="1">
      <x v="6"/>
      <x v="45"/>
    </i>
    <i r="1">
      <x v="7"/>
      <x v="46"/>
    </i>
    <i r="1">
      <x v="8"/>
      <x v="3"/>
    </i>
    <i r="1">
      <x v="9"/>
      <x v="55"/>
    </i>
    <i r="2">
      <x v="63"/>
    </i>
    <i r="1">
      <x v="11"/>
      <x v="54"/>
    </i>
    <i r="2">
      <x v="62"/>
    </i>
    <i r="1">
      <x v="13"/>
      <x v="66"/>
    </i>
    <i r="1">
      <x v="14"/>
      <x v="44"/>
    </i>
    <i r="1">
      <x v="15"/>
      <x v="40"/>
    </i>
    <i r="1">
      <x v="16"/>
      <x v="18"/>
    </i>
    <i r="2">
      <x v="39"/>
    </i>
    <i r="1">
      <x v="18"/>
      <x v="50"/>
    </i>
    <i r="2">
      <x v="60"/>
    </i>
    <i t="blank">
      <x v="8"/>
    </i>
    <i>
      <x v="9"/>
    </i>
    <i r="1">
      <x/>
      <x v="57"/>
    </i>
    <i r="1">
      <x v="1"/>
      <x v="59"/>
    </i>
    <i r="1">
      <x v="2"/>
      <x v="47"/>
    </i>
    <i r="1">
      <x v="3"/>
      <x v="1"/>
    </i>
    <i r="1">
      <x v="4"/>
      <x v="51"/>
    </i>
    <i r="1">
      <x v="5"/>
      <x v="45"/>
    </i>
    <i r="1">
      <x v="6"/>
      <x v="2"/>
    </i>
    <i r="1">
      <x v="7"/>
      <x v="62"/>
    </i>
    <i r="1">
      <x v="8"/>
      <x v="46"/>
    </i>
    <i r="1">
      <x v="9"/>
      <x v="44"/>
    </i>
    <i r="1">
      <x v="10"/>
      <x v="63"/>
    </i>
    <i r="1">
      <x v="11"/>
      <x v="55"/>
    </i>
    <i r="1">
      <x v="12"/>
      <x v="3"/>
    </i>
    <i r="1">
      <x v="13"/>
      <x v="54"/>
    </i>
    <i r="1">
      <x v="14"/>
      <x v="66"/>
    </i>
    <i r="1">
      <x v="15"/>
      <x v="56"/>
    </i>
    <i r="1">
      <x v="16"/>
      <x v="18"/>
    </i>
    <i r="2">
      <x v="41"/>
    </i>
    <i r="2">
      <x v="61"/>
    </i>
    <i r="1">
      <x v="19"/>
      <x v="20"/>
    </i>
    <i t="blank">
      <x v="9"/>
    </i>
    <i>
      <x v="10"/>
    </i>
    <i r="1">
      <x/>
      <x v="57"/>
    </i>
    <i r="1">
      <x v="1"/>
      <x v="59"/>
    </i>
    <i r="1">
      <x v="2"/>
      <x v="51"/>
    </i>
    <i r="1">
      <x v="3"/>
      <x v="47"/>
    </i>
    <i r="1">
      <x v="4"/>
      <x v="2"/>
    </i>
    <i r="1">
      <x v="5"/>
      <x v="45"/>
    </i>
    <i r="1">
      <x v="6"/>
      <x v="1"/>
    </i>
    <i r="1">
      <x v="7"/>
      <x v="62"/>
    </i>
    <i r="1">
      <x v="8"/>
      <x v="63"/>
    </i>
    <i r="1">
      <x v="9"/>
      <x v="44"/>
    </i>
    <i r="1">
      <x v="10"/>
      <x v="54"/>
    </i>
    <i r="1">
      <x v="11"/>
      <x v="46"/>
    </i>
    <i r="1">
      <x v="12"/>
      <x v="55"/>
    </i>
    <i r="1">
      <x v="13"/>
      <x v="3"/>
    </i>
    <i r="1">
      <x v="14"/>
      <x v="49"/>
    </i>
    <i r="1">
      <x v="15"/>
      <x v="60"/>
    </i>
    <i r="1">
      <x v="16"/>
      <x v="58"/>
    </i>
    <i r="2">
      <x v="64"/>
    </i>
    <i r="1">
      <x v="18"/>
      <x v="40"/>
    </i>
    <i r="1">
      <x v="19"/>
      <x v="8"/>
    </i>
    <i r="2">
      <x v="48"/>
    </i>
    <i t="blank">
      <x v="10"/>
    </i>
    <i>
      <x v="11"/>
    </i>
    <i r="1">
      <x/>
      <x v="57"/>
    </i>
    <i r="2">
      <x v="59"/>
    </i>
    <i r="1">
      <x v="2"/>
      <x v="47"/>
    </i>
    <i r="1">
      <x v="3"/>
      <x v="1"/>
    </i>
    <i r="1">
      <x v="4"/>
      <x v="51"/>
    </i>
    <i r="1">
      <x v="5"/>
      <x v="45"/>
    </i>
    <i r="1">
      <x v="6"/>
      <x v="2"/>
    </i>
    <i r="1">
      <x v="7"/>
      <x v="46"/>
    </i>
    <i r="1">
      <x v="8"/>
      <x v="62"/>
    </i>
    <i r="1">
      <x v="9"/>
      <x v="63"/>
    </i>
    <i r="1">
      <x v="10"/>
      <x v="3"/>
    </i>
    <i r="1">
      <x v="11"/>
      <x v="54"/>
    </i>
    <i r="1">
      <x v="12"/>
      <x v="55"/>
    </i>
    <i r="1">
      <x v="13"/>
      <x v="44"/>
    </i>
    <i r="1">
      <x v="14"/>
      <x v="39"/>
    </i>
    <i r="1">
      <x v="15"/>
      <x v="64"/>
    </i>
    <i r="1">
      <x v="16"/>
      <x v="4"/>
    </i>
    <i r="1">
      <x v="17"/>
      <x v="66"/>
    </i>
    <i r="1">
      <x v="18"/>
      <x v="41"/>
    </i>
    <i r="2">
      <x v="60"/>
    </i>
    <i t="blank">
      <x v="11"/>
    </i>
    <i>
      <x v="12"/>
    </i>
    <i r="1">
      <x/>
      <x v="57"/>
    </i>
    <i r="1">
      <x v="1"/>
      <x v="59"/>
    </i>
    <i r="1">
      <x v="2"/>
      <x v="1"/>
    </i>
    <i r="1">
      <x v="3"/>
      <x v="47"/>
    </i>
    <i r="1">
      <x v="4"/>
      <x v="62"/>
    </i>
    <i r="1">
      <x v="5"/>
      <x v="2"/>
    </i>
    <i r="1">
      <x v="6"/>
      <x v="45"/>
    </i>
    <i r="1">
      <x v="7"/>
      <x v="56"/>
    </i>
    <i r="1">
      <x v="8"/>
      <x v="64"/>
    </i>
    <i r="1">
      <x v="9"/>
      <x v="46"/>
    </i>
    <i r="1">
      <x v="10"/>
      <x v="51"/>
    </i>
    <i r="1">
      <x v="11"/>
      <x v="63"/>
    </i>
    <i r="1">
      <x v="12"/>
      <x v="54"/>
    </i>
    <i r="1">
      <x v="13"/>
      <x v="44"/>
    </i>
    <i r="2">
      <x v="66"/>
    </i>
    <i r="1">
      <x v="15"/>
      <x v="4"/>
    </i>
    <i r="2">
      <x v="55"/>
    </i>
    <i r="1">
      <x v="17"/>
      <x v="3"/>
    </i>
    <i r="2">
      <x v="60"/>
    </i>
    <i r="1">
      <x v="19"/>
      <x v="8"/>
    </i>
    <i r="2">
      <x v="41"/>
    </i>
    <i t="blank">
      <x v="12"/>
    </i>
    <i>
      <x v="13"/>
    </i>
    <i r="1">
      <x/>
      <x v="59"/>
    </i>
    <i r="1">
      <x v="1"/>
      <x v="57"/>
    </i>
    <i r="1">
      <x v="2"/>
      <x v="47"/>
    </i>
    <i r="1">
      <x v="3"/>
      <x v="56"/>
    </i>
    <i r="1">
      <x v="4"/>
      <x v="1"/>
    </i>
    <i r="1">
      <x v="5"/>
      <x v="2"/>
    </i>
    <i r="1">
      <x v="6"/>
      <x v="45"/>
    </i>
    <i r="1">
      <x v="7"/>
      <x v="3"/>
    </i>
    <i r="1">
      <x v="8"/>
      <x v="46"/>
    </i>
    <i r="1">
      <x v="9"/>
      <x v="64"/>
    </i>
    <i r="1">
      <x v="10"/>
      <x v="44"/>
    </i>
    <i r="1">
      <x v="11"/>
      <x v="62"/>
    </i>
    <i r="1">
      <x v="12"/>
      <x v="51"/>
    </i>
    <i r="1">
      <x v="13"/>
      <x v="54"/>
    </i>
    <i r="2">
      <x v="63"/>
    </i>
    <i r="1">
      <x v="15"/>
      <x v="42"/>
    </i>
    <i r="1">
      <x v="16"/>
      <x v="4"/>
    </i>
    <i r="2">
      <x v="8"/>
    </i>
    <i r="2">
      <x v="26"/>
    </i>
    <i r="2">
      <x v="55"/>
    </i>
    <i t="blank">
      <x v="13"/>
    </i>
    <i>
      <x v="14"/>
    </i>
    <i r="1">
      <x/>
      <x v="57"/>
    </i>
    <i r="1">
      <x v="1"/>
      <x v="59"/>
    </i>
    <i r="1">
      <x v="2"/>
      <x v="1"/>
    </i>
    <i r="2">
      <x v="56"/>
    </i>
    <i r="1">
      <x v="4"/>
      <x v="47"/>
    </i>
    <i r="1">
      <x v="5"/>
      <x v="51"/>
    </i>
    <i r="1">
      <x v="6"/>
      <x v="2"/>
    </i>
    <i r="1">
      <x v="7"/>
      <x v="45"/>
    </i>
    <i r="1">
      <x v="8"/>
      <x v="46"/>
    </i>
    <i r="1">
      <x v="9"/>
      <x v="3"/>
    </i>
    <i r="2">
      <x v="62"/>
    </i>
    <i r="1">
      <x v="11"/>
      <x v="63"/>
    </i>
    <i r="1">
      <x v="12"/>
      <x v="55"/>
    </i>
    <i r="1">
      <x v="13"/>
      <x v="54"/>
    </i>
    <i r="1">
      <x v="14"/>
      <x v="20"/>
    </i>
    <i r="2">
      <x v="64"/>
    </i>
    <i r="1">
      <x v="16"/>
      <x v="44"/>
    </i>
    <i r="1">
      <x v="17"/>
      <x v="58"/>
    </i>
    <i r="1">
      <x v="18"/>
      <x v="18"/>
    </i>
    <i r="1">
      <x v="19"/>
      <x v="66"/>
    </i>
    <i t="blank">
      <x v="14"/>
    </i>
    <i>
      <x v="15"/>
    </i>
    <i r="1">
      <x/>
      <x v="59"/>
    </i>
    <i r="1">
      <x v="1"/>
      <x v="57"/>
    </i>
    <i r="1">
      <x v="2"/>
      <x v="47"/>
    </i>
    <i r="1">
      <x v="3"/>
      <x v="51"/>
    </i>
    <i r="1">
      <x v="4"/>
      <x v="1"/>
    </i>
    <i r="1">
      <x v="5"/>
      <x v="62"/>
    </i>
    <i r="1">
      <x v="6"/>
      <x v="2"/>
    </i>
    <i r="1">
      <x v="7"/>
      <x v="45"/>
    </i>
    <i r="1">
      <x v="8"/>
      <x v="63"/>
    </i>
    <i r="1">
      <x v="9"/>
      <x v="26"/>
    </i>
    <i r="1">
      <x v="10"/>
      <x v="46"/>
    </i>
    <i r="1">
      <x v="11"/>
      <x v="3"/>
    </i>
    <i r="1">
      <x v="12"/>
      <x v="54"/>
    </i>
    <i r="1">
      <x v="13"/>
      <x v="66"/>
    </i>
    <i r="1">
      <x v="14"/>
      <x v="55"/>
    </i>
    <i r="1">
      <x v="15"/>
      <x v="20"/>
    </i>
    <i r="1">
      <x v="16"/>
      <x v="41"/>
    </i>
    <i r="1">
      <x v="17"/>
      <x v="50"/>
    </i>
    <i r="1">
      <x v="18"/>
      <x v="64"/>
    </i>
    <i r="1">
      <x v="19"/>
      <x v="8"/>
    </i>
    <i r="2">
      <x v="42"/>
    </i>
    <i t="blank">
      <x v="15"/>
    </i>
    <i>
      <x v="16"/>
    </i>
    <i r="1">
      <x/>
      <x v="57"/>
    </i>
    <i r="1">
      <x v="1"/>
      <x v="59"/>
    </i>
    <i r="1">
      <x v="2"/>
      <x v="1"/>
    </i>
    <i r="1">
      <x v="3"/>
      <x v="47"/>
    </i>
    <i r="1">
      <x v="4"/>
      <x v="2"/>
    </i>
    <i r="1">
      <x v="5"/>
      <x v="45"/>
    </i>
    <i r="1">
      <x v="6"/>
      <x v="51"/>
    </i>
    <i r="1">
      <x v="7"/>
      <x v="63"/>
    </i>
    <i r="1">
      <x v="8"/>
      <x v="46"/>
    </i>
    <i r="1">
      <x v="9"/>
      <x v="62"/>
    </i>
    <i r="1">
      <x v="10"/>
      <x v="54"/>
    </i>
    <i r="1">
      <x v="11"/>
      <x v="55"/>
    </i>
    <i r="1">
      <x v="12"/>
      <x v="3"/>
    </i>
    <i r="2">
      <x v="44"/>
    </i>
    <i r="1">
      <x v="14"/>
      <x v="66"/>
    </i>
    <i r="1">
      <x v="15"/>
      <x v="20"/>
    </i>
    <i r="2">
      <x v="64"/>
    </i>
    <i r="1">
      <x v="17"/>
      <x v="4"/>
    </i>
    <i r="2">
      <x v="50"/>
    </i>
    <i r="2">
      <x v="60"/>
    </i>
    <i t="blank">
      <x v="16"/>
    </i>
    <i>
      <x v="17"/>
    </i>
    <i r="1">
      <x/>
      <x v="51"/>
    </i>
    <i r="1">
      <x v="1"/>
      <x v="59"/>
    </i>
    <i r="1">
      <x v="2"/>
      <x v="57"/>
    </i>
    <i r="1">
      <x v="3"/>
      <x v="47"/>
    </i>
    <i r="1">
      <x v="4"/>
      <x v="1"/>
    </i>
    <i r="1">
      <x v="5"/>
      <x v="2"/>
    </i>
    <i r="1">
      <x v="6"/>
      <x v="45"/>
    </i>
    <i r="2">
      <x v="62"/>
    </i>
    <i r="1">
      <x v="8"/>
      <x v="3"/>
    </i>
    <i r="1">
      <x v="9"/>
      <x v="46"/>
    </i>
    <i r="1">
      <x v="10"/>
      <x v="54"/>
    </i>
    <i r="2">
      <x v="63"/>
    </i>
    <i r="1">
      <x v="12"/>
      <x v="20"/>
    </i>
    <i r="1">
      <x v="13"/>
      <x v="18"/>
    </i>
    <i r="1">
      <x v="14"/>
      <x v="55"/>
    </i>
    <i r="1">
      <x v="15"/>
      <x v="39"/>
    </i>
    <i r="2">
      <x v="64"/>
    </i>
    <i r="1">
      <x v="17"/>
      <x v="44"/>
    </i>
    <i r="1">
      <x v="18"/>
      <x v="4"/>
    </i>
    <i r="1">
      <x v="19"/>
      <x v="66"/>
    </i>
    <i t="blank">
      <x v="17"/>
    </i>
    <i>
      <x v="18"/>
    </i>
    <i r="1">
      <x/>
      <x v="1"/>
    </i>
    <i r="1">
      <x v="1"/>
      <x v="57"/>
    </i>
    <i r="1">
      <x v="2"/>
      <x v="59"/>
    </i>
    <i r="1">
      <x v="3"/>
      <x v="2"/>
    </i>
    <i r="1">
      <x v="4"/>
      <x v="47"/>
    </i>
    <i r="1">
      <x v="5"/>
      <x v="3"/>
    </i>
    <i r="1">
      <x v="6"/>
      <x v="46"/>
    </i>
    <i r="1">
      <x v="7"/>
      <x v="45"/>
    </i>
    <i r="1">
      <x v="8"/>
      <x v="51"/>
    </i>
    <i r="2">
      <x v="62"/>
    </i>
    <i r="1">
      <x v="10"/>
      <x v="63"/>
    </i>
    <i r="1">
      <x v="11"/>
      <x v="18"/>
    </i>
    <i r="1">
      <x v="12"/>
      <x v="40"/>
    </i>
    <i r="1">
      <x v="13"/>
      <x v="20"/>
    </i>
    <i r="2">
      <x v="55"/>
    </i>
    <i r="2">
      <x v="64"/>
    </i>
    <i r="1">
      <x v="16"/>
      <x v="56"/>
    </i>
    <i r="1">
      <x v="17"/>
      <x v="54"/>
    </i>
    <i r="1">
      <x v="18"/>
      <x v="23"/>
    </i>
    <i r="2">
      <x v="26"/>
    </i>
    <i t="blank">
      <x v="18"/>
    </i>
    <i>
      <x v="19"/>
    </i>
    <i r="1">
      <x/>
      <x v="57"/>
    </i>
    <i r="1">
      <x v="1"/>
      <x v="59"/>
    </i>
    <i r="1">
      <x v="2"/>
      <x v="1"/>
    </i>
    <i r="1">
      <x v="3"/>
      <x v="51"/>
    </i>
    <i r="1">
      <x v="4"/>
      <x v="47"/>
    </i>
    <i r="1">
      <x v="5"/>
      <x v="2"/>
    </i>
    <i r="1">
      <x v="6"/>
      <x v="62"/>
    </i>
    <i r="1">
      <x v="7"/>
      <x v="45"/>
    </i>
    <i r="1">
      <x v="8"/>
      <x v="3"/>
    </i>
    <i r="1">
      <x v="9"/>
      <x v="63"/>
    </i>
    <i r="1">
      <x v="10"/>
      <x v="46"/>
    </i>
    <i r="1">
      <x v="11"/>
      <x v="55"/>
    </i>
    <i r="1">
      <x v="12"/>
      <x v="44"/>
    </i>
    <i r="1">
      <x v="13"/>
      <x v="54"/>
    </i>
    <i r="1">
      <x v="14"/>
      <x v="56"/>
    </i>
    <i r="2">
      <x v="64"/>
    </i>
    <i r="1">
      <x v="16"/>
      <x v="4"/>
    </i>
    <i r="1">
      <x v="17"/>
      <x v="60"/>
    </i>
    <i r="2">
      <x v="66"/>
    </i>
    <i r="1">
      <x v="19"/>
      <x v="18"/>
    </i>
    <i r="2">
      <x v="50"/>
    </i>
    <i t="blank">
      <x v="19"/>
    </i>
    <i>
      <x v="20"/>
    </i>
    <i r="1">
      <x/>
      <x v="1"/>
    </i>
    <i r="1">
      <x v="1"/>
      <x v="57"/>
    </i>
    <i r="1">
      <x v="2"/>
      <x v="59"/>
    </i>
    <i r="1">
      <x v="3"/>
      <x v="45"/>
    </i>
    <i r="1">
      <x v="4"/>
      <x v="47"/>
    </i>
    <i r="1">
      <x v="5"/>
      <x v="2"/>
    </i>
    <i r="1">
      <x v="6"/>
      <x v="56"/>
    </i>
    <i r="1">
      <x v="7"/>
      <x v="3"/>
    </i>
    <i r="2">
      <x v="4"/>
    </i>
    <i r="2">
      <x v="44"/>
    </i>
    <i r="2">
      <x v="63"/>
    </i>
    <i r="1">
      <x v="11"/>
      <x v="46"/>
    </i>
    <i r="2">
      <x v="55"/>
    </i>
    <i r="2">
      <x v="60"/>
    </i>
    <i r="1">
      <x v="14"/>
      <x v="26"/>
    </i>
    <i r="2">
      <x v="62"/>
    </i>
    <i r="1">
      <x v="16"/>
      <x v="19"/>
    </i>
    <i r="2">
      <x v="39"/>
    </i>
    <i r="2">
      <x v="51"/>
    </i>
    <i r="2">
      <x v="61"/>
    </i>
    <i t="blank">
      <x v="20"/>
    </i>
    <i>
      <x v="21"/>
    </i>
    <i r="1">
      <x/>
      <x v="1"/>
    </i>
    <i r="1">
      <x v="1"/>
      <x v="47"/>
    </i>
    <i r="1">
      <x v="2"/>
      <x v="56"/>
    </i>
    <i r="2">
      <x v="59"/>
    </i>
    <i r="1">
      <x v="4"/>
      <x v="45"/>
    </i>
    <i r="2">
      <x v="57"/>
    </i>
    <i r="2">
      <x v="62"/>
    </i>
    <i r="1">
      <x v="7"/>
      <x v="2"/>
    </i>
    <i r="2">
      <x v="39"/>
    </i>
    <i r="1">
      <x v="9"/>
      <x v="3"/>
    </i>
    <i r="1">
      <x v="10"/>
      <x v="41"/>
    </i>
    <i r="2">
      <x v="66"/>
    </i>
    <i r="1">
      <x v="12"/>
      <x v="7"/>
    </i>
    <i r="2">
      <x v="26"/>
    </i>
    <i r="2">
      <x v="28"/>
    </i>
    <i r="2">
      <x v="34"/>
    </i>
    <i r="2">
      <x v="60"/>
    </i>
    <i r="2">
      <x v="63"/>
    </i>
    <i r="1">
      <x v="18"/>
      <x v="4"/>
    </i>
    <i r="2">
      <x v="8"/>
    </i>
    <i r="2">
      <x v="11"/>
    </i>
    <i r="2">
      <x v="42"/>
    </i>
    <i r="2">
      <x v="51"/>
    </i>
    <i r="2">
      <x v="54"/>
    </i>
    <i r="2">
      <x v="64"/>
    </i>
    <i r="2">
      <x v="69"/>
    </i>
    <i r="2">
      <x v="70"/>
    </i>
    <i t="blank">
      <x v="21"/>
    </i>
    <i>
      <x v="22"/>
    </i>
    <i r="1">
      <x/>
      <x v="56"/>
    </i>
    <i r="1">
      <x v="1"/>
      <x v="47"/>
    </i>
    <i r="2">
      <x v="57"/>
    </i>
    <i r="1">
      <x v="3"/>
      <x v="59"/>
    </i>
    <i r="1">
      <x v="4"/>
      <x v="1"/>
    </i>
    <i r="2">
      <x v="2"/>
    </i>
    <i r="1">
      <x v="6"/>
      <x v="37"/>
    </i>
    <i r="2">
      <x v="39"/>
    </i>
    <i r="2">
      <x v="45"/>
    </i>
    <i r="2">
      <x v="48"/>
    </i>
    <i r="2">
      <x v="51"/>
    </i>
    <i r="2">
      <x v="62"/>
    </i>
    <i r="2">
      <x v="66"/>
    </i>
    <i r="1">
      <x v="13"/>
      <x v="3"/>
    </i>
    <i r="2">
      <x v="5"/>
    </i>
    <i r="2">
      <x v="8"/>
    </i>
    <i r="2">
      <x v="15"/>
    </i>
    <i r="2">
      <x v="27"/>
    </i>
    <i r="2">
      <x v="28"/>
    </i>
    <i r="2">
      <x v="35"/>
    </i>
    <i r="2">
      <x v="41"/>
    </i>
    <i r="2">
      <x v="46"/>
    </i>
    <i r="2">
      <x v="54"/>
    </i>
    <i r="2">
      <x v="55"/>
    </i>
    <i r="2">
      <x v="58"/>
    </i>
    <i r="2">
      <x v="61"/>
    </i>
    <i r="2">
      <x v="63"/>
    </i>
    <i r="2">
      <x v="67"/>
    </i>
    <i r="2">
      <x v="68"/>
    </i>
    <i t="blank">
      <x v="22"/>
    </i>
    <i>
      <x v="23"/>
    </i>
    <i r="1">
      <x/>
      <x v="1"/>
    </i>
    <i r="1">
      <x v="1"/>
      <x v="56"/>
    </i>
    <i r="1">
      <x v="2"/>
      <x v="2"/>
    </i>
    <i r="2">
      <x v="47"/>
    </i>
    <i r="2">
      <x v="59"/>
    </i>
    <i r="1">
      <x v="5"/>
      <x v="45"/>
    </i>
    <i r="1">
      <x v="6"/>
      <x v="3"/>
    </i>
    <i r="2">
      <x v="62"/>
    </i>
    <i r="1">
      <x v="8"/>
      <x/>
    </i>
    <i r="2">
      <x v="7"/>
    </i>
    <i r="2">
      <x v="26"/>
    </i>
    <i r="2">
      <x v="28"/>
    </i>
    <i r="2">
      <x v="29"/>
    </i>
    <i r="2">
      <x v="35"/>
    </i>
    <i r="2">
      <x v="39"/>
    </i>
    <i r="2">
      <x v="50"/>
    </i>
    <i r="2">
      <x v="55"/>
    </i>
    <i r="2">
      <x v="57"/>
    </i>
    <i r="2">
      <x v="61"/>
    </i>
    <i r="2">
      <x v="69"/>
    </i>
    <i t="blank">
      <x v="23"/>
    </i>
    <i>
      <x v="24"/>
    </i>
    <i r="1">
      <x/>
      <x v="1"/>
    </i>
    <i r="2">
      <x v="2"/>
    </i>
    <i r="1">
      <x v="2"/>
      <x v="8"/>
    </i>
    <i r="2">
      <x v="45"/>
    </i>
    <i r="2">
      <x v="47"/>
    </i>
    <i r="2">
      <x v="62"/>
    </i>
    <i r="1">
      <x v="6"/>
      <x v="3"/>
    </i>
    <i r="2">
      <x v="4"/>
    </i>
    <i r="2">
      <x v="14"/>
    </i>
    <i r="2">
      <x v="46"/>
    </i>
    <i r="2">
      <x v="48"/>
    </i>
    <i r="2">
      <x v="56"/>
    </i>
    <i r="2">
      <x v="59"/>
    </i>
    <i r="2">
      <x v="61"/>
    </i>
    <i r="2">
      <x v="63"/>
    </i>
    <i r="2">
      <x v="64"/>
    </i>
    <i t="blank">
      <x v="24"/>
    </i>
    <i>
      <x v="25"/>
    </i>
    <i r="1">
      <x/>
      <x v="1"/>
    </i>
    <i r="1">
      <x v="1"/>
      <x v="59"/>
    </i>
    <i r="1">
      <x v="2"/>
      <x v="2"/>
    </i>
    <i r="1">
      <x v="3"/>
      <x v="47"/>
    </i>
    <i r="1">
      <x v="4"/>
      <x v="57"/>
    </i>
    <i r="1">
      <x v="5"/>
      <x v="3"/>
    </i>
    <i r="1">
      <x v="6"/>
      <x v="45"/>
    </i>
    <i r="1">
      <x v="7"/>
      <x v="56"/>
    </i>
    <i r="1">
      <x v="8"/>
      <x v="46"/>
    </i>
    <i r="2">
      <x v="66"/>
    </i>
    <i r="1">
      <x v="10"/>
      <x v="63"/>
    </i>
    <i r="1">
      <x v="11"/>
      <x v="4"/>
    </i>
    <i r="2">
      <x v="20"/>
    </i>
    <i r="2">
      <x v="51"/>
    </i>
    <i r="2">
      <x v="55"/>
    </i>
    <i r="1">
      <x v="15"/>
      <x v="21"/>
    </i>
    <i r="2">
      <x v="40"/>
    </i>
    <i r="2">
      <x v="44"/>
    </i>
    <i r="2">
      <x v="54"/>
    </i>
    <i r="1">
      <x v="19"/>
      <x v="7"/>
    </i>
    <i r="2">
      <x v="60"/>
    </i>
    <i t="blank">
      <x v="25"/>
    </i>
    <i>
      <x v="26"/>
    </i>
    <i r="1">
      <x/>
      <x v="57"/>
    </i>
    <i r="1">
      <x v="1"/>
      <x v="56"/>
    </i>
    <i r="1">
      <x v="2"/>
      <x v="47"/>
    </i>
    <i r="1">
      <x v="3"/>
      <x v="45"/>
    </i>
    <i r="1">
      <x v="4"/>
      <x v="1"/>
    </i>
    <i r="1">
      <x v="5"/>
      <x v="44"/>
    </i>
    <i r="1">
      <x v="6"/>
      <x v="51"/>
    </i>
    <i r="1">
      <x v="7"/>
      <x v="50"/>
    </i>
    <i r="1">
      <x v="8"/>
      <x v="59"/>
    </i>
    <i r="1">
      <x v="9"/>
      <x v="54"/>
    </i>
    <i r="1">
      <x v="10"/>
      <x v="62"/>
    </i>
    <i r="1">
      <x v="11"/>
      <x v="3"/>
    </i>
    <i r="1">
      <x v="12"/>
      <x v="52"/>
    </i>
    <i r="2">
      <x v="63"/>
    </i>
    <i r="1">
      <x v="14"/>
      <x v="61"/>
    </i>
    <i r="1">
      <x v="15"/>
      <x v="2"/>
    </i>
    <i r="1">
      <x v="16"/>
      <x v="46"/>
    </i>
    <i r="1">
      <x v="17"/>
      <x v="69"/>
    </i>
    <i r="1">
      <x v="18"/>
      <x v="60"/>
    </i>
    <i r="1">
      <x v="19"/>
      <x v="55"/>
    </i>
    <i t="blank">
      <x v="26"/>
    </i>
    <i>
      <x v="27"/>
    </i>
    <i r="1">
      <x/>
      <x v="57"/>
    </i>
    <i r="1">
      <x v="1"/>
      <x v="1"/>
    </i>
    <i r="1">
      <x v="2"/>
      <x v="59"/>
    </i>
    <i r="1">
      <x v="3"/>
      <x v="47"/>
    </i>
    <i r="1">
      <x v="4"/>
      <x v="45"/>
    </i>
    <i r="1">
      <x v="5"/>
      <x v="63"/>
    </i>
    <i r="1">
      <x v="6"/>
      <x v="2"/>
    </i>
    <i r="1">
      <x v="7"/>
      <x v="51"/>
    </i>
    <i r="2">
      <x v="56"/>
    </i>
    <i r="1">
      <x v="9"/>
      <x v="3"/>
    </i>
    <i r="2">
      <x v="62"/>
    </i>
    <i r="1">
      <x v="11"/>
      <x v="46"/>
    </i>
    <i r="2">
      <x v="55"/>
    </i>
    <i r="1">
      <x v="13"/>
      <x v="41"/>
    </i>
    <i r="2">
      <x v="54"/>
    </i>
    <i r="1">
      <x v="15"/>
      <x v="61"/>
    </i>
    <i r="1">
      <x v="16"/>
      <x v="21"/>
    </i>
    <i r="2">
      <x v="60"/>
    </i>
    <i r="1">
      <x v="18"/>
      <x v="25"/>
    </i>
    <i r="2">
      <x v="39"/>
    </i>
    <i r="2">
      <x v="50"/>
    </i>
    <i r="2">
      <x v="66"/>
    </i>
    <i t="blank">
      <x v="27"/>
    </i>
    <i>
      <x v="28"/>
    </i>
    <i r="1">
      <x/>
      <x v="56"/>
    </i>
    <i r="1">
      <x v="1"/>
      <x v="57"/>
    </i>
    <i r="1">
      <x v="2"/>
      <x v="59"/>
    </i>
    <i r="1">
      <x v="3"/>
      <x v="47"/>
    </i>
    <i r="1">
      <x v="4"/>
      <x v="1"/>
    </i>
    <i r="1">
      <x v="5"/>
      <x v="45"/>
    </i>
    <i r="1">
      <x v="6"/>
      <x v="3"/>
    </i>
    <i r="2">
      <x v="62"/>
    </i>
    <i r="1">
      <x v="8"/>
      <x v="2"/>
    </i>
    <i r="1">
      <x v="9"/>
      <x v="46"/>
    </i>
    <i r="2">
      <x v="54"/>
    </i>
    <i r="2">
      <x v="55"/>
    </i>
    <i r="1">
      <x v="12"/>
      <x v="63"/>
    </i>
    <i r="1">
      <x v="13"/>
      <x v="20"/>
    </i>
    <i r="2">
      <x v="44"/>
    </i>
    <i r="2">
      <x v="66"/>
    </i>
    <i r="1">
      <x v="16"/>
      <x v="48"/>
    </i>
    <i r="1">
      <x v="17"/>
      <x v="4"/>
    </i>
    <i r="2">
      <x v="10"/>
    </i>
    <i r="2">
      <x v="25"/>
    </i>
    <i r="2">
      <x v="34"/>
    </i>
    <i r="2">
      <x v="49"/>
    </i>
    <i r="2">
      <x v="51"/>
    </i>
    <i r="2">
      <x v="52"/>
    </i>
    <i r="2">
      <x v="60"/>
    </i>
    <i r="2">
      <x v="61"/>
    </i>
    <i r="2">
      <x v="67"/>
    </i>
    <i r="2">
      <x v="69"/>
    </i>
    <i t="blank">
      <x v="28"/>
    </i>
    <i>
      <x v="29"/>
    </i>
    <i r="1">
      <x/>
      <x v="1"/>
    </i>
    <i r="2">
      <x v="59"/>
    </i>
    <i r="1">
      <x v="2"/>
      <x v="57"/>
    </i>
    <i r="1">
      <x v="3"/>
      <x v="2"/>
    </i>
    <i r="1">
      <x v="4"/>
      <x v="45"/>
    </i>
    <i r="1">
      <x v="5"/>
      <x v="47"/>
    </i>
    <i r="2">
      <x v="62"/>
    </i>
    <i r="1">
      <x v="7"/>
      <x v="3"/>
    </i>
    <i r="2">
      <x v="63"/>
    </i>
    <i r="2">
      <x v="64"/>
    </i>
    <i r="1">
      <x v="10"/>
      <x v="56"/>
    </i>
    <i r="1">
      <x v="11"/>
      <x v="20"/>
    </i>
    <i r="1">
      <x v="12"/>
      <x v="13"/>
    </i>
    <i r="2">
      <x v="19"/>
    </i>
    <i r="2">
      <x v="55"/>
    </i>
    <i r="2">
      <x v="69"/>
    </i>
    <i r="1">
      <x v="16"/>
      <x v="18"/>
    </i>
    <i r="2">
      <x v="23"/>
    </i>
    <i r="2">
      <x v="26"/>
    </i>
    <i r="2">
      <x v="46"/>
    </i>
    <i r="2">
      <x v="51"/>
    </i>
    <i r="2">
      <x v="66"/>
    </i>
    <i t="blank">
      <x v="29"/>
    </i>
    <i>
      <x v="30"/>
    </i>
    <i r="1">
      <x/>
      <x v="56"/>
    </i>
    <i r="1">
      <x v="1"/>
      <x v="1"/>
    </i>
    <i r="1">
      <x v="2"/>
      <x v="57"/>
    </i>
    <i r="1">
      <x v="3"/>
      <x v="2"/>
    </i>
    <i r="1">
      <x v="4"/>
      <x v="45"/>
    </i>
    <i r="1">
      <x v="5"/>
      <x v="47"/>
    </i>
    <i r="2">
      <x v="59"/>
    </i>
    <i r="1">
      <x v="7"/>
      <x v="46"/>
    </i>
    <i r="1">
      <x v="8"/>
      <x v="20"/>
    </i>
    <i r="1">
      <x v="9"/>
      <x v="62"/>
    </i>
    <i r="1">
      <x v="10"/>
      <x v="3"/>
    </i>
    <i r="2">
      <x v="4"/>
    </i>
    <i r="2">
      <x v="15"/>
    </i>
    <i r="2">
      <x v="54"/>
    </i>
    <i r="2">
      <x v="64"/>
    </i>
    <i r="1">
      <x v="15"/>
      <x v="44"/>
    </i>
    <i r="2">
      <x v="55"/>
    </i>
    <i r="2">
      <x v="58"/>
    </i>
    <i r="2">
      <x v="63"/>
    </i>
    <i r="1">
      <x v="19"/>
      <x v="6"/>
    </i>
    <i r="2">
      <x v="7"/>
    </i>
    <i r="2">
      <x v="8"/>
    </i>
    <i r="2">
      <x v="18"/>
    </i>
    <i r="2">
      <x v="35"/>
    </i>
    <i r="2">
      <x v="40"/>
    </i>
    <i r="2">
      <x v="66"/>
    </i>
    <i t="blank">
      <x v="30"/>
    </i>
    <i>
      <x v="31"/>
    </i>
    <i r="1">
      <x/>
      <x v="57"/>
    </i>
    <i r="1">
      <x v="1"/>
      <x v="59"/>
    </i>
    <i r="1">
      <x v="2"/>
      <x v="1"/>
    </i>
    <i r="1">
      <x v="3"/>
      <x v="45"/>
    </i>
    <i r="2">
      <x v="51"/>
    </i>
    <i r="1">
      <x v="5"/>
      <x v="47"/>
    </i>
    <i r="1">
      <x v="6"/>
      <x v="18"/>
    </i>
    <i r="1">
      <x v="7"/>
      <x v="2"/>
    </i>
    <i r="2">
      <x v="62"/>
    </i>
    <i r="1">
      <x v="9"/>
      <x v="46"/>
    </i>
    <i r="1">
      <x v="10"/>
      <x v="3"/>
    </i>
    <i r="2">
      <x v="20"/>
    </i>
    <i r="1">
      <x v="12"/>
      <x v="54"/>
    </i>
    <i r="1">
      <x v="13"/>
      <x v="21"/>
    </i>
    <i r="2">
      <x v="55"/>
    </i>
    <i r="2">
      <x v="63"/>
    </i>
    <i r="1">
      <x v="16"/>
      <x v="56"/>
    </i>
    <i r="1">
      <x v="17"/>
      <x v="44"/>
    </i>
    <i r="1">
      <x v="18"/>
      <x v="41"/>
    </i>
    <i r="1">
      <x v="19"/>
      <x v="19"/>
    </i>
    <i r="2">
      <x v="22"/>
    </i>
    <i r="2">
      <x v="40"/>
    </i>
    <i r="2">
      <x v="66"/>
    </i>
    <i r="2">
      <x v="69"/>
    </i>
    <i t="blank">
      <x v="31"/>
    </i>
    <i>
      <x v="32"/>
    </i>
    <i r="1">
      <x/>
      <x v="1"/>
    </i>
    <i r="1">
      <x v="1"/>
      <x v="57"/>
    </i>
    <i r="1">
      <x v="2"/>
      <x v="56"/>
    </i>
    <i r="1">
      <x v="3"/>
      <x v="59"/>
    </i>
    <i r="1">
      <x v="4"/>
      <x v="45"/>
    </i>
    <i r="2">
      <x v="47"/>
    </i>
    <i r="1">
      <x v="6"/>
      <x v="2"/>
    </i>
    <i r="1">
      <x v="7"/>
      <x v="62"/>
    </i>
    <i r="1">
      <x v="8"/>
      <x v="63"/>
    </i>
    <i r="1">
      <x v="9"/>
      <x v="3"/>
    </i>
    <i r="2">
      <x v="55"/>
    </i>
    <i r="1">
      <x v="11"/>
      <x v="18"/>
    </i>
    <i r="2">
      <x v="44"/>
    </i>
    <i r="2">
      <x v="46"/>
    </i>
    <i r="2">
      <x v="54"/>
    </i>
    <i r="2">
      <x v="58"/>
    </i>
    <i r="2">
      <x v="66"/>
    </i>
    <i r="1">
      <x v="17"/>
      <x v="15"/>
    </i>
    <i r="2">
      <x v="20"/>
    </i>
    <i r="2">
      <x v="21"/>
    </i>
    <i r="2">
      <x v="30"/>
    </i>
    <i r="2">
      <x v="40"/>
    </i>
    <i r="2">
      <x v="41"/>
    </i>
    <i t="blank">
      <x v="32"/>
    </i>
    <i>
      <x v="33"/>
    </i>
    <i r="1">
      <x/>
      <x v="56"/>
    </i>
    <i r="1">
      <x v="1"/>
      <x v="1"/>
    </i>
    <i r="1">
      <x v="2"/>
      <x v="57"/>
    </i>
    <i r="1">
      <x v="3"/>
      <x v="2"/>
    </i>
    <i r="1">
      <x v="4"/>
      <x v="3"/>
    </i>
    <i r="1">
      <x v="5"/>
      <x v="59"/>
    </i>
    <i r="1">
      <x v="6"/>
      <x v="47"/>
    </i>
    <i r="1">
      <x v="7"/>
      <x v="54"/>
    </i>
    <i r="2">
      <x v="55"/>
    </i>
    <i r="1">
      <x v="9"/>
      <x v="45"/>
    </i>
    <i r="2">
      <x v="62"/>
    </i>
    <i r="1">
      <x v="11"/>
      <x v="20"/>
    </i>
    <i r="2">
      <x v="46"/>
    </i>
    <i r="1">
      <x v="13"/>
      <x v="4"/>
    </i>
    <i r="1">
      <x v="14"/>
      <x v="8"/>
    </i>
    <i r="2">
      <x v="19"/>
    </i>
    <i r="2">
      <x v="26"/>
    </i>
    <i r="2">
      <x v="48"/>
    </i>
    <i r="2">
      <x v="51"/>
    </i>
    <i r="1">
      <x v="19"/>
      <x v="63"/>
    </i>
    <i r="2">
      <x v="66"/>
    </i>
    <i t="blank">
      <x v="33"/>
    </i>
    <i>
      <x v="34"/>
    </i>
    <i r="1">
      <x/>
      <x v="57"/>
    </i>
    <i r="2">
      <x v="59"/>
    </i>
    <i r="1">
      <x v="2"/>
      <x v="47"/>
    </i>
    <i r="1">
      <x v="3"/>
      <x v="1"/>
    </i>
    <i r="1">
      <x v="4"/>
      <x v="45"/>
    </i>
    <i r="2">
      <x v="51"/>
    </i>
    <i r="1">
      <x v="6"/>
      <x v="2"/>
    </i>
    <i r="1">
      <x v="7"/>
      <x v="3"/>
    </i>
    <i r="1">
      <x v="8"/>
      <x v="20"/>
    </i>
    <i r="1">
      <x v="9"/>
      <x v="62"/>
    </i>
    <i r="1">
      <x v="10"/>
      <x v="63"/>
    </i>
    <i r="1">
      <x v="11"/>
      <x v="21"/>
    </i>
    <i r="1">
      <x v="12"/>
      <x v="55"/>
    </i>
    <i r="1">
      <x v="13"/>
      <x v="44"/>
    </i>
    <i r="1">
      <x v="14"/>
      <x v="54"/>
    </i>
    <i r="1">
      <x v="15"/>
      <x v="18"/>
    </i>
    <i r="1">
      <x v="16"/>
      <x v="46"/>
    </i>
    <i r="1">
      <x v="17"/>
      <x v="17"/>
    </i>
    <i r="2">
      <x v="23"/>
    </i>
    <i r="1">
      <x v="19"/>
      <x v="42"/>
    </i>
    <i t="blank">
      <x v="34"/>
    </i>
    <i>
      <x v="35"/>
    </i>
    <i r="1">
      <x/>
      <x v="57"/>
    </i>
    <i r="1">
      <x v="1"/>
      <x v="59"/>
    </i>
    <i r="1">
      <x v="2"/>
      <x v="1"/>
    </i>
    <i r="1">
      <x v="3"/>
      <x v="20"/>
    </i>
    <i r="1">
      <x v="4"/>
      <x v="47"/>
    </i>
    <i r="1">
      <x v="5"/>
      <x v="2"/>
    </i>
    <i r="1">
      <x v="6"/>
      <x v="45"/>
    </i>
    <i r="2">
      <x v="46"/>
    </i>
    <i r="1">
      <x v="8"/>
      <x v="51"/>
    </i>
    <i r="1">
      <x v="9"/>
      <x v="18"/>
    </i>
    <i r="2">
      <x v="62"/>
    </i>
    <i r="1">
      <x v="11"/>
      <x v="3"/>
    </i>
    <i r="2">
      <x v="21"/>
    </i>
    <i r="1">
      <x v="13"/>
      <x v="22"/>
    </i>
    <i r="2">
      <x v="63"/>
    </i>
    <i r="1">
      <x v="15"/>
      <x v="19"/>
    </i>
    <i r="2">
      <x v="44"/>
    </i>
    <i r="1">
      <x v="17"/>
      <x v="54"/>
    </i>
    <i r="1">
      <x v="18"/>
      <x v="10"/>
    </i>
    <i r="2">
      <x v="25"/>
    </i>
    <i t="blank">
      <x v="35"/>
    </i>
    <i>
      <x v="36"/>
    </i>
    <i r="1">
      <x/>
      <x v="57"/>
    </i>
    <i r="1">
      <x v="1"/>
      <x v="1"/>
    </i>
    <i r="1">
      <x v="2"/>
      <x v="59"/>
    </i>
    <i r="1">
      <x v="3"/>
      <x v="2"/>
    </i>
    <i r="1">
      <x v="4"/>
      <x v="45"/>
    </i>
    <i r="1">
      <x v="5"/>
      <x v="62"/>
    </i>
    <i r="2">
      <x v="63"/>
    </i>
    <i r="1">
      <x v="7"/>
      <x v="47"/>
    </i>
    <i r="1">
      <x v="8"/>
      <x v="54"/>
    </i>
    <i r="2">
      <x v="55"/>
    </i>
    <i r="1">
      <x v="10"/>
      <x v="3"/>
    </i>
    <i r="1">
      <x v="11"/>
      <x v="4"/>
    </i>
    <i r="2">
      <x v="20"/>
    </i>
    <i r="2">
      <x v="46"/>
    </i>
    <i r="1">
      <x v="14"/>
      <x v="8"/>
    </i>
    <i r="2">
      <x v="66"/>
    </i>
    <i r="1">
      <x v="16"/>
      <x v="15"/>
    </i>
    <i r="2">
      <x v="26"/>
    </i>
    <i r="2">
      <x v="44"/>
    </i>
    <i r="2">
      <x v="56"/>
    </i>
    <i t="blank">
      <x v="36"/>
    </i>
    <i>
      <x v="37"/>
    </i>
    <i r="1">
      <x/>
      <x v="59"/>
    </i>
    <i r="1">
      <x v="1"/>
      <x v="1"/>
    </i>
    <i r="1">
      <x v="2"/>
      <x v="62"/>
    </i>
    <i r="1">
      <x v="3"/>
      <x v="2"/>
    </i>
    <i r="2">
      <x v="47"/>
    </i>
    <i r="1">
      <x v="5"/>
      <x v="20"/>
    </i>
    <i r="2">
      <x v="51"/>
    </i>
    <i r="1">
      <x v="7"/>
      <x v="18"/>
    </i>
    <i r="2">
      <x v="46"/>
    </i>
    <i r="2">
      <x v="63"/>
    </i>
    <i r="1">
      <x v="10"/>
      <x v="3"/>
    </i>
    <i r="2">
      <x v="41"/>
    </i>
    <i r="2">
      <x v="57"/>
    </i>
    <i r="1">
      <x v="13"/>
      <x v="66"/>
    </i>
    <i r="1">
      <x v="14"/>
      <x v="54"/>
    </i>
    <i r="2">
      <x v="55"/>
    </i>
    <i r="1">
      <x v="16"/>
      <x v="22"/>
    </i>
    <i r="2">
      <x v="40"/>
    </i>
    <i r="2">
      <x v="50"/>
    </i>
    <i r="1">
      <x v="19"/>
      <x v="19"/>
    </i>
    <i r="2">
      <x v="25"/>
    </i>
    <i r="2">
      <x v="39"/>
    </i>
    <i r="2">
      <x v="45"/>
    </i>
    <i t="blank">
      <x v="37"/>
    </i>
    <i>
      <x v="38"/>
    </i>
    <i r="1">
      <x/>
      <x v="1"/>
    </i>
    <i r="1">
      <x v="1"/>
      <x v="57"/>
    </i>
    <i r="1">
      <x v="2"/>
      <x v="2"/>
    </i>
    <i r="2">
      <x v="59"/>
    </i>
    <i r="1">
      <x v="4"/>
      <x v="45"/>
    </i>
    <i r="2">
      <x v="47"/>
    </i>
    <i r="1">
      <x v="6"/>
      <x v="63"/>
    </i>
    <i r="1">
      <x v="7"/>
      <x v="3"/>
    </i>
    <i r="2">
      <x v="55"/>
    </i>
    <i r="1">
      <x v="9"/>
      <x v="4"/>
    </i>
    <i r="2">
      <x v="8"/>
    </i>
    <i r="2">
      <x v="21"/>
    </i>
    <i r="2">
      <x v="62"/>
    </i>
    <i r="2">
      <x v="66"/>
    </i>
    <i r="1">
      <x v="14"/>
      <x v="6"/>
    </i>
    <i r="2">
      <x v="13"/>
    </i>
    <i r="2">
      <x v="15"/>
    </i>
    <i r="2">
      <x v="26"/>
    </i>
    <i r="2">
      <x v="56"/>
    </i>
    <i r="1">
      <x v="19"/>
      <x v="5"/>
    </i>
    <i r="2">
      <x v="16"/>
    </i>
    <i r="2">
      <x v="18"/>
    </i>
    <i r="2">
      <x v="19"/>
    </i>
    <i r="2">
      <x v="20"/>
    </i>
    <i r="2">
      <x v="27"/>
    </i>
    <i r="2">
      <x v="28"/>
    </i>
    <i r="2">
      <x v="30"/>
    </i>
    <i r="2">
      <x v="32"/>
    </i>
    <i r="2">
      <x v="35"/>
    </i>
    <i r="2">
      <x v="39"/>
    </i>
    <i r="2">
      <x v="42"/>
    </i>
    <i r="2">
      <x v="44"/>
    </i>
    <i r="2">
      <x v="46"/>
    </i>
    <i r="2">
      <x v="49"/>
    </i>
    <i r="2">
      <x v="51"/>
    </i>
    <i r="2">
      <x v="52"/>
    </i>
    <i r="2">
      <x v="64"/>
    </i>
    <i r="2">
      <x v="67"/>
    </i>
    <i r="2">
      <x v="68"/>
    </i>
    <i t="blank">
      <x v="38"/>
    </i>
    <i>
      <x v="39"/>
    </i>
    <i r="1">
      <x/>
      <x v="59"/>
    </i>
    <i r="1">
      <x v="1"/>
      <x v="2"/>
    </i>
    <i r="1">
      <x v="2"/>
      <x v="1"/>
    </i>
    <i r="2">
      <x v="47"/>
    </i>
    <i r="2">
      <x v="57"/>
    </i>
    <i r="1">
      <x v="5"/>
      <x v="45"/>
    </i>
    <i r="1">
      <x v="6"/>
      <x v="3"/>
    </i>
    <i r="1">
      <x v="7"/>
      <x v="46"/>
    </i>
    <i r="2">
      <x v="62"/>
    </i>
    <i r="2">
      <x v="63"/>
    </i>
    <i r="1">
      <x v="10"/>
      <x v="18"/>
    </i>
    <i r="2">
      <x v="54"/>
    </i>
    <i r="2">
      <x v="55"/>
    </i>
    <i r="1">
      <x v="13"/>
      <x v="44"/>
    </i>
    <i r="1">
      <x v="14"/>
      <x v="51"/>
    </i>
    <i r="1">
      <x v="15"/>
      <x v="8"/>
    </i>
    <i r="2">
      <x v="25"/>
    </i>
    <i r="2">
      <x v="27"/>
    </i>
    <i r="1">
      <x v="18"/>
      <x v="13"/>
    </i>
    <i r="2">
      <x v="42"/>
    </i>
    <i r="2">
      <x v="48"/>
    </i>
    <i r="2">
      <x v="56"/>
    </i>
    <i r="2">
      <x v="58"/>
    </i>
    <i r="2">
      <x v="60"/>
    </i>
    <i r="2">
      <x v="67"/>
    </i>
    <i t="blank">
      <x v="39"/>
    </i>
    <i>
      <x v="40"/>
    </i>
    <i r="1">
      <x/>
      <x v="57"/>
    </i>
    <i r="1">
      <x v="1"/>
      <x v="59"/>
    </i>
    <i r="1">
      <x v="2"/>
      <x v="1"/>
    </i>
    <i r="1">
      <x v="3"/>
      <x v="2"/>
    </i>
    <i r="1">
      <x v="4"/>
      <x v="47"/>
    </i>
    <i r="1">
      <x v="5"/>
      <x v="45"/>
    </i>
    <i r="1">
      <x v="6"/>
      <x v="63"/>
    </i>
    <i r="1">
      <x v="7"/>
      <x v="3"/>
    </i>
    <i r="1">
      <x v="8"/>
      <x v="46"/>
    </i>
    <i r="2">
      <x v="51"/>
    </i>
    <i r="2">
      <x v="62"/>
    </i>
    <i r="1">
      <x v="11"/>
      <x v="18"/>
    </i>
    <i r="1">
      <x v="12"/>
      <x v="55"/>
    </i>
    <i r="1">
      <x v="13"/>
      <x v="27"/>
    </i>
    <i r="2">
      <x v="52"/>
    </i>
    <i r="2">
      <x v="54"/>
    </i>
    <i r="1">
      <x v="16"/>
      <x v="23"/>
    </i>
    <i r="2">
      <x v="44"/>
    </i>
    <i r="2">
      <x v="69"/>
    </i>
    <i r="1">
      <x v="19"/>
      <x v="42"/>
    </i>
    <i r="2">
      <x v="64"/>
    </i>
    <i t="blank">
      <x v="40"/>
    </i>
    <i>
      <x v="41"/>
    </i>
    <i r="1">
      <x/>
      <x v="57"/>
    </i>
    <i r="1">
      <x v="1"/>
      <x v="59"/>
    </i>
    <i r="1">
      <x v="2"/>
      <x v="1"/>
    </i>
    <i r="1">
      <x v="3"/>
      <x v="47"/>
    </i>
    <i r="1">
      <x v="4"/>
      <x v="2"/>
    </i>
    <i r="1">
      <x v="5"/>
      <x v="46"/>
    </i>
    <i r="1">
      <x v="6"/>
      <x v="45"/>
    </i>
    <i r="2">
      <x v="55"/>
    </i>
    <i r="2">
      <x v="62"/>
    </i>
    <i r="1">
      <x v="9"/>
      <x v="3"/>
    </i>
    <i r="1">
      <x v="10"/>
      <x v="54"/>
    </i>
    <i r="2">
      <x v="63"/>
    </i>
    <i r="1">
      <x v="12"/>
      <x v="18"/>
    </i>
    <i r="2">
      <x v="51"/>
    </i>
    <i r="1">
      <x v="14"/>
      <x v="19"/>
    </i>
    <i r="2">
      <x v="69"/>
    </i>
    <i r="1">
      <x v="16"/>
      <x v="8"/>
    </i>
    <i r="2">
      <x v="44"/>
    </i>
    <i r="2">
      <x v="60"/>
    </i>
    <i r="2">
      <x v="61"/>
    </i>
    <i t="blank">
      <x v="41"/>
    </i>
    <i>
      <x v="42"/>
    </i>
    <i r="1">
      <x/>
      <x v="1"/>
    </i>
    <i r="1">
      <x v="1"/>
      <x v="2"/>
    </i>
    <i r="1">
      <x v="2"/>
      <x v="47"/>
    </i>
    <i r="1">
      <x v="3"/>
      <x v="57"/>
    </i>
    <i r="2">
      <x v="59"/>
    </i>
    <i r="1">
      <x v="5"/>
      <x v="45"/>
    </i>
    <i r="1">
      <x v="6"/>
      <x v="3"/>
    </i>
    <i r="1">
      <x v="7"/>
      <x v="46"/>
    </i>
    <i r="1">
      <x v="8"/>
      <x v="44"/>
    </i>
    <i r="2">
      <x v="55"/>
    </i>
    <i r="1">
      <x v="10"/>
      <x v="40"/>
    </i>
    <i r="2">
      <x v="48"/>
    </i>
    <i r="2">
      <x v="56"/>
    </i>
    <i r="2">
      <x v="62"/>
    </i>
    <i r="2">
      <x v="63"/>
    </i>
    <i r="2">
      <x v="64"/>
    </i>
    <i r="2">
      <x v="69"/>
    </i>
    <i r="1">
      <x v="17"/>
      <x/>
    </i>
    <i r="2">
      <x v="26"/>
    </i>
    <i r="2">
      <x v="54"/>
    </i>
    <i r="2">
      <x v="60"/>
    </i>
    <i r="2">
      <x v="66"/>
    </i>
    <i t="blank">
      <x v="42"/>
    </i>
    <i>
      <x v="43"/>
    </i>
    <i r="1">
      <x/>
      <x v="57"/>
    </i>
    <i r="1">
      <x v="1"/>
      <x v="1"/>
    </i>
    <i r="1">
      <x v="2"/>
      <x v="45"/>
    </i>
    <i r="1">
      <x v="3"/>
      <x v="47"/>
    </i>
    <i r="1">
      <x v="4"/>
      <x v="2"/>
    </i>
    <i r="2">
      <x v="59"/>
    </i>
    <i r="1">
      <x v="6"/>
      <x v="63"/>
    </i>
    <i r="1">
      <x v="7"/>
      <x v="62"/>
    </i>
    <i r="1">
      <x v="8"/>
      <x v="54"/>
    </i>
    <i r="1">
      <x v="9"/>
      <x v="3"/>
    </i>
    <i r="2">
      <x v="56"/>
    </i>
    <i r="1">
      <x v="11"/>
      <x v="4"/>
    </i>
    <i r="2">
      <x v="46"/>
    </i>
    <i r="2">
      <x v="48"/>
    </i>
    <i r="1">
      <x v="14"/>
      <x v="6"/>
    </i>
    <i r="2">
      <x v="13"/>
    </i>
    <i r="2">
      <x v="20"/>
    </i>
    <i r="2">
      <x v="44"/>
    </i>
    <i r="2">
      <x v="51"/>
    </i>
    <i r="2">
      <x v="61"/>
    </i>
    <i t="blank">
      <x v="43"/>
    </i>
    <i>
      <x v="44"/>
    </i>
    <i r="1">
      <x/>
      <x v="57"/>
    </i>
    <i r="1">
      <x v="1"/>
      <x v="47"/>
    </i>
    <i r="1">
      <x v="2"/>
      <x v="1"/>
    </i>
    <i r="2">
      <x v="45"/>
    </i>
    <i r="2">
      <x v="61"/>
    </i>
    <i r="1">
      <x v="5"/>
      <x v="56"/>
    </i>
    <i r="2">
      <x v="64"/>
    </i>
    <i r="1">
      <x v="7"/>
      <x v="2"/>
    </i>
    <i r="2">
      <x v="28"/>
    </i>
    <i r="2">
      <x v="59"/>
    </i>
    <i r="2">
      <x v="63"/>
    </i>
    <i r="2">
      <x v="65"/>
    </i>
    <i r="2">
      <x v="66"/>
    </i>
    <i t="blank">
      <x v="44"/>
    </i>
    <i>
      <x v="45"/>
    </i>
    <i r="1">
      <x/>
      <x v="47"/>
    </i>
    <i r="2">
      <x v="57"/>
    </i>
    <i r="1">
      <x v="2"/>
      <x v="1"/>
    </i>
    <i r="2">
      <x v="45"/>
    </i>
    <i r="2">
      <x v="46"/>
    </i>
    <i r="2">
      <x v="59"/>
    </i>
    <i r="2">
      <x v="64"/>
    </i>
    <i r="1">
      <x v="7"/>
      <x v="2"/>
    </i>
    <i r="2">
      <x v="4"/>
    </i>
    <i r="1">
      <x v="9"/>
      <x v="5"/>
    </i>
    <i r="2">
      <x v="30"/>
    </i>
    <i r="2">
      <x v="39"/>
    </i>
    <i r="2">
      <x v="51"/>
    </i>
    <i r="2">
      <x v="53"/>
    </i>
    <i r="2">
      <x v="62"/>
    </i>
    <i r="2">
      <x v="63"/>
    </i>
    <i r="2">
      <x v="66"/>
    </i>
    <i t="blank">
      <x v="45"/>
    </i>
    <i>
      <x v="46"/>
    </i>
    <i r="1">
      <x/>
      <x v="1"/>
    </i>
    <i r="1">
      <x v="1"/>
      <x v="47"/>
    </i>
    <i r="1">
      <x v="2"/>
      <x v="2"/>
    </i>
    <i r="1">
      <x v="3"/>
      <x v="46"/>
    </i>
    <i r="2">
      <x v="59"/>
    </i>
    <i r="1">
      <x v="5"/>
      <x v="57"/>
    </i>
    <i r="1">
      <x v="6"/>
      <x v="45"/>
    </i>
    <i r="1">
      <x v="7"/>
      <x v="62"/>
    </i>
    <i r="2">
      <x v="63"/>
    </i>
    <i r="1">
      <x v="9"/>
      <x v="3"/>
    </i>
    <i r="2">
      <x v="27"/>
    </i>
    <i r="2">
      <x v="42"/>
    </i>
    <i r="2">
      <x v="54"/>
    </i>
    <i r="1">
      <x v="13"/>
      <x v="8"/>
    </i>
    <i r="2">
      <x v="66"/>
    </i>
    <i r="1">
      <x v="15"/>
      <x/>
    </i>
    <i r="2">
      <x v="4"/>
    </i>
    <i r="2">
      <x v="5"/>
    </i>
    <i r="2">
      <x v="13"/>
    </i>
    <i r="2">
      <x v="30"/>
    </i>
    <i r="2">
      <x v="31"/>
    </i>
    <i r="2">
      <x v="34"/>
    </i>
    <i r="2">
      <x v="35"/>
    </i>
    <i r="2">
      <x v="43"/>
    </i>
    <i r="2">
      <x v="44"/>
    </i>
    <i r="2">
      <x v="52"/>
    </i>
    <i r="2">
      <x v="55"/>
    </i>
    <i r="2">
      <x v="56"/>
    </i>
    <i r="2">
      <x v="58"/>
    </i>
    <i r="2">
      <x v="60"/>
    </i>
    <i r="2">
      <x v="61"/>
    </i>
    <i r="2">
      <x v="64"/>
    </i>
    <i t="blank">
      <x v="46"/>
    </i>
    <i>
      <x v="47"/>
    </i>
    <i r="1">
      <x/>
      <x v="45"/>
    </i>
    <i r="1">
      <x v="1"/>
      <x v="47"/>
    </i>
    <i r="2">
      <x v="56"/>
    </i>
    <i r="1">
      <x v="3"/>
      <x v="62"/>
    </i>
    <i r="1">
      <x v="4"/>
      <x v="1"/>
    </i>
    <i r="2">
      <x v="4"/>
    </i>
    <i r="2">
      <x v="7"/>
    </i>
    <i r="2">
      <x v="8"/>
    </i>
    <i r="2">
      <x v="32"/>
    </i>
    <i r="2">
      <x v="39"/>
    </i>
    <i r="2">
      <x v="46"/>
    </i>
    <i r="2">
      <x v="52"/>
    </i>
    <i r="2">
      <x v="54"/>
    </i>
    <i r="2">
      <x v="57"/>
    </i>
    <i r="2">
      <x v="63"/>
    </i>
    <i r="2">
      <x v="64"/>
    </i>
    <i t="blank">
      <x v="47"/>
    </i>
    <i>
      <x v="48"/>
    </i>
    <i r="1">
      <x/>
      <x v="1"/>
    </i>
    <i r="1">
      <x v="1"/>
      <x v="45"/>
    </i>
    <i r="1">
      <x v="2"/>
      <x v="47"/>
    </i>
    <i r="1">
      <x v="3"/>
      <x v="59"/>
    </i>
    <i r="1">
      <x v="4"/>
      <x v="56"/>
    </i>
    <i r="2">
      <x v="57"/>
    </i>
    <i r="1">
      <x v="6"/>
      <x v="3"/>
    </i>
    <i r="2">
      <x v="4"/>
    </i>
    <i r="2">
      <x v="28"/>
    </i>
    <i r="2">
      <x v="58"/>
    </i>
    <i r="2">
      <x v="64"/>
    </i>
    <i r="2">
      <x v="65"/>
    </i>
    <i r="1">
      <x v="12"/>
      <x v="10"/>
    </i>
    <i r="2">
      <x v="34"/>
    </i>
    <i r="2">
      <x v="39"/>
    </i>
    <i r="2">
      <x v="44"/>
    </i>
    <i r="2">
      <x v="51"/>
    </i>
    <i r="2">
      <x v="62"/>
    </i>
    <i r="2">
      <x v="63"/>
    </i>
    <i t="blank">
      <x v="48"/>
    </i>
    <i>
      <x v="49"/>
    </i>
    <i r="1">
      <x/>
      <x v="2"/>
    </i>
    <i r="1">
      <x v="1"/>
      <x v="47"/>
    </i>
    <i r="1">
      <x v="2"/>
      <x v="45"/>
    </i>
    <i r="2">
      <x v="57"/>
    </i>
    <i r="1">
      <x v="4"/>
      <x v="1"/>
    </i>
    <i r="2">
      <x v="3"/>
    </i>
    <i r="1">
      <x v="6"/>
      <x v="46"/>
    </i>
    <i r="2">
      <x v="59"/>
    </i>
    <i r="1">
      <x v="8"/>
      <x v="4"/>
    </i>
    <i r="2">
      <x v="44"/>
    </i>
    <i r="2">
      <x v="63"/>
    </i>
    <i r="1">
      <x v="11"/>
      <x/>
    </i>
    <i r="2">
      <x v="5"/>
    </i>
    <i r="2">
      <x v="23"/>
    </i>
    <i r="2">
      <x v="34"/>
    </i>
    <i r="2">
      <x v="40"/>
    </i>
    <i r="2">
      <x v="58"/>
    </i>
    <i r="2">
      <x v="60"/>
    </i>
    <i r="2">
      <x v="62"/>
    </i>
    <i r="2">
      <x v="64"/>
    </i>
    <i r="2">
      <x v="65"/>
    </i>
    <i t="blank">
      <x v="49"/>
    </i>
    <i>
      <x v="50"/>
    </i>
    <i r="1">
      <x/>
      <x v="2"/>
    </i>
    <i r="1">
      <x v="1"/>
      <x v="1"/>
    </i>
    <i r="1">
      <x v="2"/>
      <x v="59"/>
    </i>
    <i r="1">
      <x v="3"/>
      <x v="45"/>
    </i>
    <i r="1">
      <x v="4"/>
      <x v="57"/>
    </i>
    <i r="1">
      <x v="5"/>
      <x v="47"/>
    </i>
    <i r="1">
      <x v="6"/>
      <x v="3"/>
    </i>
    <i r="2">
      <x v="63"/>
    </i>
    <i r="1">
      <x v="8"/>
      <x v="46"/>
    </i>
    <i r="2">
      <x v="64"/>
    </i>
    <i r="1">
      <x v="10"/>
      <x v="51"/>
    </i>
    <i r="2">
      <x v="62"/>
    </i>
    <i r="1">
      <x v="12"/>
      <x v="5"/>
    </i>
    <i r="2">
      <x v="54"/>
    </i>
    <i r="1">
      <x v="14"/>
      <x v="4"/>
    </i>
    <i r="2">
      <x v="7"/>
    </i>
    <i r="2">
      <x v="48"/>
    </i>
    <i r="2">
      <x v="55"/>
    </i>
    <i r="1">
      <x v="18"/>
      <x v="8"/>
    </i>
    <i r="2">
      <x v="15"/>
    </i>
    <i r="2">
      <x v="21"/>
    </i>
    <i r="2">
      <x v="26"/>
    </i>
    <i r="2">
      <x v="41"/>
    </i>
    <i r="2">
      <x v="44"/>
    </i>
    <i r="2">
      <x v="58"/>
    </i>
    <i r="2">
      <x v="69"/>
    </i>
    <i t="blank">
      <x v="50"/>
    </i>
    <i>
      <x v="51"/>
    </i>
    <i r="1">
      <x/>
      <x v="1"/>
    </i>
    <i r="1">
      <x v="1"/>
      <x v="2"/>
    </i>
    <i r="1">
      <x v="2"/>
      <x v="57"/>
    </i>
    <i r="1">
      <x v="3"/>
      <x v="59"/>
    </i>
    <i r="1">
      <x v="4"/>
      <x v="47"/>
    </i>
    <i r="1">
      <x v="5"/>
      <x v="63"/>
    </i>
    <i r="1">
      <x v="6"/>
      <x v="62"/>
    </i>
    <i r="1">
      <x v="7"/>
      <x v="54"/>
    </i>
    <i r="1">
      <x v="8"/>
      <x v="20"/>
    </i>
    <i r="2">
      <x v="51"/>
    </i>
    <i r="2">
      <x v="55"/>
    </i>
    <i r="1">
      <x v="11"/>
      <x v="3"/>
    </i>
    <i r="2">
      <x v="4"/>
    </i>
    <i r="2">
      <x v="18"/>
    </i>
    <i r="2">
      <x v="40"/>
    </i>
    <i r="2">
      <x v="44"/>
    </i>
    <i r="2">
      <x v="45"/>
    </i>
    <i r="2">
      <x v="64"/>
    </i>
    <i r="1">
      <x v="18"/>
      <x v="13"/>
    </i>
    <i r="2">
      <x v="22"/>
    </i>
    <i r="2">
      <x v="25"/>
    </i>
    <i r="2">
      <x v="39"/>
    </i>
    <i r="2">
      <x v="56"/>
    </i>
    <i r="2">
      <x v="65"/>
    </i>
    <i r="2">
      <x v="67"/>
    </i>
    <i t="blank">
      <x v="51"/>
    </i>
    <i>
      <x v="52"/>
    </i>
    <i r="1">
      <x/>
      <x v="56"/>
    </i>
    <i r="1">
      <x v="1"/>
      <x v="45"/>
    </i>
    <i r="2">
      <x v="57"/>
    </i>
    <i r="1">
      <x v="3"/>
      <x v="4"/>
    </i>
    <i r="1">
      <x v="4"/>
      <x v="47"/>
    </i>
    <i r="2">
      <x v="62"/>
    </i>
    <i r="1">
      <x v="6"/>
      <x v="44"/>
    </i>
    <i r="2">
      <x v="55"/>
    </i>
    <i r="2">
      <x v="59"/>
    </i>
    <i r="2">
      <x v="65"/>
    </i>
    <i r="1">
      <x v="10"/>
      <x/>
    </i>
    <i r="2">
      <x v="1"/>
    </i>
    <i r="2">
      <x v="6"/>
    </i>
    <i r="2">
      <x v="11"/>
    </i>
    <i r="2">
      <x v="15"/>
    </i>
    <i r="2">
      <x v="28"/>
    </i>
    <i r="2">
      <x v="37"/>
    </i>
    <i r="2">
      <x v="46"/>
    </i>
    <i r="2">
      <x v="61"/>
    </i>
    <i r="2">
      <x v="64"/>
    </i>
    <i t="blank">
      <x v="52"/>
    </i>
    <i>
      <x v="53"/>
    </i>
    <i r="1">
      <x/>
      <x v="57"/>
    </i>
    <i r="1">
      <x v="1"/>
      <x v="47"/>
    </i>
    <i r="1">
      <x v="2"/>
      <x v="45"/>
    </i>
    <i r="1">
      <x v="3"/>
      <x v="7"/>
    </i>
    <i r="2">
      <x v="51"/>
    </i>
    <i r="1">
      <x v="5"/>
      <x v="59"/>
    </i>
    <i r="1">
      <x v="6"/>
      <x v="1"/>
    </i>
    <i r="2">
      <x v="2"/>
    </i>
    <i r="1">
      <x v="8"/>
      <x v="3"/>
    </i>
    <i r="2">
      <x v="40"/>
    </i>
    <i r="2">
      <x v="44"/>
    </i>
    <i r="2">
      <x v="46"/>
    </i>
    <i r="2">
      <x v="56"/>
    </i>
    <i r="2">
      <x v="62"/>
    </i>
    <i r="1">
      <x v="14"/>
      <x v="55"/>
    </i>
    <i r="2">
      <x v="63"/>
    </i>
    <i r="1">
      <x v="16"/>
      <x v="54"/>
    </i>
    <i r="1">
      <x v="17"/>
      <x v="8"/>
    </i>
    <i r="2">
      <x v="41"/>
    </i>
    <i r="1">
      <x v="19"/>
      <x v="10"/>
    </i>
    <i r="2">
      <x v="26"/>
    </i>
    <i r="2">
      <x v="48"/>
    </i>
    <i r="2">
      <x v="52"/>
    </i>
    <i r="2">
      <x v="60"/>
    </i>
    <i r="2">
      <x v="64"/>
    </i>
    <i t="blank">
      <x v="53"/>
    </i>
    <i>
      <x v="54"/>
    </i>
    <i r="1">
      <x/>
      <x v="47"/>
    </i>
    <i r="1">
      <x v="1"/>
      <x v="7"/>
    </i>
    <i r="1">
      <x v="2"/>
      <x v="1"/>
    </i>
    <i r="1">
      <x v="3"/>
      <x v="57"/>
    </i>
    <i r="1">
      <x v="4"/>
      <x v="56"/>
    </i>
    <i r="1">
      <x v="5"/>
      <x v="45"/>
    </i>
    <i r="1">
      <x v="6"/>
      <x v="2"/>
    </i>
    <i r="2">
      <x v="59"/>
    </i>
    <i r="1">
      <x v="8"/>
      <x v="3"/>
    </i>
    <i r="1">
      <x v="9"/>
      <x v="40"/>
    </i>
    <i r="2">
      <x v="46"/>
    </i>
    <i r="1">
      <x v="11"/>
      <x v="4"/>
    </i>
    <i r="2">
      <x v="51"/>
    </i>
    <i r="2">
      <x v="54"/>
    </i>
    <i r="2">
      <x v="62"/>
    </i>
    <i r="1">
      <x v="15"/>
      <x v="8"/>
    </i>
    <i r="2">
      <x v="26"/>
    </i>
    <i r="2">
      <x v="42"/>
    </i>
    <i r="2">
      <x v="44"/>
    </i>
    <i r="2">
      <x v="63"/>
    </i>
    <i r="2">
      <x v="66"/>
    </i>
    <i t="blank">
      <x v="54"/>
    </i>
    <i>
      <x v="55"/>
    </i>
    <i r="1">
      <x/>
      <x v="1"/>
    </i>
    <i r="1">
      <x v="1"/>
      <x v="2"/>
    </i>
    <i r="1">
      <x v="2"/>
      <x v="45"/>
    </i>
    <i r="2">
      <x v="57"/>
    </i>
    <i r="1">
      <x v="4"/>
      <x v="59"/>
    </i>
    <i r="1">
      <x v="5"/>
      <x v="47"/>
    </i>
    <i r="1">
      <x v="6"/>
      <x v="56"/>
    </i>
    <i r="1">
      <x v="7"/>
      <x v="7"/>
    </i>
    <i r="2">
      <x v="48"/>
    </i>
    <i r="1">
      <x v="9"/>
      <x v="3"/>
    </i>
    <i r="2">
      <x v="18"/>
    </i>
    <i r="2">
      <x v="62"/>
    </i>
    <i r="1">
      <x v="12"/>
      <x v="8"/>
    </i>
    <i r="2">
      <x v="46"/>
    </i>
    <i r="1">
      <x v="14"/>
      <x v="15"/>
    </i>
    <i r="2">
      <x v="26"/>
    </i>
    <i r="2">
      <x v="44"/>
    </i>
    <i r="2">
      <x v="63"/>
    </i>
    <i r="1">
      <x v="18"/>
      <x v="39"/>
    </i>
    <i r="2">
      <x v="40"/>
    </i>
    <i r="2">
      <x v="42"/>
    </i>
    <i r="2">
      <x v="51"/>
    </i>
    <i r="2">
      <x v="52"/>
    </i>
    <i r="2">
      <x v="54"/>
    </i>
    <i r="2">
      <x v="60"/>
    </i>
    <i r="2">
      <x v="67"/>
    </i>
    <i t="blank">
      <x v="55"/>
    </i>
    <i>
      <x v="56"/>
    </i>
    <i r="1">
      <x/>
      <x v="56"/>
    </i>
    <i r="1">
      <x v="1"/>
      <x v="47"/>
    </i>
    <i r="1">
      <x v="2"/>
      <x v="1"/>
    </i>
    <i r="1">
      <x v="3"/>
      <x v="57"/>
    </i>
    <i r="1">
      <x v="4"/>
      <x v="7"/>
    </i>
    <i r="2">
      <x v="44"/>
    </i>
    <i r="2">
      <x v="45"/>
    </i>
    <i r="2">
      <x v="59"/>
    </i>
    <i r="1">
      <x v="8"/>
      <x/>
    </i>
    <i r="2">
      <x v="2"/>
    </i>
    <i r="2">
      <x v="28"/>
    </i>
    <i r="2">
      <x v="37"/>
    </i>
    <i r="2">
      <x v="39"/>
    </i>
    <i r="2">
      <x v="54"/>
    </i>
    <i r="2">
      <x v="55"/>
    </i>
    <i r="2">
      <x v="60"/>
    </i>
    <i r="2">
      <x v="61"/>
    </i>
    <i t="blank">
      <x v="56"/>
    </i>
    <i>
      <x v="57"/>
    </i>
    <i r="1">
      <x/>
      <x v="1"/>
    </i>
    <i r="1">
      <x v="1"/>
      <x v="59"/>
    </i>
    <i r="1">
      <x v="2"/>
      <x v="7"/>
    </i>
    <i r="2">
      <x v="45"/>
    </i>
    <i r="2">
      <x v="57"/>
    </i>
    <i r="1">
      <x v="5"/>
      <x v="47"/>
    </i>
    <i r="1">
      <x v="6"/>
      <x v="3"/>
    </i>
    <i r="1">
      <x v="7"/>
      <x v="2"/>
    </i>
    <i r="1">
      <x v="8"/>
      <x v="62"/>
    </i>
    <i r="1">
      <x v="9"/>
      <x v="44"/>
    </i>
    <i r="2">
      <x v="63"/>
    </i>
    <i r="1">
      <x v="11"/>
      <x v="49"/>
    </i>
    <i r="1">
      <x v="12"/>
      <x v="15"/>
    </i>
    <i r="2">
      <x v="25"/>
    </i>
    <i r="2">
      <x v="46"/>
    </i>
    <i r="2">
      <x v="54"/>
    </i>
    <i r="2">
      <x v="64"/>
    </i>
    <i r="2">
      <x v="65"/>
    </i>
    <i r="1">
      <x v="18"/>
      <x v="40"/>
    </i>
    <i r="2">
      <x v="55"/>
    </i>
    <i r="2">
      <x v="56"/>
    </i>
    <i t="blank">
      <x v="57"/>
    </i>
    <i>
      <x v="58"/>
    </i>
    <i r="1">
      <x/>
      <x v="57"/>
    </i>
    <i r="1">
      <x v="1"/>
      <x v="1"/>
    </i>
    <i r="1">
      <x v="2"/>
      <x v="47"/>
    </i>
    <i r="1">
      <x v="3"/>
      <x v="56"/>
    </i>
    <i r="1">
      <x v="4"/>
      <x v="45"/>
    </i>
    <i r="2">
      <x v="59"/>
    </i>
    <i r="1">
      <x v="6"/>
      <x v="2"/>
    </i>
    <i r="1">
      <x v="7"/>
      <x v="63"/>
    </i>
    <i r="1">
      <x v="8"/>
      <x v="3"/>
    </i>
    <i r="2">
      <x v="54"/>
    </i>
    <i r="2">
      <x v="62"/>
    </i>
    <i r="1">
      <x v="11"/>
      <x v="46"/>
    </i>
    <i r="1">
      <x v="12"/>
      <x v="44"/>
    </i>
    <i r="2">
      <x v="51"/>
    </i>
    <i r="1">
      <x v="14"/>
      <x v="55"/>
    </i>
    <i r="2">
      <x v="58"/>
    </i>
    <i r="1">
      <x v="16"/>
      <x v="60"/>
    </i>
    <i r="1">
      <x v="17"/>
      <x v="64"/>
    </i>
    <i r="1">
      <x v="18"/>
      <x v="4"/>
    </i>
    <i r="2">
      <x v="7"/>
    </i>
    <i r="2">
      <x v="48"/>
    </i>
    <i r="2">
      <x v="66"/>
    </i>
    <i r="2">
      <x v="67"/>
    </i>
    <i t="blank">
      <x v="58"/>
    </i>
    <i>
      <x v="59"/>
    </i>
    <i r="1">
      <x/>
      <x v="59"/>
    </i>
    <i r="1">
      <x v="1"/>
      <x v="1"/>
    </i>
    <i r="1">
      <x v="2"/>
      <x v="57"/>
    </i>
    <i r="2">
      <x v="62"/>
    </i>
    <i r="1">
      <x v="4"/>
      <x v="46"/>
    </i>
    <i r="1">
      <x v="5"/>
      <x v="2"/>
    </i>
    <i r="2">
      <x v="3"/>
    </i>
    <i r="2">
      <x v="47"/>
    </i>
    <i r="1">
      <x v="8"/>
      <x v="45"/>
    </i>
    <i r="1">
      <x v="9"/>
      <x v="51"/>
    </i>
    <i r="2">
      <x v="64"/>
    </i>
    <i r="1">
      <x v="11"/>
      <x v="4"/>
    </i>
    <i r="2">
      <x v="44"/>
    </i>
    <i r="2">
      <x v="48"/>
    </i>
    <i r="2">
      <x v="63"/>
    </i>
    <i r="1">
      <x v="15"/>
      <x v="7"/>
    </i>
    <i r="2">
      <x v="13"/>
    </i>
    <i r="2">
      <x v="18"/>
    </i>
    <i r="2">
      <x v="24"/>
    </i>
    <i r="2">
      <x v="26"/>
    </i>
    <i r="2">
      <x v="28"/>
    </i>
    <i r="2">
      <x v="30"/>
    </i>
    <i r="2">
      <x v="40"/>
    </i>
    <i r="2">
      <x v="54"/>
    </i>
    <i r="2">
      <x v="55"/>
    </i>
    <i r="2">
      <x v="56"/>
    </i>
    <i r="2">
      <x v="58"/>
    </i>
    <i r="2">
      <x v="66"/>
    </i>
    <i r="2">
      <x v="67"/>
    </i>
    <i r="2">
      <x v="68"/>
    </i>
    <i r="2">
      <x v="69"/>
    </i>
    <i t="blank">
      <x v="59"/>
    </i>
    <i>
      <x v="60"/>
    </i>
    <i r="1">
      <x/>
      <x v="1"/>
    </i>
    <i r="1">
      <x v="1"/>
      <x v="59"/>
    </i>
    <i r="1">
      <x v="2"/>
      <x v="45"/>
    </i>
    <i r="2">
      <x v="47"/>
    </i>
    <i r="1">
      <x v="4"/>
      <x v="3"/>
    </i>
    <i r="1">
      <x v="5"/>
      <x v="56"/>
    </i>
    <i r="2">
      <x v="57"/>
    </i>
    <i r="1">
      <x v="7"/>
      <x v="2"/>
    </i>
    <i r="2">
      <x v="12"/>
    </i>
    <i r="2">
      <x v="66"/>
    </i>
    <i r="1">
      <x v="10"/>
      <x v="4"/>
    </i>
    <i r="2">
      <x v="8"/>
    </i>
    <i r="2">
      <x v="15"/>
    </i>
    <i r="2">
      <x v="18"/>
    </i>
    <i r="2">
      <x v="23"/>
    </i>
    <i r="2">
      <x v="26"/>
    </i>
    <i r="2">
      <x v="32"/>
    </i>
    <i r="2">
      <x v="35"/>
    </i>
    <i r="2">
      <x v="41"/>
    </i>
    <i r="2">
      <x v="46"/>
    </i>
    <i r="2">
      <x v="58"/>
    </i>
    <i r="2">
      <x v="63"/>
    </i>
    <i t="blank">
      <x v="60"/>
    </i>
    <i>
      <x v="61"/>
    </i>
    <i r="1">
      <x/>
      <x v="1"/>
    </i>
    <i r="2">
      <x v="2"/>
    </i>
    <i r="1">
      <x v="2"/>
      <x v="57"/>
    </i>
    <i r="2">
      <x v="59"/>
    </i>
    <i r="1">
      <x v="4"/>
      <x v="3"/>
    </i>
    <i r="1">
      <x v="5"/>
      <x v="66"/>
    </i>
    <i r="1">
      <x v="6"/>
      <x v="44"/>
    </i>
    <i r="1">
      <x v="7"/>
      <x v="45"/>
    </i>
    <i r="2">
      <x v="63"/>
    </i>
    <i r="1">
      <x v="9"/>
      <x v="18"/>
    </i>
    <i r="2">
      <x v="62"/>
    </i>
    <i r="1">
      <x v="11"/>
      <x v="47"/>
    </i>
    <i r="1">
      <x v="12"/>
      <x v="8"/>
    </i>
    <i r="2">
      <x v="35"/>
    </i>
    <i r="2">
      <x v="46"/>
    </i>
    <i r="1">
      <x v="15"/>
      <x v="15"/>
    </i>
    <i r="2">
      <x v="26"/>
    </i>
    <i r="2">
      <x v="51"/>
    </i>
    <i r="2">
      <x v="55"/>
    </i>
    <i r="2">
      <x v="60"/>
    </i>
    <i r="2">
      <x v="64"/>
    </i>
    <i r="2">
      <x v="67"/>
    </i>
    <i t="blank">
      <x v="61"/>
    </i>
    <i>
      <x v="62"/>
    </i>
    <i r="1">
      <x/>
      <x v="2"/>
    </i>
    <i r="2">
      <x v="8"/>
    </i>
    <i r="1">
      <x v="2"/>
      <x v="57"/>
    </i>
    <i r="2">
      <x v="62"/>
    </i>
    <i r="1">
      <x v="4"/>
      <x v="1"/>
    </i>
    <i r="2">
      <x v="42"/>
    </i>
    <i r="2">
      <x v="45"/>
    </i>
    <i r="2">
      <x v="46"/>
    </i>
    <i r="2">
      <x v="47"/>
    </i>
    <i r="1">
      <x v="9"/>
      <x v="59"/>
    </i>
    <i r="2">
      <x v="63"/>
    </i>
    <i r="1">
      <x v="11"/>
      <x v="3"/>
    </i>
    <i r="2">
      <x v="18"/>
    </i>
    <i r="2">
      <x v="26"/>
    </i>
    <i r="2">
      <x v="35"/>
    </i>
    <i r="2">
      <x v="55"/>
    </i>
    <i r="2">
      <x v="58"/>
    </i>
    <i r="2">
      <x v="66"/>
    </i>
    <i r="1">
      <x v="18"/>
      <x v="4"/>
    </i>
    <i r="2">
      <x v="7"/>
    </i>
    <i r="2">
      <x v="10"/>
    </i>
    <i r="2">
      <x v="13"/>
    </i>
    <i r="2">
      <x v="15"/>
    </i>
    <i r="2">
      <x v="16"/>
    </i>
    <i r="2">
      <x v="19"/>
    </i>
    <i r="2">
      <x v="21"/>
    </i>
    <i r="2">
      <x v="28"/>
    </i>
    <i r="2">
      <x v="36"/>
    </i>
    <i r="2">
      <x v="40"/>
    </i>
    <i r="2">
      <x v="44"/>
    </i>
    <i r="2">
      <x v="50"/>
    </i>
    <i r="2">
      <x v="54"/>
    </i>
    <i t="blank">
      <x v="62"/>
    </i>
    <i>
      <x v="63"/>
    </i>
    <i r="1">
      <x/>
      <x v="2"/>
    </i>
    <i r="2">
      <x v="45"/>
    </i>
    <i r="1">
      <x v="2"/>
      <x v="1"/>
    </i>
    <i r="1">
      <x v="3"/>
      <x v="47"/>
    </i>
    <i r="1">
      <x v="4"/>
      <x v="3"/>
    </i>
    <i r="2">
      <x v="59"/>
    </i>
    <i r="1">
      <x v="6"/>
      <x v="57"/>
    </i>
    <i r="1">
      <x v="7"/>
      <x v="46"/>
    </i>
    <i r="1">
      <x v="8"/>
      <x v="35"/>
    </i>
    <i r="1">
      <x v="9"/>
      <x v="41"/>
    </i>
    <i r="1">
      <x v="10"/>
      <x v="37"/>
    </i>
    <i r="2">
      <x v="40"/>
    </i>
    <i r="2">
      <x v="42"/>
    </i>
    <i r="2">
      <x v="63"/>
    </i>
    <i r="1">
      <x v="14"/>
      <x v="10"/>
    </i>
    <i r="2">
      <x v="51"/>
    </i>
    <i r="2">
      <x v="55"/>
    </i>
    <i r="2">
      <x v="60"/>
    </i>
    <i r="2">
      <x v="62"/>
    </i>
    <i r="2">
      <x v="64"/>
    </i>
    <i r="2">
      <x v="67"/>
    </i>
    <i t="blank">
      <x v="63"/>
    </i>
    <i>
      <x v="64"/>
    </i>
    <i r="1">
      <x/>
      <x v="59"/>
    </i>
    <i r="1">
      <x v="1"/>
      <x v="47"/>
    </i>
    <i r="1">
      <x v="2"/>
      <x v="1"/>
    </i>
    <i r="1">
      <x v="3"/>
      <x v="2"/>
    </i>
    <i r="1">
      <x v="4"/>
      <x v="3"/>
    </i>
    <i r="2">
      <x v="57"/>
    </i>
    <i r="2">
      <x v="62"/>
    </i>
    <i r="1">
      <x v="7"/>
      <x v="45"/>
    </i>
    <i r="1">
      <x v="8"/>
      <x v="63"/>
    </i>
    <i r="1">
      <x v="9"/>
      <x v="54"/>
    </i>
    <i r="1">
      <x v="10"/>
      <x v="44"/>
    </i>
    <i r="2">
      <x v="46"/>
    </i>
    <i r="2">
      <x v="51"/>
    </i>
    <i r="1">
      <x v="13"/>
      <x v="55"/>
    </i>
    <i r="1">
      <x v="14"/>
      <x v="20"/>
    </i>
    <i r="1">
      <x v="15"/>
      <x v="35"/>
    </i>
    <i r="2">
      <x v="56"/>
    </i>
    <i r="2">
      <x v="60"/>
    </i>
    <i r="1">
      <x v="18"/>
      <x v="48"/>
    </i>
    <i r="2">
      <x v="61"/>
    </i>
    <i r="2">
      <x v="64"/>
    </i>
    <i r="2">
      <x v="67"/>
    </i>
    <i t="blank">
      <x v="64"/>
    </i>
    <i>
      <x v="65"/>
    </i>
    <i r="1">
      <x/>
      <x v="1"/>
    </i>
    <i r="1">
      <x v="1"/>
      <x v="57"/>
    </i>
    <i r="1">
      <x v="2"/>
      <x v="59"/>
    </i>
    <i r="1">
      <x v="3"/>
      <x v="2"/>
    </i>
    <i r="1">
      <x v="4"/>
      <x v="45"/>
    </i>
    <i r="1">
      <x v="5"/>
      <x v="47"/>
    </i>
    <i r="1">
      <x v="6"/>
      <x v="3"/>
    </i>
    <i r="2">
      <x v="46"/>
    </i>
    <i r="1">
      <x v="8"/>
      <x v="63"/>
    </i>
    <i r="1">
      <x v="9"/>
      <x v="54"/>
    </i>
    <i r="1">
      <x v="10"/>
      <x v="62"/>
    </i>
    <i r="1">
      <x v="11"/>
      <x v="20"/>
    </i>
    <i r="1">
      <x v="12"/>
      <x v="55"/>
    </i>
    <i r="2">
      <x v="64"/>
    </i>
    <i r="1">
      <x v="14"/>
      <x v="18"/>
    </i>
    <i r="2">
      <x v="39"/>
    </i>
    <i r="2">
      <x v="48"/>
    </i>
    <i r="1">
      <x v="17"/>
      <x v="8"/>
    </i>
    <i r="2">
      <x v="22"/>
    </i>
    <i r="2">
      <x v="40"/>
    </i>
    <i r="2">
      <x v="49"/>
    </i>
    <i r="2">
      <x v="50"/>
    </i>
    <i r="2">
      <x v="66"/>
    </i>
    <i t="blank">
      <x v="65"/>
    </i>
    <i>
      <x v="66"/>
    </i>
    <i r="1">
      <x/>
      <x v="56"/>
    </i>
    <i r="1">
      <x v="1"/>
      <x v="57"/>
    </i>
    <i r="1">
      <x v="2"/>
      <x v="51"/>
    </i>
    <i r="1">
      <x v="3"/>
      <x v="47"/>
    </i>
    <i r="1">
      <x v="4"/>
      <x v="1"/>
    </i>
    <i r="2">
      <x v="59"/>
    </i>
    <i r="1">
      <x v="6"/>
      <x v="45"/>
    </i>
    <i r="1">
      <x v="7"/>
      <x v="3"/>
    </i>
    <i r="1">
      <x v="8"/>
      <x v="2"/>
    </i>
    <i r="2">
      <x v="62"/>
    </i>
    <i r="1">
      <x v="10"/>
      <x v="63"/>
    </i>
    <i r="1">
      <x v="11"/>
      <x v="50"/>
    </i>
    <i r="2">
      <x v="55"/>
    </i>
    <i r="1">
      <x v="13"/>
      <x v="44"/>
    </i>
    <i r="2">
      <x v="52"/>
    </i>
    <i r="2">
      <x v="61"/>
    </i>
    <i r="1">
      <x v="16"/>
      <x v="64"/>
    </i>
    <i r="1">
      <x v="17"/>
      <x v="54"/>
    </i>
    <i r="1">
      <x v="18"/>
      <x v="4"/>
    </i>
    <i r="2">
      <x v="42"/>
    </i>
    <i r="2">
      <x v="69"/>
    </i>
    <i t="blank">
      <x v="66"/>
    </i>
    <i>
      <x v="67"/>
    </i>
    <i r="1">
      <x/>
      <x v="56"/>
    </i>
    <i r="1">
      <x v="1"/>
      <x v="57"/>
    </i>
    <i r="1">
      <x v="2"/>
      <x v="45"/>
    </i>
    <i r="1">
      <x v="3"/>
      <x v="1"/>
    </i>
    <i r="1">
      <x v="4"/>
      <x v="59"/>
    </i>
    <i r="1">
      <x v="5"/>
      <x v="47"/>
    </i>
    <i r="1">
      <x v="6"/>
      <x v="2"/>
    </i>
    <i r="2">
      <x v="62"/>
    </i>
    <i r="1">
      <x v="8"/>
      <x v="3"/>
    </i>
    <i r="1">
      <x v="9"/>
      <x v="46"/>
    </i>
    <i r="1">
      <x v="10"/>
      <x v="52"/>
    </i>
    <i r="1">
      <x v="11"/>
      <x v="4"/>
    </i>
    <i r="2">
      <x v="51"/>
    </i>
    <i r="2">
      <x v="54"/>
    </i>
    <i r="2">
      <x v="55"/>
    </i>
    <i r="2">
      <x v="60"/>
    </i>
    <i r="2">
      <x v="63"/>
    </i>
    <i r="2">
      <x v="65"/>
    </i>
    <i r="1">
      <x v="18"/>
      <x/>
    </i>
    <i r="2">
      <x v="7"/>
    </i>
    <i r="2">
      <x v="14"/>
    </i>
    <i r="2">
      <x v="27"/>
    </i>
    <i r="2">
      <x v="28"/>
    </i>
    <i r="2">
      <x v="33"/>
    </i>
    <i r="2">
      <x v="34"/>
    </i>
    <i r="2">
      <x v="35"/>
    </i>
    <i r="2">
      <x v="40"/>
    </i>
    <i r="2">
      <x v="49"/>
    </i>
    <i r="2">
      <x v="58"/>
    </i>
    <i r="2">
      <x v="61"/>
    </i>
    <i r="2">
      <x v="66"/>
    </i>
    <i r="2">
      <x v="69"/>
    </i>
    <i t="blank">
      <x v="67"/>
    </i>
    <i>
      <x v="68"/>
    </i>
    <i r="1">
      <x/>
      <x v="20"/>
    </i>
    <i r="1">
      <x v="1"/>
      <x v="59"/>
    </i>
    <i r="1">
      <x v="2"/>
      <x v="2"/>
    </i>
    <i r="2">
      <x v="57"/>
    </i>
    <i r="1">
      <x v="4"/>
      <x v="1"/>
    </i>
    <i r="1">
      <x v="5"/>
      <x v="47"/>
    </i>
    <i r="1">
      <x v="6"/>
      <x v="18"/>
    </i>
    <i r="1">
      <x v="7"/>
      <x v="3"/>
    </i>
    <i r="1">
      <x v="8"/>
      <x v="13"/>
    </i>
    <i r="1">
      <x v="9"/>
      <x v="62"/>
    </i>
    <i r="1">
      <x v="10"/>
      <x v="46"/>
    </i>
    <i r="2">
      <x v="63"/>
    </i>
    <i r="1">
      <x v="12"/>
      <x v="19"/>
    </i>
    <i r="2">
      <x v="45"/>
    </i>
    <i r="2">
      <x v="51"/>
    </i>
    <i r="1">
      <x v="15"/>
      <x v="44"/>
    </i>
    <i r="2">
      <x v="54"/>
    </i>
    <i r="2">
      <x v="55"/>
    </i>
    <i r="1">
      <x v="18"/>
      <x v="21"/>
    </i>
    <i r="1">
      <x v="19"/>
      <x v="23"/>
    </i>
    <i r="2">
      <x v="58"/>
    </i>
    <i t="blank">
      <x v="68"/>
    </i>
    <i>
      <x v="69"/>
    </i>
    <i r="1">
      <x/>
      <x v="57"/>
    </i>
    <i r="1">
      <x v="1"/>
      <x v="1"/>
    </i>
    <i r="1">
      <x v="2"/>
      <x v="59"/>
    </i>
    <i r="1">
      <x v="3"/>
      <x v="45"/>
    </i>
    <i r="1">
      <x v="4"/>
      <x v="47"/>
    </i>
    <i r="1">
      <x v="5"/>
      <x v="2"/>
    </i>
    <i r="1">
      <x v="6"/>
      <x v="46"/>
    </i>
    <i r="1">
      <x v="7"/>
      <x v="63"/>
    </i>
    <i r="1">
      <x v="8"/>
      <x v="3"/>
    </i>
    <i r="2">
      <x v="4"/>
    </i>
    <i r="2">
      <x v="44"/>
    </i>
    <i r="2">
      <x v="51"/>
    </i>
    <i r="2">
      <x v="62"/>
    </i>
    <i r="1">
      <x v="13"/>
      <x v="54"/>
    </i>
    <i r="1">
      <x v="14"/>
      <x v="8"/>
    </i>
    <i r="1">
      <x v="15"/>
      <x v="10"/>
    </i>
    <i r="2">
      <x v="64"/>
    </i>
    <i r="1">
      <x v="17"/>
      <x v="20"/>
    </i>
    <i r="2">
      <x v="41"/>
    </i>
    <i r="1">
      <x v="19"/>
      <x v="15"/>
    </i>
    <i r="2">
      <x v="18"/>
    </i>
    <i r="2">
      <x v="26"/>
    </i>
    <i r="2">
      <x v="39"/>
    </i>
    <i r="2">
      <x v="42"/>
    </i>
    <i r="2">
      <x v="55"/>
    </i>
    <i r="2">
      <x v="56"/>
    </i>
    <i t="blank">
      <x v="69"/>
    </i>
    <i>
      <x v="70"/>
    </i>
    <i r="1">
      <x/>
      <x v="1"/>
    </i>
    <i r="1">
      <x v="1"/>
      <x v="2"/>
    </i>
    <i r="1">
      <x v="2"/>
      <x v="59"/>
    </i>
    <i r="1">
      <x v="3"/>
      <x v="3"/>
    </i>
    <i r="2">
      <x v="56"/>
    </i>
    <i r="1">
      <x v="5"/>
      <x v="45"/>
    </i>
    <i r="1">
      <x v="6"/>
      <x v="18"/>
    </i>
    <i r="1">
      <x v="7"/>
      <x v="46"/>
    </i>
    <i r="1">
      <x v="8"/>
      <x v="57"/>
    </i>
    <i r="1">
      <x v="9"/>
      <x v="20"/>
    </i>
    <i r="1">
      <x v="10"/>
      <x v="62"/>
    </i>
    <i r="1">
      <x v="11"/>
      <x v="4"/>
    </i>
    <i r="2">
      <x v="8"/>
    </i>
    <i r="2">
      <x v="22"/>
    </i>
    <i r="2">
      <x v="55"/>
    </i>
    <i r="1">
      <x v="15"/>
      <x v="13"/>
    </i>
    <i r="2">
      <x v="19"/>
    </i>
    <i r="2">
      <x v="47"/>
    </i>
    <i r="2">
      <x v="64"/>
    </i>
    <i r="1">
      <x v="19"/>
      <x v="5"/>
    </i>
    <i r="2">
      <x v="9"/>
    </i>
    <i r="2">
      <x v="12"/>
    </i>
    <i r="2">
      <x v="15"/>
    </i>
    <i r="2">
      <x v="23"/>
    </i>
    <i r="2">
      <x v="35"/>
    </i>
    <i r="2">
      <x v="63"/>
    </i>
    <i r="2">
      <x v="66"/>
    </i>
    <i t="blank">
      <x v="70"/>
    </i>
    <i>
      <x v="71"/>
    </i>
    <i r="1">
      <x/>
      <x v="56"/>
    </i>
    <i r="1">
      <x v="1"/>
      <x v="57"/>
    </i>
    <i r="1">
      <x v="2"/>
      <x v="45"/>
    </i>
    <i r="2">
      <x v="59"/>
    </i>
    <i r="1">
      <x v="4"/>
      <x v="1"/>
    </i>
    <i r="1">
      <x v="5"/>
      <x v="47"/>
    </i>
    <i r="1">
      <x v="6"/>
      <x v="2"/>
    </i>
    <i r="1">
      <x v="7"/>
      <x v="3"/>
    </i>
    <i r="1">
      <x v="8"/>
      <x v="51"/>
    </i>
    <i r="1">
      <x v="9"/>
      <x v="62"/>
    </i>
    <i r="1">
      <x v="10"/>
      <x v="61"/>
    </i>
    <i r="1">
      <x v="11"/>
      <x v="44"/>
    </i>
    <i r="1">
      <x v="12"/>
      <x v="58"/>
    </i>
    <i r="2">
      <x v="63"/>
    </i>
    <i r="2">
      <x v="69"/>
    </i>
    <i r="1">
      <x v="15"/>
      <x v="39"/>
    </i>
    <i r="2">
      <x v="46"/>
    </i>
    <i r="2">
      <x v="54"/>
    </i>
    <i r="2">
      <x v="64"/>
    </i>
    <i r="1">
      <x v="19"/>
      <x v="8"/>
    </i>
    <i r="2">
      <x v="28"/>
    </i>
    <i r="2">
      <x v="34"/>
    </i>
    <i r="2">
      <x v="48"/>
    </i>
    <i r="2">
      <x v="52"/>
    </i>
    <i r="2">
      <x v="55"/>
    </i>
    <i r="2">
      <x v="60"/>
    </i>
    <i t="blank">
      <x v="71"/>
    </i>
    <i>
      <x v="72"/>
    </i>
    <i r="1">
      <x/>
      <x v="56"/>
    </i>
    <i r="1">
      <x v="1"/>
      <x v="1"/>
    </i>
    <i r="1">
      <x v="2"/>
      <x v="45"/>
    </i>
    <i r="1">
      <x v="3"/>
      <x v="47"/>
    </i>
    <i r="2">
      <x v="57"/>
    </i>
    <i r="1">
      <x v="5"/>
      <x v="59"/>
    </i>
    <i r="1">
      <x v="6"/>
      <x v="3"/>
    </i>
    <i r="1">
      <x v="7"/>
      <x v="2"/>
    </i>
    <i r="2">
      <x v="46"/>
    </i>
    <i r="1">
      <x v="9"/>
      <x v="62"/>
    </i>
    <i r="1">
      <x v="10"/>
      <x v="5"/>
    </i>
    <i r="2">
      <x v="28"/>
    </i>
    <i r="2">
      <x v="51"/>
    </i>
    <i r="2">
      <x v="54"/>
    </i>
    <i r="2">
      <x v="55"/>
    </i>
    <i r="1">
      <x v="15"/>
      <x v="4"/>
    </i>
    <i r="2">
      <x v="7"/>
    </i>
    <i r="2">
      <x v="16"/>
    </i>
    <i r="2">
      <x v="26"/>
    </i>
    <i r="2">
      <x v="37"/>
    </i>
    <i r="2">
      <x v="38"/>
    </i>
    <i r="2">
      <x v="39"/>
    </i>
    <i r="2">
      <x v="42"/>
    </i>
    <i r="2">
      <x v="48"/>
    </i>
    <i r="2">
      <x v="50"/>
    </i>
    <i r="2">
      <x v="63"/>
    </i>
    <i r="2">
      <x v="66"/>
    </i>
    <i t="blank">
      <x v="72"/>
    </i>
    <i>
      <x v="73"/>
    </i>
    <i r="1">
      <x/>
      <x v="56"/>
    </i>
    <i r="1">
      <x v="1"/>
      <x v="57"/>
    </i>
    <i r="1">
      <x v="2"/>
      <x v="47"/>
    </i>
    <i r="1">
      <x v="3"/>
      <x v="45"/>
    </i>
    <i r="1">
      <x v="4"/>
      <x v="1"/>
    </i>
    <i r="2">
      <x v="59"/>
    </i>
    <i r="1">
      <x v="6"/>
      <x v="2"/>
    </i>
    <i r="1">
      <x v="7"/>
      <x v="62"/>
    </i>
    <i r="1">
      <x v="8"/>
      <x v="39"/>
    </i>
    <i r="1">
      <x v="9"/>
      <x v="3"/>
    </i>
    <i r="2">
      <x v="44"/>
    </i>
    <i r="2">
      <x v="52"/>
    </i>
    <i r="1">
      <x v="12"/>
      <x v="4"/>
    </i>
    <i r="2">
      <x v="51"/>
    </i>
    <i r="2">
      <x v="55"/>
    </i>
    <i r="2">
      <x v="61"/>
    </i>
    <i r="2">
      <x v="64"/>
    </i>
    <i r="1">
      <x v="17"/>
      <x v="7"/>
    </i>
    <i r="2">
      <x v="13"/>
    </i>
    <i r="2">
      <x v="28"/>
    </i>
    <i r="2">
      <x v="34"/>
    </i>
    <i r="2">
      <x v="46"/>
    </i>
    <i r="2">
      <x v="58"/>
    </i>
    <i t="blank">
      <x v="73"/>
    </i>
    <i>
      <x v="74"/>
    </i>
    <i r="1">
      <x/>
      <x v="56"/>
    </i>
    <i r="1">
      <x v="1"/>
      <x v="57"/>
    </i>
    <i r="1">
      <x v="2"/>
      <x v="1"/>
    </i>
    <i r="1">
      <x v="3"/>
      <x v="47"/>
    </i>
    <i r="1">
      <x v="4"/>
      <x v="59"/>
    </i>
    <i r="1">
      <x v="5"/>
      <x v="45"/>
    </i>
    <i r="1">
      <x v="6"/>
      <x v="2"/>
    </i>
    <i r="1">
      <x v="7"/>
      <x v="18"/>
    </i>
    <i r="2">
      <x v="46"/>
    </i>
    <i r="2">
      <x v="62"/>
    </i>
    <i r="1">
      <x v="10"/>
      <x v="3"/>
    </i>
    <i r="2">
      <x v="55"/>
    </i>
    <i r="1">
      <x v="12"/>
      <x v="44"/>
    </i>
    <i r="1">
      <x v="13"/>
      <x v="54"/>
    </i>
    <i r="1">
      <x v="14"/>
      <x v="63"/>
    </i>
    <i r="1">
      <x v="15"/>
      <x v="4"/>
    </i>
    <i r="2">
      <x v="42"/>
    </i>
    <i r="1">
      <x v="17"/>
      <x v="7"/>
    </i>
    <i r="2">
      <x v="51"/>
    </i>
    <i r="2">
      <x v="61"/>
    </i>
    <i r="2">
      <x v="64"/>
    </i>
    <i r="2">
      <x v="66"/>
    </i>
    <i t="blank">
      <x v="74"/>
    </i>
    <i>
      <x v="75"/>
    </i>
    <i r="1">
      <x/>
      <x v="1"/>
    </i>
    <i r="1">
      <x v="1"/>
      <x v="47"/>
    </i>
    <i r="1">
      <x v="2"/>
      <x v="2"/>
    </i>
    <i r="2">
      <x v="45"/>
    </i>
    <i r="1">
      <x v="4"/>
      <x v="59"/>
    </i>
    <i r="1">
      <x v="5"/>
      <x v="56"/>
    </i>
    <i r="1">
      <x v="6"/>
      <x v="44"/>
    </i>
    <i r="2">
      <x v="55"/>
    </i>
    <i r="2">
      <x v="64"/>
    </i>
    <i r="1">
      <x v="9"/>
      <x v="3"/>
    </i>
    <i r="2">
      <x v="8"/>
    </i>
    <i r="2">
      <x v="57"/>
    </i>
    <i r="2">
      <x v="63"/>
    </i>
    <i r="1">
      <x v="13"/>
      <x v="4"/>
    </i>
    <i r="2">
      <x v="7"/>
    </i>
    <i r="2">
      <x v="10"/>
    </i>
    <i r="2">
      <x v="14"/>
    </i>
    <i r="2">
      <x v="23"/>
    </i>
    <i r="2">
      <x v="28"/>
    </i>
    <i r="2">
      <x v="37"/>
    </i>
    <i r="2">
      <x v="39"/>
    </i>
    <i r="2">
      <x v="40"/>
    </i>
    <i r="2">
      <x v="42"/>
    </i>
    <i r="2">
      <x v="46"/>
    </i>
    <i r="2">
      <x v="50"/>
    </i>
    <i r="2">
      <x v="52"/>
    </i>
    <i r="2">
      <x v="58"/>
    </i>
    <i r="2">
      <x v="62"/>
    </i>
    <i r="2">
      <x v="66"/>
    </i>
    <i r="2">
      <x v="69"/>
    </i>
    <i t="blank">
      <x v="75"/>
    </i>
    <i>
      <x v="76"/>
    </i>
    <i r="1">
      <x/>
      <x v="1"/>
    </i>
    <i r="1">
      <x v="1"/>
      <x v="47"/>
    </i>
    <i r="1">
      <x v="2"/>
      <x v="2"/>
    </i>
    <i r="2">
      <x v="59"/>
    </i>
    <i r="1">
      <x v="4"/>
      <x v="56"/>
    </i>
    <i r="1">
      <x v="5"/>
      <x v="57"/>
    </i>
    <i r="1">
      <x v="6"/>
      <x v="45"/>
    </i>
    <i r="2">
      <x v="62"/>
    </i>
    <i r="1">
      <x v="8"/>
      <x v="55"/>
    </i>
    <i r="1">
      <x v="9"/>
      <x v="63"/>
    </i>
    <i r="1">
      <x v="10"/>
      <x v="3"/>
    </i>
    <i r="2">
      <x v="64"/>
    </i>
    <i r="1">
      <x v="12"/>
      <x v="46"/>
    </i>
    <i r="2">
      <x v="54"/>
    </i>
    <i r="1">
      <x v="14"/>
      <x v="40"/>
    </i>
    <i r="1">
      <x v="15"/>
      <x v="18"/>
    </i>
    <i r="2">
      <x v="42"/>
    </i>
    <i r="1">
      <x v="17"/>
      <x v="4"/>
    </i>
    <i r="2">
      <x v="5"/>
    </i>
    <i r="2">
      <x v="7"/>
    </i>
    <i r="2">
      <x v="8"/>
    </i>
    <i r="2">
      <x v="26"/>
    </i>
    <i r="2">
      <x v="28"/>
    </i>
    <i r="2">
      <x v="30"/>
    </i>
    <i r="2">
      <x v="51"/>
    </i>
    <i r="2">
      <x v="69"/>
    </i>
    <i t="blank">
      <x v="76"/>
    </i>
    <i>
      <x v="77"/>
    </i>
    <i r="1">
      <x/>
      <x v="56"/>
    </i>
    <i r="1">
      <x v="1"/>
      <x v="1"/>
    </i>
    <i r="1">
      <x v="2"/>
      <x v="47"/>
    </i>
    <i r="1">
      <x v="3"/>
      <x v="2"/>
    </i>
    <i r="2">
      <x v="3"/>
    </i>
    <i r="2">
      <x v="45"/>
    </i>
    <i r="1">
      <x v="6"/>
      <x v="59"/>
    </i>
    <i r="1">
      <x v="7"/>
      <x v="60"/>
    </i>
    <i r="1">
      <x v="8"/>
      <x v="4"/>
    </i>
    <i r="2">
      <x v="15"/>
    </i>
    <i r="2">
      <x v="46"/>
    </i>
    <i r="2">
      <x v="63"/>
    </i>
    <i r="1">
      <x v="12"/>
      <x v="7"/>
    </i>
    <i r="2">
      <x v="8"/>
    </i>
    <i r="2">
      <x v="35"/>
    </i>
    <i r="2">
      <x v="39"/>
    </i>
    <i r="2">
      <x v="40"/>
    </i>
    <i r="2">
      <x v="44"/>
    </i>
    <i r="2">
      <x v="57"/>
    </i>
    <i r="2">
      <x v="65"/>
    </i>
    <i r="2">
      <x v="69"/>
    </i>
    <i t="blank">
      <x v="77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1125">
      <pivotArea field="2" type="button" dataOnly="0" labelOnly="1" outline="0" axis="axisRow" fieldPosition="0"/>
    </format>
    <format dxfId="1124">
      <pivotArea outline="0" fieldPosition="0">
        <references count="1">
          <reference field="4294967294" count="1">
            <x v="0"/>
          </reference>
        </references>
      </pivotArea>
    </format>
    <format dxfId="1123">
      <pivotArea outline="0" fieldPosition="0">
        <references count="1">
          <reference field="4294967294" count="1">
            <x v="1"/>
          </reference>
        </references>
      </pivotArea>
    </format>
    <format dxfId="1122">
      <pivotArea outline="0" fieldPosition="0">
        <references count="1">
          <reference field="4294967294" count="1">
            <x v="2"/>
          </reference>
        </references>
      </pivotArea>
    </format>
    <format dxfId="1121">
      <pivotArea outline="0" fieldPosition="0">
        <references count="1">
          <reference field="4294967294" count="1">
            <x v="3"/>
          </reference>
        </references>
      </pivotArea>
    </format>
    <format dxfId="1120">
      <pivotArea outline="0" fieldPosition="0">
        <references count="1">
          <reference field="4294967294" count="1">
            <x v="4"/>
          </reference>
        </references>
      </pivotArea>
    </format>
    <format dxfId="1119">
      <pivotArea outline="0" fieldPosition="0">
        <references count="1">
          <reference field="4294967294" count="1">
            <x v="5"/>
          </reference>
        </references>
      </pivotArea>
    </format>
    <format dxfId="1118">
      <pivotArea outline="0" fieldPosition="0">
        <references count="1">
          <reference field="4294967294" count="1">
            <x v="6"/>
          </reference>
        </references>
      </pivotArea>
    </format>
    <format dxfId="1117">
      <pivotArea field="2" type="button" dataOnly="0" labelOnly="1" outline="0" axis="axisRow" fieldPosition="0"/>
    </format>
    <format dxfId="11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115">
      <pivotArea field="2" type="button" dataOnly="0" labelOnly="1" outline="0" axis="axisRow" fieldPosition="0"/>
    </format>
    <format dxfId="11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113">
      <pivotArea field="2" type="button" dataOnly="0" labelOnly="1" outline="0" axis="axisRow" fieldPosition="0"/>
    </format>
    <format dxfId="111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11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11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109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DC8D4A-92C9-40C6-ADF6-9F9D0242566F}" name="pvt_S" cacheId="2187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2168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78">
        <item x="19"/>
        <item x="9"/>
        <item x="15"/>
        <item x="4"/>
        <item x="43"/>
        <item x="42"/>
        <item x="46"/>
        <item x="50"/>
        <item x="41"/>
        <item x="45"/>
        <item x="40"/>
        <item x="49"/>
        <item x="52"/>
        <item x="48"/>
        <item x="47"/>
        <item x="44"/>
        <item x="51"/>
        <item x="71"/>
        <item x="72"/>
        <item x="73"/>
        <item x="77"/>
        <item x="14"/>
        <item x="10"/>
        <item x="16"/>
        <item x="29"/>
        <item x="30"/>
        <item x="8"/>
        <item x="2"/>
        <item x="39"/>
        <item x="34"/>
        <item x="38"/>
        <item x="37"/>
        <item x="36"/>
        <item x="35"/>
        <item x="70"/>
        <item x="69"/>
        <item x="75"/>
        <item x="74"/>
        <item x="76"/>
        <item x="3"/>
        <item x="68"/>
        <item x="31"/>
        <item x="33"/>
        <item x="32"/>
        <item x="6"/>
        <item x="7"/>
        <item x="17"/>
        <item x="12"/>
        <item x="11"/>
        <item x="0"/>
        <item x="1"/>
        <item x="18"/>
        <item x="61"/>
        <item x="60"/>
        <item x="63"/>
        <item x="62"/>
        <item x="59"/>
        <item x="25"/>
        <item x="20"/>
        <item x="21"/>
        <item x="23"/>
        <item x="22"/>
        <item x="24"/>
        <item x="13"/>
        <item x="5"/>
        <item x="67"/>
        <item x="65"/>
        <item x="64"/>
        <item x="66"/>
        <item x="26"/>
        <item x="27"/>
        <item x="28"/>
        <item x="56"/>
        <item x="53"/>
        <item x="57"/>
        <item x="54"/>
        <item x="58"/>
        <item x="55"/>
      </items>
    </pivotField>
    <pivotField axis="axisRow" showAll="0" insertBlankRow="1" defaultSubtota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</items>
    </pivotField>
    <pivotField showAll="0" defaultSubtotal="0">
      <items count="186">
        <item x="78"/>
        <item x="160"/>
        <item x="113"/>
        <item x="5"/>
        <item x="86"/>
        <item x="13"/>
        <item x="12"/>
        <item x="35"/>
        <item x="36"/>
        <item x="93"/>
        <item x="79"/>
        <item x="149"/>
        <item x="50"/>
        <item x="45"/>
        <item x="30"/>
        <item x="112"/>
        <item x="87"/>
        <item x="19"/>
        <item x="17"/>
        <item x="134"/>
        <item x="94"/>
        <item x="139"/>
        <item x="88"/>
        <item x="129"/>
        <item x="133"/>
        <item x="137"/>
        <item x="63"/>
        <item x="140"/>
        <item x="110"/>
        <item x="56"/>
        <item x="146"/>
        <item x="144"/>
        <item x="124"/>
        <item x="64"/>
        <item x="165"/>
        <item x="120"/>
        <item x="125"/>
        <item x="105"/>
        <item x="166"/>
        <item x="141"/>
        <item x="159"/>
        <item x="153"/>
        <item x="92"/>
        <item x="175"/>
        <item x="180"/>
        <item x="89"/>
        <item x="111"/>
        <item x="65"/>
        <item x="147"/>
        <item x="98"/>
        <item x="167"/>
        <item x="179"/>
        <item x="107"/>
        <item x="138"/>
        <item x="100"/>
        <item x="154"/>
        <item x="29"/>
        <item x="99"/>
        <item x="174"/>
        <item x="176"/>
        <item x="27"/>
        <item x="28"/>
        <item x="103"/>
        <item x="177"/>
        <item x="95"/>
        <item x="161"/>
        <item x="135"/>
        <item x="155"/>
        <item x="102"/>
        <item x="162"/>
        <item x="168"/>
        <item x="47"/>
        <item x="57"/>
        <item x="80"/>
        <item x="66"/>
        <item x="58"/>
        <item x="67"/>
        <item x="130"/>
        <item x="81"/>
        <item x="101"/>
        <item x="117"/>
        <item x="126"/>
        <item x="131"/>
        <item x="68"/>
        <item x="172"/>
        <item x="169"/>
        <item x="170"/>
        <item x="61"/>
        <item x="142"/>
        <item x="39"/>
        <item x="51"/>
        <item x="37"/>
        <item x="184"/>
        <item x="136"/>
        <item x="32"/>
        <item x="163"/>
        <item x="164"/>
        <item x="145"/>
        <item x="181"/>
        <item x="121"/>
        <item x="182"/>
        <item x="22"/>
        <item x="52"/>
        <item x="171"/>
        <item x="59"/>
        <item x="53"/>
        <item x="122"/>
        <item x="40"/>
        <item x="23"/>
        <item x="16"/>
        <item x="10"/>
        <item x="173"/>
        <item x="31"/>
        <item x="44"/>
        <item x="49"/>
        <item x="21"/>
        <item x="41"/>
        <item x="42"/>
        <item x="114"/>
        <item x="108"/>
        <item x="178"/>
        <item x="9"/>
        <item x="69"/>
        <item x="70"/>
        <item x="38"/>
        <item x="82"/>
        <item x="91"/>
        <item x="18"/>
        <item x="0"/>
        <item x="20"/>
        <item x="71"/>
        <item x="127"/>
        <item x="148"/>
        <item x="118"/>
        <item x="72"/>
        <item x="106"/>
        <item x="156"/>
        <item x="128"/>
        <item x="151"/>
        <item x="150"/>
        <item x="73"/>
        <item x="15"/>
        <item x="152"/>
        <item x="143"/>
        <item x="2"/>
        <item x="62"/>
        <item x="60"/>
        <item x="14"/>
        <item x="3"/>
        <item x="46"/>
        <item x="123"/>
        <item x="6"/>
        <item x="8"/>
        <item x="26"/>
        <item x="119"/>
        <item x="74"/>
        <item x="33"/>
        <item x="24"/>
        <item x="4"/>
        <item x="1"/>
        <item x="83"/>
        <item x="109"/>
        <item x="185"/>
        <item x="183"/>
        <item x="54"/>
        <item x="55"/>
        <item x="84"/>
        <item x="75"/>
        <item x="48"/>
        <item x="34"/>
        <item x="11"/>
        <item x="104"/>
        <item x="7"/>
        <item x="96"/>
        <item x="43"/>
        <item x="90"/>
        <item x="97"/>
        <item x="115"/>
        <item x="116"/>
        <item x="132"/>
        <item x="25"/>
        <item x="76"/>
        <item x="157"/>
        <item x="77"/>
        <item x="158"/>
        <item x="85"/>
      </items>
    </pivotField>
    <pivotField showAll="0" defaultSubtotal="0">
      <items count="183">
        <item x="177"/>
        <item x="111"/>
        <item x="49"/>
        <item x="123"/>
        <item x="148"/>
        <item x="55"/>
        <item x="108"/>
        <item x="65"/>
        <item x="29"/>
        <item x="172"/>
        <item x="119"/>
        <item x="16"/>
        <item x="142"/>
        <item x="125"/>
        <item x="143"/>
        <item x="75"/>
        <item x="83"/>
        <item x="115"/>
        <item x="60"/>
        <item x="52"/>
        <item x="87"/>
        <item x="133"/>
        <item x="28"/>
        <item x="94"/>
        <item x="150"/>
        <item x="109"/>
        <item x="110"/>
        <item x="124"/>
        <item x="46"/>
        <item x="101"/>
        <item x="128"/>
        <item x="93"/>
        <item x="8"/>
        <item x="153"/>
        <item x="182"/>
        <item x="21"/>
        <item x="178"/>
        <item x="96"/>
        <item x="68"/>
        <item x="131"/>
        <item x="113"/>
        <item x="116"/>
        <item x="105"/>
        <item x="126"/>
        <item x="130"/>
        <item x="145"/>
        <item x="44"/>
        <item x="64"/>
        <item x="23"/>
        <item x="61"/>
        <item x="167"/>
        <item x="140"/>
        <item x="59"/>
        <item x="34"/>
        <item x="166"/>
        <item x="180"/>
        <item x="17"/>
        <item x="58"/>
        <item x="62"/>
        <item x="173"/>
        <item x="31"/>
        <item x="134"/>
        <item x="76"/>
        <item x="26"/>
        <item x="11"/>
        <item x="27"/>
        <item x="154"/>
        <item x="138"/>
        <item x="100"/>
        <item x="151"/>
        <item x="120"/>
        <item x="171"/>
        <item x="107"/>
        <item x="35"/>
        <item x="13"/>
        <item x="37"/>
        <item x="158"/>
        <item x="82"/>
        <item x="179"/>
        <item x="103"/>
        <item x="84"/>
        <item x="72"/>
        <item x="106"/>
        <item x="92"/>
        <item x="98"/>
        <item x="50"/>
        <item x="136"/>
        <item x="78"/>
        <item x="32"/>
        <item x="132"/>
        <item x="127"/>
        <item x="160"/>
        <item x="63"/>
        <item x="104"/>
        <item x="43"/>
        <item x="74"/>
        <item x="118"/>
        <item x="170"/>
        <item x="102"/>
        <item x="162"/>
        <item x="10"/>
        <item x="25"/>
        <item x="70"/>
        <item x="47"/>
        <item x="175"/>
        <item x="152"/>
        <item x="48"/>
        <item x="156"/>
        <item x="40"/>
        <item x="6"/>
        <item x="163"/>
        <item x="73"/>
        <item x="114"/>
        <item x="112"/>
        <item x="97"/>
        <item x="67"/>
        <item x="117"/>
        <item x="57"/>
        <item x="77"/>
        <item x="14"/>
        <item x="122"/>
        <item x="51"/>
        <item x="137"/>
        <item x="56"/>
        <item x="164"/>
        <item x="149"/>
        <item x="181"/>
        <item x="3"/>
        <item x="24"/>
        <item x="168"/>
        <item x="161"/>
        <item x="146"/>
        <item x="121"/>
        <item x="85"/>
        <item x="9"/>
        <item x="54"/>
        <item x="80"/>
        <item x="89"/>
        <item x="0"/>
        <item x="36"/>
        <item x="139"/>
        <item x="20"/>
        <item x="129"/>
        <item x="69"/>
        <item x="79"/>
        <item x="165"/>
        <item x="157"/>
        <item x="66"/>
        <item x="19"/>
        <item x="174"/>
        <item x="155"/>
        <item x="30"/>
        <item x="15"/>
        <item x="5"/>
        <item x="147"/>
        <item x="169"/>
        <item x="42"/>
        <item x="99"/>
        <item x="41"/>
        <item x="39"/>
        <item x="33"/>
        <item x="95"/>
        <item x="45"/>
        <item x="1"/>
        <item x="71"/>
        <item x="91"/>
        <item x="18"/>
        <item x="22"/>
        <item x="38"/>
        <item x="86"/>
        <item x="159"/>
        <item x="135"/>
        <item x="141"/>
        <item x="144"/>
        <item x="12"/>
        <item x="53"/>
        <item x="88"/>
        <item x="81"/>
        <item x="176"/>
        <item x="4"/>
        <item x="2"/>
        <item x="7"/>
        <item x="90"/>
      </items>
    </pivotField>
    <pivotField axis="axisRow" showAll="0" defaultSubtotal="0">
      <items count="186">
        <item x="78"/>
        <item x="160"/>
        <item x="113"/>
        <item x="5"/>
        <item x="86"/>
        <item x="13"/>
        <item x="12"/>
        <item x="35"/>
        <item x="36"/>
        <item x="93"/>
        <item x="79"/>
        <item x="149"/>
        <item x="50"/>
        <item x="45"/>
        <item x="30"/>
        <item x="112"/>
        <item x="87"/>
        <item x="19"/>
        <item x="17"/>
        <item x="134"/>
        <item x="94"/>
        <item x="139"/>
        <item x="88"/>
        <item x="129"/>
        <item x="133"/>
        <item x="137"/>
        <item x="63"/>
        <item x="140"/>
        <item x="110"/>
        <item x="56"/>
        <item x="146"/>
        <item x="144"/>
        <item x="124"/>
        <item x="64"/>
        <item x="165"/>
        <item x="120"/>
        <item x="125"/>
        <item x="105"/>
        <item x="166"/>
        <item x="141"/>
        <item x="159"/>
        <item x="153"/>
        <item x="92"/>
        <item x="175"/>
        <item x="180"/>
        <item x="89"/>
        <item x="111"/>
        <item x="65"/>
        <item x="147"/>
        <item x="98"/>
        <item x="167"/>
        <item x="179"/>
        <item x="107"/>
        <item x="138"/>
        <item x="100"/>
        <item x="154"/>
        <item x="29"/>
        <item x="99"/>
        <item x="174"/>
        <item x="176"/>
        <item x="27"/>
        <item x="28"/>
        <item x="103"/>
        <item x="177"/>
        <item x="95"/>
        <item x="161"/>
        <item x="135"/>
        <item x="155"/>
        <item x="102"/>
        <item x="162"/>
        <item x="168"/>
        <item x="47"/>
        <item x="57"/>
        <item x="80"/>
        <item x="66"/>
        <item x="58"/>
        <item x="67"/>
        <item x="130"/>
        <item x="81"/>
        <item x="101"/>
        <item x="117"/>
        <item x="126"/>
        <item x="131"/>
        <item x="68"/>
        <item x="172"/>
        <item x="169"/>
        <item x="170"/>
        <item x="61"/>
        <item x="142"/>
        <item x="39"/>
        <item x="51"/>
        <item x="37"/>
        <item x="184"/>
        <item x="136"/>
        <item x="32"/>
        <item x="163"/>
        <item x="164"/>
        <item x="145"/>
        <item x="181"/>
        <item x="121"/>
        <item x="182"/>
        <item x="22"/>
        <item x="52"/>
        <item x="171"/>
        <item x="59"/>
        <item x="53"/>
        <item x="122"/>
        <item x="40"/>
        <item x="23"/>
        <item x="16"/>
        <item x="10"/>
        <item x="173"/>
        <item x="31"/>
        <item x="44"/>
        <item x="49"/>
        <item x="21"/>
        <item x="41"/>
        <item x="42"/>
        <item x="114"/>
        <item x="108"/>
        <item x="178"/>
        <item x="9"/>
        <item x="69"/>
        <item x="70"/>
        <item x="38"/>
        <item x="82"/>
        <item x="91"/>
        <item x="18"/>
        <item x="0"/>
        <item x="20"/>
        <item x="71"/>
        <item x="127"/>
        <item x="148"/>
        <item x="118"/>
        <item x="72"/>
        <item x="106"/>
        <item x="156"/>
        <item x="128"/>
        <item x="151"/>
        <item x="150"/>
        <item x="73"/>
        <item x="15"/>
        <item x="152"/>
        <item x="143"/>
        <item x="2"/>
        <item x="62"/>
        <item x="60"/>
        <item x="14"/>
        <item x="3"/>
        <item x="46"/>
        <item x="123"/>
        <item x="6"/>
        <item x="8"/>
        <item x="26"/>
        <item x="119"/>
        <item x="74"/>
        <item x="33"/>
        <item x="24"/>
        <item x="4"/>
        <item x="1"/>
        <item x="83"/>
        <item x="109"/>
        <item x="185"/>
        <item x="183"/>
        <item x="54"/>
        <item x="55"/>
        <item x="84"/>
        <item x="75"/>
        <item x="48"/>
        <item x="34"/>
        <item x="11"/>
        <item x="104"/>
        <item x="7"/>
        <item x="96"/>
        <item x="43"/>
        <item x="90"/>
        <item x="97"/>
        <item x="115"/>
        <item x="116"/>
        <item x="132"/>
        <item x="25"/>
        <item x="76"/>
        <item x="157"/>
        <item x="77"/>
        <item x="158"/>
        <item x="85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47">
        <item x="142"/>
        <item x="141"/>
        <item x="139"/>
        <item x="138"/>
        <item x="137"/>
        <item x="140"/>
        <item x="136"/>
        <item x="143"/>
        <item x="133"/>
        <item x="126"/>
        <item x="124"/>
        <item x="123"/>
        <item x="115"/>
        <item x="114"/>
        <item x="122"/>
        <item x="121"/>
        <item x="113"/>
        <item x="112"/>
        <item x="85"/>
        <item x="84"/>
        <item x="83"/>
        <item x="82"/>
        <item x="81"/>
        <item x="80"/>
        <item x="107"/>
        <item x="106"/>
        <item x="105"/>
        <item x="111"/>
        <item x="104"/>
        <item x="79"/>
        <item x="78"/>
        <item x="77"/>
        <item x="110"/>
        <item x="103"/>
        <item x="76"/>
        <item x="102"/>
        <item x="101"/>
        <item x="120"/>
        <item x="100"/>
        <item x="109"/>
        <item x="128"/>
        <item x="99"/>
        <item x="96"/>
        <item x="95"/>
        <item x="75"/>
        <item x="127"/>
        <item x="94"/>
        <item x="93"/>
        <item x="125"/>
        <item x="92"/>
        <item x="144"/>
        <item x="119"/>
        <item x="73"/>
        <item x="72"/>
        <item x="71"/>
        <item x="70"/>
        <item x="69"/>
        <item x="91"/>
        <item x="68"/>
        <item x="67"/>
        <item x="118"/>
        <item x="66"/>
        <item x="108"/>
        <item x="117"/>
        <item x="65"/>
        <item x="74"/>
        <item x="131"/>
        <item x="64"/>
        <item x="63"/>
        <item x="90"/>
        <item x="62"/>
        <item x="89"/>
        <item x="98"/>
        <item x="53"/>
        <item x="52"/>
        <item x="61"/>
        <item x="60"/>
        <item x="51"/>
        <item x="59"/>
        <item x="50"/>
        <item x="130"/>
        <item x="49"/>
        <item x="88"/>
        <item x="48"/>
        <item x="58"/>
        <item x="57"/>
        <item x="56"/>
        <item x="135"/>
        <item x="134"/>
        <item x="47"/>
        <item x="38"/>
        <item x="37"/>
        <item x="87"/>
        <item x="36"/>
        <item x="35"/>
        <item x="116"/>
        <item x="132"/>
        <item x="34"/>
        <item x="33"/>
        <item x="32"/>
        <item x="46"/>
        <item x="31"/>
        <item x="146"/>
        <item x="45"/>
        <item x="44"/>
        <item x="129"/>
        <item x="97"/>
        <item x="30"/>
        <item x="43"/>
        <item x="29"/>
        <item x="28"/>
        <item x="27"/>
        <item x="26"/>
        <item x="25"/>
        <item x="24"/>
        <item x="42"/>
        <item x="55"/>
        <item x="23"/>
        <item x="22"/>
        <item x="54"/>
        <item x="41"/>
        <item x="86"/>
        <item x="145"/>
        <item x="40"/>
        <item x="39"/>
        <item x="21"/>
        <item x="19"/>
        <item x="18"/>
        <item x="17"/>
        <item x="16"/>
        <item x="15"/>
        <item x="14"/>
        <item x="20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77">
        <item x="347"/>
        <item x="346"/>
        <item x="351"/>
        <item x="367"/>
        <item x="345"/>
        <item x="325"/>
        <item x="176"/>
        <item x="372"/>
        <item x="107"/>
        <item x="344"/>
        <item x="183"/>
        <item x="49"/>
        <item x="48"/>
        <item x="34"/>
        <item x="33"/>
        <item x="47"/>
        <item x="68"/>
        <item x="366"/>
        <item x="328"/>
        <item x="79"/>
        <item x="19"/>
        <item x="18"/>
        <item x="96"/>
        <item x="17"/>
        <item x="16"/>
        <item x="46"/>
        <item x="78"/>
        <item x="276"/>
        <item x="67"/>
        <item x="45"/>
        <item x="226"/>
        <item x="61"/>
        <item x="15"/>
        <item x="119"/>
        <item x="14"/>
        <item x="66"/>
        <item x="60"/>
        <item x="158"/>
        <item x="32"/>
        <item x="106"/>
        <item x="280"/>
        <item x="31"/>
        <item x="163"/>
        <item x="59"/>
        <item x="118"/>
        <item x="86"/>
        <item x="30"/>
        <item x="188"/>
        <item x="65"/>
        <item x="137"/>
        <item x="58"/>
        <item x="146"/>
        <item x="151"/>
        <item x="211"/>
        <item x="117"/>
        <item x="13"/>
        <item x="105"/>
        <item x="77"/>
        <item x="127"/>
        <item x="44"/>
        <item x="76"/>
        <item x="172"/>
        <item x="57"/>
        <item x="75"/>
        <item x="145"/>
        <item x="95"/>
        <item x="136"/>
        <item x="157"/>
        <item x="171"/>
        <item x="12"/>
        <item x="116"/>
        <item x="11"/>
        <item x="94"/>
        <item x="156"/>
        <item x="104"/>
        <item x="10"/>
        <item x="9"/>
        <item x="85"/>
        <item x="144"/>
        <item x="150"/>
        <item x="248"/>
        <item x="115"/>
        <item x="84"/>
        <item x="162"/>
        <item x="263"/>
        <item x="210"/>
        <item x="29"/>
        <item x="28"/>
        <item x="217"/>
        <item x="161"/>
        <item x="27"/>
        <item x="26"/>
        <item x="149"/>
        <item x="8"/>
        <item x="25"/>
        <item x="275"/>
        <item x="316"/>
        <item x="43"/>
        <item x="24"/>
        <item x="56"/>
        <item x="93"/>
        <item x="7"/>
        <item x="42"/>
        <item x="6"/>
        <item x="223"/>
        <item x="55"/>
        <item x="126"/>
        <item x="92"/>
        <item x="191"/>
        <item x="155"/>
        <item x="187"/>
        <item x="114"/>
        <item x="83"/>
        <item x="41"/>
        <item x="254"/>
        <item x="135"/>
        <item x="103"/>
        <item x="40"/>
        <item x="5"/>
        <item x="182"/>
        <item x="170"/>
        <item x="74"/>
        <item x="262"/>
        <item x="134"/>
        <item x="169"/>
        <item x="125"/>
        <item x="241"/>
        <item x="330"/>
        <item x="54"/>
        <item x="247"/>
        <item x="133"/>
        <item x="235"/>
        <item x="23"/>
        <item x="335"/>
        <item x="222"/>
        <item x="243"/>
        <item x="22"/>
        <item x="4"/>
        <item x="53"/>
        <item x="168"/>
        <item x="102"/>
        <item x="91"/>
        <item x="269"/>
        <item x="124"/>
        <item x="246"/>
        <item x="132"/>
        <item x="73"/>
        <item x="101"/>
        <item x="52"/>
        <item x="39"/>
        <item x="113"/>
        <item x="194"/>
        <item x="143"/>
        <item x="90"/>
        <item x="3"/>
        <item x="240"/>
        <item x="261"/>
        <item x="274"/>
        <item x="216"/>
        <item x="112"/>
        <item x="245"/>
        <item x="221"/>
        <item x="225"/>
        <item x="343"/>
        <item x="181"/>
        <item x="186"/>
        <item x="2"/>
        <item x="111"/>
        <item x="286"/>
        <item x="38"/>
        <item x="209"/>
        <item x="154"/>
        <item x="180"/>
        <item x="142"/>
        <item x="123"/>
        <item x="322"/>
        <item x="167"/>
        <item x="253"/>
        <item x="64"/>
        <item x="198"/>
        <item x="231"/>
        <item x="257"/>
        <item x="376"/>
        <item x="334"/>
        <item x="175"/>
        <item x="166"/>
        <item x="215"/>
        <item x="339"/>
        <item x="100"/>
        <item x="350"/>
        <item x="131"/>
        <item x="268"/>
        <item x="310"/>
        <item x="266"/>
        <item x="237"/>
        <item x="234"/>
        <item x="208"/>
        <item x="283"/>
        <item x="89"/>
        <item x="300"/>
        <item x="130"/>
        <item x="82"/>
        <item x="204"/>
        <item x="333"/>
        <item x="110"/>
        <item x="72"/>
        <item x="233"/>
        <item x="273"/>
        <item x="165"/>
        <item x="305"/>
        <item x="365"/>
        <item x="230"/>
        <item x="338"/>
        <item x="141"/>
        <item x="260"/>
        <item x="37"/>
        <item x="109"/>
        <item x="321"/>
        <item x="71"/>
        <item x="294"/>
        <item x="140"/>
        <item x="359"/>
        <item x="122"/>
        <item x="63"/>
        <item x="214"/>
        <item x="332"/>
        <item x="220"/>
        <item x="179"/>
        <item x="354"/>
        <item x="279"/>
        <item x="139"/>
        <item x="252"/>
        <item x="363"/>
        <item x="244"/>
        <item x="289"/>
        <item x="99"/>
        <item x="361"/>
        <item x="318"/>
        <item x="304"/>
        <item x="329"/>
        <item x="299"/>
        <item x="219"/>
        <item x="129"/>
        <item x="265"/>
        <item x="148"/>
        <item x="272"/>
        <item x="278"/>
        <item x="315"/>
        <item x="358"/>
        <item x="258"/>
        <item x="353"/>
        <item x="355"/>
        <item x="324"/>
        <item x="218"/>
        <item x="320"/>
        <item x="297"/>
        <item x="193"/>
        <item x="311"/>
        <item x="153"/>
        <item x="81"/>
        <item x="371"/>
        <item x="251"/>
        <item x="197"/>
        <item x="98"/>
        <item x="342"/>
        <item x="236"/>
        <item x="62"/>
        <item x="309"/>
        <item x="298"/>
        <item x="357"/>
        <item x="201"/>
        <item x="352"/>
        <item x="288"/>
        <item x="88"/>
        <item x="370"/>
        <item x="178"/>
        <item x="277"/>
        <item x="207"/>
        <item x="250"/>
        <item x="97"/>
        <item x="128"/>
        <item x="190"/>
        <item x="213"/>
        <item x="308"/>
        <item x="239"/>
        <item x="21"/>
        <item x="1"/>
        <item x="319"/>
        <item x="229"/>
        <item x="177"/>
        <item x="375"/>
        <item x="0"/>
        <item x="185"/>
        <item x="51"/>
        <item x="138"/>
        <item x="87"/>
        <item x="227"/>
        <item x="293"/>
        <item x="256"/>
        <item x="267"/>
        <item x="184"/>
        <item x="36"/>
        <item x="271"/>
        <item x="189"/>
        <item x="160"/>
        <item x="303"/>
        <item x="206"/>
        <item x="369"/>
        <item x="337"/>
        <item x="152"/>
        <item x="174"/>
        <item x="374"/>
        <item x="159"/>
        <item x="285"/>
        <item x="70"/>
        <item x="317"/>
        <item x="242"/>
        <item x="50"/>
        <item x="232"/>
        <item x="121"/>
        <item x="196"/>
        <item x="296"/>
        <item x="373"/>
        <item x="205"/>
        <item x="314"/>
        <item x="192"/>
        <item x="356"/>
        <item x="327"/>
        <item x="164"/>
        <item x="249"/>
        <item x="212"/>
        <item x="307"/>
        <item x="331"/>
        <item x="282"/>
        <item x="120"/>
        <item x="287"/>
        <item x="264"/>
        <item x="203"/>
        <item x="147"/>
        <item x="336"/>
        <item x="35"/>
        <item x="108"/>
        <item x="200"/>
        <item x="295"/>
        <item x="292"/>
        <item x="306"/>
        <item x="255"/>
        <item x="270"/>
        <item x="323"/>
        <item x="349"/>
        <item x="69"/>
        <item x="259"/>
        <item x="313"/>
        <item x="290"/>
        <item x="173"/>
        <item x="284"/>
        <item x="302"/>
        <item x="341"/>
        <item x="20"/>
        <item x="199"/>
        <item x="80"/>
        <item x="326"/>
        <item x="301"/>
        <item x="281"/>
        <item x="202"/>
        <item x="224"/>
        <item x="362"/>
        <item x="291"/>
        <item x="368"/>
        <item x="228"/>
        <item x="195"/>
        <item x="238"/>
        <item x="360"/>
        <item x="312"/>
        <item x="348"/>
        <item x="340"/>
        <item x="364"/>
      </items>
    </pivotField>
    <pivotField dataField="1" showAll="0" defaultSubtotal="0">
      <items count="131">
        <item x="110"/>
        <item x="73"/>
        <item x="102"/>
        <item x="77"/>
        <item x="76"/>
        <item x="101"/>
        <item x="75"/>
        <item x="74"/>
        <item x="81"/>
        <item x="70"/>
        <item x="80"/>
        <item x="52"/>
        <item x="94"/>
        <item x="104"/>
        <item x="79"/>
        <item x="66"/>
        <item x="68"/>
        <item x="107"/>
        <item x="37"/>
        <item x="93"/>
        <item x="90"/>
        <item x="108"/>
        <item x="78"/>
        <item x="115"/>
        <item x="100"/>
        <item x="91"/>
        <item x="109"/>
        <item x="62"/>
        <item x="99"/>
        <item x="34"/>
        <item x="51"/>
        <item x="72"/>
        <item x="89"/>
        <item x="38"/>
        <item x="48"/>
        <item x="103"/>
        <item x="64"/>
        <item x="54"/>
        <item x="67"/>
        <item x="113"/>
        <item x="33"/>
        <item x="28"/>
        <item x="92"/>
        <item x="98"/>
        <item x="65"/>
        <item x="69"/>
        <item x="36"/>
        <item x="127"/>
        <item x="123"/>
        <item x="126"/>
        <item x="88"/>
        <item x="55"/>
        <item x="53"/>
        <item x="32"/>
        <item x="49"/>
        <item x="125"/>
        <item x="31"/>
        <item x="97"/>
        <item x="106"/>
        <item x="120"/>
        <item x="119"/>
        <item x="129"/>
        <item x="112"/>
        <item x="71"/>
        <item x="96"/>
        <item x="111"/>
        <item x="50"/>
        <item x="56"/>
        <item x="61"/>
        <item x="87"/>
        <item x="23"/>
        <item x="47"/>
        <item x="117"/>
        <item x="63"/>
        <item x="118"/>
        <item x="30"/>
        <item x="122"/>
        <item x="84"/>
        <item x="114"/>
        <item x="60"/>
        <item x="86"/>
        <item x="35"/>
        <item x="85"/>
        <item x="124"/>
        <item x="59"/>
        <item x="105"/>
        <item x="44"/>
        <item x="121"/>
        <item x="130"/>
        <item x="46"/>
        <item x="29"/>
        <item x="27"/>
        <item x="95"/>
        <item x="45"/>
        <item x="116"/>
        <item x="24"/>
        <item x="26"/>
        <item x="57"/>
        <item x="43"/>
        <item x="18"/>
        <item x="83"/>
        <item x="42"/>
        <item x="25"/>
        <item x="41"/>
        <item x="58"/>
        <item x="22"/>
        <item x="82"/>
        <item x="13"/>
        <item x="17"/>
        <item x="128"/>
        <item x="19"/>
        <item x="5"/>
        <item x="15"/>
        <item x="40"/>
        <item x="39"/>
        <item x="21"/>
        <item x="16"/>
        <item x="12"/>
        <item x="10"/>
        <item x="14"/>
        <item x="9"/>
        <item x="20"/>
        <item x="11"/>
        <item x="6"/>
        <item x="8"/>
        <item x="7"/>
        <item x="2"/>
        <item x="3"/>
        <item x="4"/>
        <item x="0"/>
        <item x="1"/>
      </items>
    </pivotField>
    <pivotField dataField="1" showAll="0" defaultSubtotal="0">
      <items count="463">
        <item x="184"/>
        <item x="108"/>
        <item x="79"/>
        <item x="163"/>
        <item x="246"/>
        <item x="280"/>
        <item x="123"/>
        <item x="52"/>
        <item x="133"/>
        <item x="208"/>
        <item x="96"/>
        <item x="430"/>
        <item x="36"/>
        <item x="71"/>
        <item x="82"/>
        <item x="234"/>
        <item x="355"/>
        <item x="419"/>
        <item x="170"/>
        <item x="281"/>
        <item x="173"/>
        <item x="276"/>
        <item x="142"/>
        <item x="424"/>
        <item x="122"/>
        <item x="290"/>
        <item x="197"/>
        <item x="18"/>
        <item x="311"/>
        <item x="98"/>
        <item x="33"/>
        <item x="319"/>
        <item x="134"/>
        <item x="305"/>
        <item x="235"/>
        <item x="209"/>
        <item x="65"/>
        <item x="243"/>
        <item x="92"/>
        <item x="37"/>
        <item x="192"/>
        <item x="67"/>
        <item x="13"/>
        <item x="431"/>
        <item x="294"/>
        <item x="17"/>
        <item x="380"/>
        <item x="119"/>
        <item x="50"/>
        <item x="32"/>
        <item x="80"/>
        <item x="27"/>
        <item x="314"/>
        <item x="19"/>
        <item x="5"/>
        <item x="329"/>
        <item x="148"/>
        <item x="47"/>
        <item x="97"/>
        <item x="35"/>
        <item x="221"/>
        <item x="93"/>
        <item x="15"/>
        <item x="275"/>
        <item x="54"/>
        <item x="154"/>
        <item x="395"/>
        <item x="167"/>
        <item x="231"/>
        <item x="126"/>
        <item x="252"/>
        <item x="31"/>
        <item x="297"/>
        <item x="247"/>
        <item x="85"/>
        <item x="340"/>
        <item x="316"/>
        <item x="30"/>
        <item x="155"/>
        <item x="62"/>
        <item x="94"/>
        <item x="324"/>
        <item x="131"/>
        <item x="196"/>
        <item x="78"/>
        <item x="106"/>
        <item x="68"/>
        <item x="226"/>
        <item x="373"/>
        <item x="64"/>
        <item x="415"/>
        <item x="245"/>
        <item x="156"/>
        <item x="55"/>
        <item x="343"/>
        <item x="130"/>
        <item x="53"/>
        <item x="84"/>
        <item x="51"/>
        <item x="218"/>
        <item x="183"/>
        <item x="48"/>
        <item x="387"/>
        <item x="271"/>
        <item x="16"/>
        <item x="144"/>
        <item x="12"/>
        <item x="91"/>
        <item x="10"/>
        <item x="261"/>
        <item x="63"/>
        <item x="107"/>
        <item x="222"/>
        <item x="204"/>
        <item x="23"/>
        <item x="66"/>
        <item x="182"/>
        <item x="129"/>
        <item x="361"/>
        <item x="233"/>
        <item x="315"/>
        <item x="205"/>
        <item x="409"/>
        <item x="188"/>
        <item x="29"/>
        <item x="417"/>
        <item x="240"/>
        <item x="441"/>
        <item x="140"/>
        <item x="168"/>
        <item x="232"/>
        <item x="323"/>
        <item x="210"/>
        <item x="121"/>
        <item x="157"/>
        <item x="306"/>
        <item x="391"/>
        <item x="220"/>
        <item x="49"/>
        <item x="14"/>
        <item x="69"/>
        <item x="56"/>
        <item x="9"/>
        <item x="132"/>
        <item x="34"/>
        <item x="95"/>
        <item x="334"/>
        <item x="421"/>
        <item x="345"/>
        <item x="439"/>
        <item x="330"/>
        <item x="147"/>
        <item x="74"/>
        <item x="460"/>
        <item x="216"/>
        <item x="178"/>
        <item x="429"/>
        <item x="46"/>
        <item x="285"/>
        <item x="145"/>
        <item x="414"/>
        <item x="242"/>
        <item x="295"/>
        <item x="81"/>
        <item x="259"/>
        <item x="339"/>
        <item x="206"/>
        <item x="313"/>
        <item x="379"/>
        <item x="254"/>
        <item x="407"/>
        <item x="120"/>
        <item x="331"/>
        <item x="146"/>
        <item x="180"/>
        <item x="90"/>
        <item x="454"/>
        <item x="321"/>
        <item x="70"/>
        <item x="274"/>
        <item x="203"/>
        <item x="304"/>
        <item x="11"/>
        <item x="76"/>
        <item x="153"/>
        <item x="264"/>
        <item x="312"/>
        <item x="349"/>
        <item x="202"/>
        <item x="372"/>
        <item x="213"/>
        <item x="118"/>
        <item x="177"/>
        <item x="418"/>
        <item x="244"/>
        <item x="440"/>
        <item x="162"/>
        <item x="288"/>
        <item x="219"/>
        <item x="347"/>
        <item x="230"/>
        <item x="336"/>
        <item x="253"/>
        <item x="104"/>
        <item x="169"/>
        <item x="179"/>
        <item x="143"/>
        <item x="207"/>
        <item x="128"/>
        <item x="28"/>
        <item x="26"/>
        <item x="292"/>
        <item x="257"/>
        <item x="166"/>
        <item x="455"/>
        <item x="322"/>
        <item x="333"/>
        <item x="423"/>
        <item x="189"/>
        <item x="83"/>
        <item x="416"/>
        <item x="438"/>
        <item x="236"/>
        <item x="308"/>
        <item x="117"/>
        <item x="401"/>
        <item x="229"/>
        <item x="412"/>
        <item x="105"/>
        <item x="289"/>
        <item x="433"/>
        <item x="298"/>
        <item x="161"/>
        <item x="279"/>
        <item x="241"/>
        <item x="181"/>
        <item x="43"/>
        <item x="61"/>
        <item x="141"/>
        <item x="363"/>
        <item x="427"/>
        <item x="346"/>
        <item x="273"/>
        <item x="6"/>
        <item x="103"/>
        <item x="399"/>
        <item x="217"/>
        <item x="227"/>
        <item x="114"/>
        <item x="238"/>
        <item x="8"/>
        <item x="7"/>
        <item x="174"/>
        <item x="428"/>
        <item x="437"/>
        <item x="452"/>
        <item x="25"/>
        <item x="386"/>
        <item x="115"/>
        <item x="45"/>
        <item x="303"/>
        <item x="89"/>
        <item x="2"/>
        <item x="200"/>
        <item x="390"/>
        <item x="287"/>
        <item x="3"/>
        <item x="377"/>
        <item x="358"/>
        <item x="102"/>
        <item x="369"/>
        <item x="272"/>
        <item x="228"/>
        <item x="447"/>
        <item x="326"/>
        <item x="193"/>
        <item x="266"/>
        <item x="282"/>
        <item x="24"/>
        <item x="165"/>
        <item x="116"/>
        <item x="139"/>
        <item x="396"/>
        <item x="60"/>
        <item x="436"/>
        <item x="44"/>
        <item x="328"/>
        <item x="87"/>
        <item x="368"/>
        <item x="164"/>
        <item x="239"/>
        <item x="320"/>
        <item x="195"/>
        <item x="310"/>
        <item x="4"/>
        <item x="175"/>
        <item x="77"/>
        <item x="408"/>
        <item x="302"/>
        <item x="136"/>
        <item x="151"/>
        <item x="448"/>
        <item x="201"/>
        <item x="400"/>
        <item x="293"/>
        <item x="442"/>
        <item x="381"/>
        <item x="357"/>
        <item x="338"/>
        <item x="176"/>
        <item x="422"/>
        <item x="251"/>
        <item x="268"/>
        <item x="22"/>
        <item x="88"/>
        <item x="260"/>
        <item x="59"/>
        <item x="406"/>
        <item x="113"/>
        <item x="75"/>
        <item x="354"/>
        <item x="214"/>
        <item x="453"/>
        <item x="413"/>
        <item x="309"/>
        <item x="426"/>
        <item x="212"/>
        <item x="152"/>
        <item x="286"/>
        <item x="250"/>
        <item x="359"/>
        <item x="42"/>
        <item x="459"/>
        <item x="300"/>
        <item x="215"/>
        <item x="112"/>
        <item x="138"/>
        <item x="362"/>
        <item x="225"/>
        <item x="394"/>
        <item x="350"/>
        <item x="41"/>
        <item x="73"/>
        <item x="371"/>
        <item x="258"/>
        <item x="365"/>
        <item x="127"/>
        <item x="194"/>
        <item x="159"/>
        <item x="284"/>
        <item x="40"/>
        <item x="411"/>
        <item x="382"/>
        <item x="110"/>
        <item x="353"/>
        <item x="125"/>
        <item x="446"/>
        <item x="137"/>
        <item x="356"/>
        <item x="385"/>
        <item x="360"/>
        <item x="111"/>
        <item x="255"/>
        <item x="283"/>
        <item x="101"/>
        <item x="160"/>
        <item x="375"/>
        <item x="318"/>
        <item x="378"/>
        <item x="435"/>
        <item x="172"/>
        <item x="443"/>
        <item x="389"/>
        <item x="187"/>
        <item x="269"/>
        <item x="370"/>
        <item x="256"/>
        <item x="332"/>
        <item x="337"/>
        <item x="344"/>
        <item x="301"/>
        <item x="456"/>
        <item x="249"/>
        <item x="398"/>
        <item x="445"/>
        <item x="404"/>
        <item x="0"/>
        <item x="100"/>
        <item x="434"/>
        <item x="263"/>
        <item x="185"/>
        <item x="296"/>
        <item x="402"/>
        <item x="458"/>
        <item x="397"/>
        <item x="124"/>
        <item x="265"/>
        <item x="57"/>
        <item x="158"/>
        <item x="237"/>
        <item x="270"/>
        <item x="367"/>
        <item x="199"/>
        <item x="1"/>
        <item x="457"/>
        <item x="327"/>
        <item x="171"/>
        <item x="420"/>
        <item x="248"/>
        <item x="462"/>
        <item x="444"/>
        <item x="150"/>
        <item x="348"/>
        <item x="335"/>
        <item x="317"/>
        <item x="149"/>
        <item x="224"/>
        <item x="21"/>
        <item x="267"/>
        <item x="109"/>
        <item x="393"/>
        <item x="58"/>
        <item x="191"/>
        <item x="278"/>
        <item x="410"/>
        <item x="376"/>
        <item x="405"/>
        <item x="39"/>
        <item x="72"/>
        <item x="342"/>
        <item x="307"/>
        <item x="198"/>
        <item x="190"/>
        <item x="211"/>
        <item x="352"/>
        <item x="388"/>
        <item x="384"/>
        <item x="38"/>
        <item x="366"/>
        <item x="186"/>
        <item x="86"/>
        <item x="351"/>
        <item x="135"/>
        <item x="374"/>
        <item x="277"/>
        <item x="223"/>
        <item x="403"/>
        <item x="341"/>
        <item x="20"/>
        <item x="383"/>
        <item x="99"/>
        <item x="291"/>
        <item x="461"/>
        <item x="451"/>
        <item x="364"/>
        <item x="449"/>
        <item x="299"/>
        <item x="325"/>
        <item x="262"/>
        <item x="432"/>
        <item x="425"/>
        <item x="392"/>
        <item x="450"/>
      </items>
    </pivotField>
    <pivotField dataField="1" showAll="0" defaultSubtotal="0">
      <items count="91">
        <item x="72"/>
        <item x="69"/>
        <item x="70"/>
        <item x="84"/>
        <item x="78"/>
        <item x="56"/>
        <item x="60"/>
        <item x="42"/>
        <item x="44"/>
        <item x="25"/>
        <item x="76"/>
        <item x="75"/>
        <item x="54"/>
        <item x="57"/>
        <item x="68"/>
        <item x="81"/>
        <item x="45"/>
        <item x="55"/>
        <item x="71"/>
        <item x="41"/>
        <item x="85"/>
        <item x="73"/>
        <item x="86"/>
        <item x="74"/>
        <item x="79"/>
        <item x="58"/>
        <item x="26"/>
        <item x="22"/>
        <item x="87"/>
        <item x="63"/>
        <item x="83"/>
        <item x="67"/>
        <item x="62"/>
        <item x="82"/>
        <item x="80"/>
        <item x="88"/>
        <item x="24"/>
        <item x="65"/>
        <item x="53"/>
        <item x="43"/>
        <item x="77"/>
        <item x="64"/>
        <item x="50"/>
        <item x="39"/>
        <item x="66"/>
        <item x="8"/>
        <item x="48"/>
        <item x="35"/>
        <item x="40"/>
        <item x="61"/>
        <item x="89"/>
        <item x="29"/>
        <item x="27"/>
        <item x="52"/>
        <item x="59"/>
        <item x="49"/>
        <item x="21"/>
        <item x="46"/>
        <item x="90"/>
        <item x="51"/>
        <item x="34"/>
        <item x="37"/>
        <item x="4"/>
        <item x="7"/>
        <item x="31"/>
        <item x="36"/>
        <item x="32"/>
        <item x="47"/>
        <item x="33"/>
        <item x="30"/>
        <item x="38"/>
        <item x="6"/>
        <item x="28"/>
        <item x="23"/>
        <item x="14"/>
        <item x="20"/>
        <item x="11"/>
        <item x="1"/>
        <item x="16"/>
        <item x="3"/>
        <item x="2"/>
        <item x="9"/>
        <item x="19"/>
        <item x="15"/>
        <item x="17"/>
        <item x="12"/>
        <item x="18"/>
        <item x="10"/>
        <item x="13"/>
        <item x="0"/>
        <item x="5"/>
      </items>
    </pivotField>
    <pivotField dataField="1" showAll="0" defaultSubtotal="0">
      <items count="382">
        <item x="77"/>
        <item x="72"/>
        <item x="183"/>
        <item x="75"/>
        <item x="169"/>
        <item x="191"/>
        <item x="8"/>
        <item x="25"/>
        <item x="140"/>
        <item x="43"/>
        <item x="207"/>
        <item x="45"/>
        <item x="130"/>
        <item x="59"/>
        <item x="87"/>
        <item x="186"/>
        <item x="63"/>
        <item x="194"/>
        <item x="102"/>
        <item x="4"/>
        <item x="88"/>
        <item x="7"/>
        <item x="141"/>
        <item x="256"/>
        <item x="173"/>
        <item x="210"/>
        <item x="341"/>
        <item x="274"/>
        <item x="98"/>
        <item x="46"/>
        <item x="363"/>
        <item x="26"/>
        <item x="203"/>
        <item x="22"/>
        <item x="179"/>
        <item x="42"/>
        <item x="6"/>
        <item x="142"/>
        <item x="125"/>
        <item x="192"/>
        <item x="202"/>
        <item x="83"/>
        <item x="146"/>
        <item x="60"/>
        <item x="290"/>
        <item x="158"/>
        <item x="119"/>
        <item x="24"/>
        <item x="71"/>
        <item x="190"/>
        <item x="97"/>
        <item x="259"/>
        <item x="176"/>
        <item x="111"/>
        <item x="14"/>
        <item x="340"/>
        <item x="58"/>
        <item x="81"/>
        <item x="356"/>
        <item x="34"/>
        <item x="174"/>
        <item x="227"/>
        <item x="131"/>
        <item x="134"/>
        <item x="236"/>
        <item x="36"/>
        <item x="11"/>
        <item x="367"/>
        <item x="260"/>
        <item x="82"/>
        <item x="164"/>
        <item x="56"/>
        <item x="167"/>
        <item x="93"/>
        <item x="1"/>
        <item x="153"/>
        <item x="96"/>
        <item x="54"/>
        <item x="44"/>
        <item x="27"/>
        <item x="16"/>
        <item x="120"/>
        <item x="254"/>
        <item x="188"/>
        <item x="86"/>
        <item x="377"/>
        <item x="244"/>
        <item x="51"/>
        <item x="344"/>
        <item x="163"/>
        <item x="40"/>
        <item x="61"/>
        <item x="145"/>
        <item x="277"/>
        <item x="104"/>
        <item x="144"/>
        <item x="21"/>
        <item x="3"/>
        <item x="166"/>
        <item x="49"/>
        <item x="84"/>
        <item x="113"/>
        <item x="239"/>
        <item x="155"/>
        <item x="55"/>
        <item x="41"/>
        <item x="160"/>
        <item x="252"/>
        <item x="262"/>
        <item x="347"/>
        <item x="95"/>
        <item x="258"/>
        <item x="311"/>
        <item x="70"/>
        <item x="165"/>
        <item x="91"/>
        <item x="65"/>
        <item x="208"/>
        <item x="132"/>
        <item x="35"/>
        <item x="89"/>
        <item x="350"/>
        <item x="2"/>
        <item x="38"/>
        <item x="9"/>
        <item x="280"/>
        <item x="53"/>
        <item x="76"/>
        <item x="353"/>
        <item x="19"/>
        <item x="117"/>
        <item x="126"/>
        <item x="15"/>
        <item x="67"/>
        <item x="128"/>
        <item x="198"/>
        <item x="29"/>
        <item x="50"/>
        <item x="124"/>
        <item x="177"/>
        <item x="369"/>
        <item x="48"/>
        <item x="263"/>
        <item x="31"/>
        <item x="17"/>
        <item x="37"/>
        <item x="269"/>
        <item x="127"/>
        <item x="139"/>
        <item x="168"/>
        <item x="110"/>
        <item x="66"/>
        <item x="12"/>
        <item x="209"/>
        <item x="32"/>
        <item x="103"/>
        <item x="123"/>
        <item x="185"/>
        <item x="18"/>
        <item x="172"/>
        <item x="149"/>
        <item x="10"/>
        <item x="296"/>
        <item x="135"/>
        <item x="73"/>
        <item x="122"/>
        <item x="33"/>
        <item x="217"/>
        <item x="69"/>
        <item x="133"/>
        <item x="189"/>
        <item x="90"/>
        <item x="52"/>
        <item x="237"/>
        <item x="30"/>
        <item x="116"/>
        <item x="243"/>
        <item x="279"/>
        <item x="107"/>
        <item x="136"/>
        <item x="366"/>
        <item x="171"/>
        <item x="265"/>
        <item x="156"/>
        <item x="118"/>
        <item x="68"/>
        <item x="184"/>
        <item x="150"/>
        <item x="271"/>
        <item x="129"/>
        <item x="99"/>
        <item x="162"/>
        <item x="64"/>
        <item x="143"/>
        <item x="78"/>
        <item x="257"/>
        <item x="355"/>
        <item x="105"/>
        <item x="235"/>
        <item x="204"/>
        <item x="109"/>
        <item x="13"/>
        <item x="115"/>
        <item x="101"/>
        <item x="241"/>
        <item x="199"/>
        <item x="154"/>
        <item x="205"/>
        <item x="148"/>
        <item x="342"/>
        <item x="80"/>
        <item x="100"/>
        <item x="108"/>
        <item x="161"/>
        <item x="253"/>
        <item x="261"/>
        <item x="92"/>
        <item x="276"/>
        <item x="112"/>
        <item x="28"/>
        <item x="0"/>
        <item x="206"/>
        <item x="181"/>
        <item x="313"/>
        <item x="175"/>
        <item x="197"/>
        <item x="322"/>
        <item x="234"/>
        <item x="317"/>
        <item x="23"/>
        <item x="47"/>
        <item x="94"/>
        <item x="200"/>
        <item x="85"/>
        <item x="62"/>
        <item x="343"/>
        <item x="291"/>
        <item x="248"/>
        <item x="352"/>
        <item x="57"/>
        <item x="138"/>
        <item x="329"/>
        <item x="275"/>
        <item x="365"/>
        <item x="196"/>
        <item x="264"/>
        <item x="170"/>
        <item x="121"/>
        <item x="287"/>
        <item x="157"/>
        <item x="354"/>
        <item x="39"/>
        <item x="246"/>
        <item x="79"/>
        <item x="228"/>
        <item x="106"/>
        <item x="178"/>
        <item x="308"/>
        <item x="232"/>
        <item x="255"/>
        <item x="218"/>
        <item x="74"/>
        <item x="351"/>
        <item x="360"/>
        <item x="292"/>
        <item x="230"/>
        <item x="381"/>
        <item x="5"/>
        <item x="270"/>
        <item x="195"/>
        <item x="339"/>
        <item x="233"/>
        <item x="211"/>
        <item x="324"/>
        <item x="240"/>
        <item x="152"/>
        <item x="335"/>
        <item x="273"/>
        <item x="229"/>
        <item x="282"/>
        <item x="20"/>
        <item x="300"/>
        <item x="250"/>
        <item x="180"/>
        <item x="349"/>
        <item x="278"/>
        <item x="328"/>
        <item x="215"/>
        <item x="293"/>
        <item x="272"/>
        <item x="182"/>
        <item x="325"/>
        <item x="289"/>
        <item x="379"/>
        <item x="245"/>
        <item x="159"/>
        <item x="285"/>
        <item x="268"/>
        <item x="310"/>
        <item x="361"/>
        <item x="137"/>
        <item x="187"/>
        <item x="336"/>
        <item x="283"/>
        <item x="298"/>
        <item x="201"/>
        <item x="225"/>
        <item x="306"/>
        <item x="151"/>
        <item x="330"/>
        <item x="323"/>
        <item x="114"/>
        <item x="370"/>
        <item x="286"/>
        <item x="364"/>
        <item x="251"/>
        <item x="378"/>
        <item x="231"/>
        <item x="266"/>
        <item x="314"/>
        <item x="212"/>
        <item x="315"/>
        <item x="327"/>
        <item x="359"/>
        <item x="247"/>
        <item x="348"/>
        <item x="297"/>
        <item x="288"/>
        <item x="374"/>
        <item x="216"/>
        <item x="267"/>
        <item x="222"/>
        <item x="346"/>
        <item x="307"/>
        <item x="220"/>
        <item x="371"/>
        <item x="358"/>
        <item x="147"/>
        <item x="331"/>
        <item x="242"/>
        <item x="193"/>
        <item x="281"/>
        <item x="299"/>
        <item x="320"/>
        <item x="338"/>
        <item x="238"/>
        <item x="213"/>
        <item x="312"/>
        <item x="302"/>
        <item x="249"/>
        <item x="309"/>
        <item x="376"/>
        <item x="226"/>
        <item x="295"/>
        <item x="214"/>
        <item x="368"/>
        <item x="357"/>
        <item x="305"/>
        <item x="284"/>
        <item x="332"/>
        <item x="373"/>
        <item x="334"/>
        <item x="321"/>
        <item x="318"/>
        <item x="319"/>
        <item x="333"/>
        <item x="221"/>
        <item x="219"/>
        <item x="316"/>
        <item x="294"/>
        <item x="301"/>
        <item x="326"/>
        <item x="380"/>
        <item x="224"/>
        <item x="375"/>
        <item x="337"/>
        <item x="372"/>
        <item x="345"/>
        <item x="303"/>
        <item x="362"/>
        <item x="304"/>
        <item x="223"/>
      </items>
    </pivotField>
    <pivotField dataField="1" showAll="0" defaultSubtotal="0">
      <items count="4">
        <item x="1"/>
        <item x="0"/>
        <item x="2"/>
        <item x="3"/>
      </items>
    </pivotField>
  </pivotFields>
  <rowFields count="3">
    <field x="2"/>
    <field x="6"/>
    <field x="5"/>
  </rowFields>
  <rowItems count="2167">
    <i>
      <x/>
    </i>
    <i r="1">
      <x/>
      <x v="128"/>
    </i>
    <i r="1">
      <x v="1"/>
      <x v="159"/>
    </i>
    <i r="1">
      <x v="2"/>
      <x v="144"/>
    </i>
    <i r="1">
      <x v="3"/>
      <x v="148"/>
    </i>
    <i r="1">
      <x v="4"/>
      <x v="158"/>
    </i>
    <i r="1">
      <x v="5"/>
      <x v="3"/>
    </i>
    <i r="1">
      <x v="6"/>
      <x v="151"/>
    </i>
    <i r="1">
      <x v="7"/>
      <x v="172"/>
    </i>
    <i r="1">
      <x v="8"/>
      <x v="152"/>
    </i>
    <i r="1">
      <x v="9"/>
      <x v="121"/>
    </i>
    <i r="1">
      <x v="10"/>
      <x v="110"/>
    </i>
    <i r="1">
      <x v="11"/>
      <x v="170"/>
    </i>
    <i r="1">
      <x v="12"/>
      <x v="6"/>
    </i>
    <i r="1">
      <x v="13"/>
      <x v="5"/>
    </i>
    <i r="1">
      <x v="14"/>
      <x v="147"/>
    </i>
    <i r="1">
      <x v="15"/>
      <x v="141"/>
    </i>
    <i r="1">
      <x v="16"/>
      <x v="109"/>
    </i>
    <i r="1">
      <x v="17"/>
      <x v="18"/>
    </i>
    <i r="1">
      <x v="18"/>
      <x v="127"/>
    </i>
    <i r="1">
      <x v="19"/>
      <x v="17"/>
    </i>
    <i t="blank">
      <x/>
    </i>
    <i>
      <x v="1"/>
    </i>
    <i r="1">
      <x/>
      <x v="128"/>
    </i>
    <i r="1">
      <x v="1"/>
      <x v="159"/>
    </i>
    <i r="1">
      <x v="2"/>
      <x v="158"/>
    </i>
    <i r="1">
      <x v="3"/>
      <x v="127"/>
    </i>
    <i r="1">
      <x v="4"/>
      <x v="151"/>
    </i>
    <i r="1">
      <x v="5"/>
      <x v="152"/>
    </i>
    <i r="1">
      <x v="6"/>
      <x v="172"/>
    </i>
    <i r="1">
      <x v="7"/>
      <x v="170"/>
    </i>
    <i r="1">
      <x v="8"/>
      <x v="3"/>
    </i>
    <i r="1">
      <x v="9"/>
      <x v="148"/>
    </i>
    <i r="1">
      <x v="10"/>
      <x v="121"/>
    </i>
    <i r="2">
      <x v="141"/>
    </i>
    <i r="1">
      <x v="12"/>
      <x v="110"/>
    </i>
    <i r="1">
      <x v="13"/>
      <x v="6"/>
    </i>
    <i r="1">
      <x v="14"/>
      <x v="5"/>
    </i>
    <i r="1">
      <x v="15"/>
      <x v="129"/>
    </i>
    <i r="1">
      <x v="16"/>
      <x v="115"/>
    </i>
    <i r="1">
      <x v="17"/>
      <x v="147"/>
    </i>
    <i r="1">
      <x v="18"/>
      <x v="18"/>
    </i>
    <i r="1">
      <x v="19"/>
      <x v="17"/>
    </i>
    <i t="blank">
      <x v="1"/>
    </i>
    <i>
      <x v="2"/>
    </i>
    <i r="1">
      <x/>
      <x v="128"/>
    </i>
    <i r="1">
      <x v="1"/>
      <x v="159"/>
    </i>
    <i r="1">
      <x v="2"/>
      <x v="148"/>
    </i>
    <i r="1">
      <x v="3"/>
      <x v="151"/>
    </i>
    <i r="1">
      <x v="4"/>
      <x v="152"/>
    </i>
    <i r="1">
      <x v="5"/>
      <x v="170"/>
    </i>
    <i r="1">
      <x v="6"/>
      <x v="172"/>
    </i>
    <i r="1">
      <x v="7"/>
      <x v="158"/>
    </i>
    <i r="1">
      <x v="8"/>
      <x v="121"/>
    </i>
    <i r="1">
      <x v="9"/>
      <x v="127"/>
    </i>
    <i r="1">
      <x v="10"/>
      <x v="110"/>
    </i>
    <i r="1">
      <x v="11"/>
      <x v="144"/>
    </i>
    <i r="1">
      <x v="12"/>
      <x v="141"/>
    </i>
    <i r="1">
      <x v="13"/>
      <x v="109"/>
    </i>
    <i r="1">
      <x v="14"/>
      <x v="5"/>
    </i>
    <i r="2">
      <x v="101"/>
    </i>
    <i r="1">
      <x v="16"/>
      <x v="108"/>
    </i>
    <i r="1">
      <x v="17"/>
      <x v="157"/>
    </i>
    <i r="2">
      <x v="180"/>
    </i>
    <i r="1">
      <x v="19"/>
      <x v="153"/>
    </i>
    <i t="blank">
      <x v="2"/>
    </i>
    <i>
      <x v="3"/>
    </i>
    <i r="1">
      <x/>
      <x v="128"/>
    </i>
    <i r="1">
      <x v="1"/>
      <x v="159"/>
    </i>
    <i r="1">
      <x v="2"/>
      <x v="158"/>
    </i>
    <i r="1">
      <x v="3"/>
      <x v="151"/>
    </i>
    <i r="1">
      <x v="4"/>
      <x v="148"/>
    </i>
    <i r="1">
      <x v="5"/>
      <x v="3"/>
    </i>
    <i r="1">
      <x v="6"/>
      <x v="172"/>
    </i>
    <i r="1">
      <x v="7"/>
      <x v="110"/>
    </i>
    <i r="1">
      <x v="8"/>
      <x v="121"/>
    </i>
    <i r="1">
      <x v="9"/>
      <x v="144"/>
    </i>
    <i r="1">
      <x v="10"/>
      <x v="6"/>
    </i>
    <i r="1">
      <x v="11"/>
      <x v="141"/>
    </i>
    <i r="1">
      <x v="12"/>
      <x v="5"/>
    </i>
    <i r="1">
      <x v="13"/>
      <x v="180"/>
    </i>
    <i r="1">
      <x v="14"/>
      <x v="115"/>
    </i>
    <i r="1">
      <x v="15"/>
      <x v="17"/>
    </i>
    <i r="1">
      <x v="16"/>
      <x v="147"/>
    </i>
    <i r="1">
      <x v="17"/>
      <x v="152"/>
    </i>
    <i r="1">
      <x v="18"/>
      <x v="170"/>
    </i>
    <i r="1">
      <x v="19"/>
      <x v="127"/>
    </i>
    <i t="blank">
      <x v="3"/>
    </i>
    <i>
      <x v="4"/>
    </i>
    <i r="1">
      <x/>
      <x v="159"/>
    </i>
    <i r="1">
      <x v="1"/>
      <x v="128"/>
    </i>
    <i r="1">
      <x v="2"/>
      <x v="60"/>
    </i>
    <i r="1">
      <x v="3"/>
      <x v="158"/>
    </i>
    <i r="1">
      <x v="4"/>
      <x v="148"/>
    </i>
    <i r="1">
      <x v="5"/>
      <x v="152"/>
    </i>
    <i r="1">
      <x v="6"/>
      <x v="110"/>
    </i>
    <i r="2">
      <x v="127"/>
    </i>
    <i r="1">
      <x v="8"/>
      <x v="5"/>
    </i>
    <i r="2">
      <x v="115"/>
    </i>
    <i r="2">
      <x v="121"/>
    </i>
    <i r="1">
      <x v="11"/>
      <x v="61"/>
    </i>
    <i r="2">
      <x v="170"/>
    </i>
    <i r="1">
      <x v="13"/>
      <x v="3"/>
    </i>
    <i r="2">
      <x v="56"/>
    </i>
    <i r="2">
      <x v="172"/>
    </i>
    <i r="2">
      <x v="180"/>
    </i>
    <i r="1">
      <x v="17"/>
      <x v="151"/>
    </i>
    <i r="1">
      <x v="18"/>
      <x v="141"/>
    </i>
    <i r="1">
      <x v="19"/>
      <x v="14"/>
    </i>
    <i r="2">
      <x v="112"/>
    </i>
    <i t="blank">
      <x v="4"/>
    </i>
    <i>
      <x v="5"/>
    </i>
    <i r="1">
      <x/>
      <x v="128"/>
    </i>
    <i r="1">
      <x v="1"/>
      <x v="159"/>
    </i>
    <i r="1">
      <x v="2"/>
      <x v="148"/>
    </i>
    <i r="1">
      <x v="3"/>
      <x v="151"/>
    </i>
    <i r="1">
      <x v="4"/>
      <x v="152"/>
    </i>
    <i r="1">
      <x v="5"/>
      <x v="158"/>
    </i>
    <i r="1">
      <x v="6"/>
      <x v="172"/>
    </i>
    <i r="1">
      <x v="7"/>
      <x v="121"/>
    </i>
    <i r="1">
      <x v="8"/>
      <x v="115"/>
    </i>
    <i r="1">
      <x v="9"/>
      <x v="3"/>
    </i>
    <i r="2">
      <x v="141"/>
    </i>
    <i r="1">
      <x v="11"/>
      <x v="110"/>
    </i>
    <i r="1">
      <x v="12"/>
      <x v="101"/>
    </i>
    <i r="2">
      <x v="170"/>
    </i>
    <i r="1">
      <x v="14"/>
      <x v="127"/>
    </i>
    <i r="1">
      <x v="15"/>
      <x v="6"/>
    </i>
    <i r="2">
      <x v="180"/>
    </i>
    <i r="1">
      <x v="17"/>
      <x v="5"/>
    </i>
    <i r="2">
      <x v="17"/>
    </i>
    <i r="1">
      <x v="19"/>
      <x v="147"/>
    </i>
    <i t="blank">
      <x v="5"/>
    </i>
    <i>
      <x v="6"/>
    </i>
    <i r="1">
      <x/>
      <x v="128"/>
    </i>
    <i r="1">
      <x v="1"/>
      <x v="159"/>
    </i>
    <i r="1">
      <x v="2"/>
      <x v="152"/>
    </i>
    <i r="1">
      <x v="3"/>
      <x v="151"/>
    </i>
    <i r="1">
      <x v="4"/>
      <x v="148"/>
    </i>
    <i r="1">
      <x v="5"/>
      <x v="172"/>
    </i>
    <i r="1">
      <x v="6"/>
      <x v="158"/>
    </i>
    <i r="1">
      <x v="7"/>
      <x v="127"/>
    </i>
    <i r="1">
      <x v="8"/>
      <x v="3"/>
    </i>
    <i r="2">
      <x v="18"/>
    </i>
    <i r="2">
      <x v="170"/>
    </i>
    <i r="1">
      <x v="11"/>
      <x v="129"/>
    </i>
    <i r="1">
      <x v="12"/>
      <x v="6"/>
    </i>
    <i r="1">
      <x v="13"/>
      <x v="110"/>
    </i>
    <i r="2">
      <x v="121"/>
    </i>
    <i r="1">
      <x v="15"/>
      <x v="94"/>
    </i>
    <i r="1">
      <x v="16"/>
      <x v="115"/>
    </i>
    <i r="1">
      <x v="17"/>
      <x v="5"/>
    </i>
    <i r="2">
      <x v="109"/>
    </i>
    <i r="2">
      <x v="141"/>
    </i>
    <i r="2">
      <x v="156"/>
    </i>
    <i t="blank">
      <x v="6"/>
    </i>
    <i>
      <x v="7"/>
    </i>
    <i r="1">
      <x/>
      <x v="159"/>
    </i>
    <i r="1">
      <x v="1"/>
      <x v="128"/>
    </i>
    <i r="1">
      <x v="2"/>
      <x v="152"/>
    </i>
    <i r="1">
      <x v="3"/>
      <x v="144"/>
    </i>
    <i r="1">
      <x v="4"/>
      <x v="158"/>
    </i>
    <i r="1">
      <x v="5"/>
      <x v="170"/>
    </i>
    <i r="1">
      <x v="6"/>
      <x v="172"/>
    </i>
    <i r="1">
      <x v="7"/>
      <x v="151"/>
    </i>
    <i r="1">
      <x v="8"/>
      <x v="148"/>
    </i>
    <i r="1">
      <x v="9"/>
      <x v="121"/>
    </i>
    <i r="1">
      <x v="10"/>
      <x v="110"/>
    </i>
    <i r="1">
      <x v="11"/>
      <x v="6"/>
    </i>
    <i r="1">
      <x v="12"/>
      <x v="18"/>
    </i>
    <i r="1">
      <x v="13"/>
      <x v="17"/>
    </i>
    <i r="2">
      <x v="147"/>
    </i>
    <i r="1">
      <x v="15"/>
      <x v="112"/>
    </i>
    <i r="2">
      <x v="169"/>
    </i>
    <i r="1">
      <x v="17"/>
      <x v="127"/>
    </i>
    <i r="2">
      <x v="141"/>
    </i>
    <i r="1">
      <x v="19"/>
      <x v="5"/>
    </i>
    <i r="2">
      <x v="7"/>
    </i>
    <i r="2">
      <x v="115"/>
    </i>
    <i t="blank">
      <x v="7"/>
    </i>
    <i>
      <x v="8"/>
    </i>
    <i r="1">
      <x/>
      <x v="159"/>
    </i>
    <i r="1">
      <x v="1"/>
      <x v="128"/>
    </i>
    <i r="1">
      <x v="2"/>
      <x v="148"/>
    </i>
    <i r="1">
      <x v="3"/>
      <x v="3"/>
    </i>
    <i r="2">
      <x v="158"/>
    </i>
    <i r="1">
      <x v="5"/>
      <x v="152"/>
    </i>
    <i r="1">
      <x v="6"/>
      <x v="151"/>
    </i>
    <i r="1">
      <x v="7"/>
      <x v="110"/>
    </i>
    <i r="1">
      <x v="8"/>
      <x v="172"/>
    </i>
    <i r="1">
      <x v="9"/>
      <x v="121"/>
    </i>
    <i r="1">
      <x v="10"/>
      <x v="6"/>
    </i>
    <i r="1">
      <x v="11"/>
      <x v="17"/>
    </i>
    <i r="2">
      <x v="141"/>
    </i>
    <i r="2">
      <x v="180"/>
    </i>
    <i r="1">
      <x v="14"/>
      <x v="108"/>
    </i>
    <i r="1">
      <x v="15"/>
      <x v="147"/>
    </i>
    <i r="1">
      <x v="16"/>
      <x v="8"/>
    </i>
    <i r="2">
      <x v="109"/>
    </i>
    <i r="2">
      <x v="115"/>
    </i>
    <i r="1">
      <x v="19"/>
      <x v="5"/>
    </i>
    <i r="2">
      <x v="91"/>
    </i>
    <i r="2">
      <x v="153"/>
    </i>
    <i t="blank">
      <x v="8"/>
    </i>
    <i>
      <x v="9"/>
    </i>
    <i r="1">
      <x/>
      <x v="159"/>
    </i>
    <i r="1">
      <x v="1"/>
      <x v="128"/>
    </i>
    <i r="1">
      <x v="2"/>
      <x v="152"/>
    </i>
    <i r="1">
      <x v="3"/>
      <x v="158"/>
    </i>
    <i r="1">
      <x v="4"/>
      <x v="148"/>
    </i>
    <i r="1">
      <x v="5"/>
      <x v="151"/>
    </i>
    <i r="1">
      <x v="6"/>
      <x v="3"/>
    </i>
    <i r="1">
      <x v="7"/>
      <x v="121"/>
    </i>
    <i r="2">
      <x v="172"/>
    </i>
    <i r="1">
      <x v="9"/>
      <x v="110"/>
    </i>
    <i r="1">
      <x v="10"/>
      <x v="5"/>
    </i>
    <i r="1">
      <x v="11"/>
      <x v="170"/>
    </i>
    <i r="1">
      <x v="12"/>
      <x v="141"/>
    </i>
    <i r="1">
      <x v="13"/>
      <x v="180"/>
    </i>
    <i r="1">
      <x v="14"/>
      <x v="6"/>
    </i>
    <i r="1">
      <x v="15"/>
      <x v="153"/>
    </i>
    <i r="1">
      <x v="16"/>
      <x v="109"/>
    </i>
    <i r="2">
      <x v="147"/>
    </i>
    <i r="1">
      <x v="18"/>
      <x v="101"/>
    </i>
    <i r="2">
      <x v="108"/>
    </i>
    <i r="2">
      <x v="115"/>
    </i>
    <i t="blank">
      <x v="9"/>
    </i>
    <i>
      <x v="10"/>
    </i>
    <i r="1">
      <x/>
      <x v="128"/>
    </i>
    <i r="1">
      <x v="1"/>
      <x v="159"/>
    </i>
    <i r="1">
      <x v="2"/>
      <x v="148"/>
    </i>
    <i r="1">
      <x v="3"/>
      <x v="158"/>
    </i>
    <i r="2">
      <x v="172"/>
    </i>
    <i r="1">
      <x v="5"/>
      <x v="152"/>
    </i>
    <i r="2">
      <x v="170"/>
    </i>
    <i r="1">
      <x v="7"/>
      <x v="151"/>
    </i>
    <i r="1">
      <x v="8"/>
      <x v="121"/>
    </i>
    <i r="1">
      <x v="9"/>
      <x v="147"/>
    </i>
    <i r="1">
      <x v="10"/>
      <x v="110"/>
    </i>
    <i r="1">
      <x v="11"/>
      <x v="108"/>
    </i>
    <i r="2">
      <x v="124"/>
    </i>
    <i r="1">
      <x v="13"/>
      <x v="3"/>
    </i>
    <i r="2">
      <x v="6"/>
    </i>
    <i r="2">
      <x v="101"/>
    </i>
    <i r="2">
      <x v="109"/>
    </i>
    <i r="1">
      <x v="17"/>
      <x v="8"/>
    </i>
    <i r="2">
      <x v="141"/>
    </i>
    <i r="2">
      <x v="169"/>
    </i>
    <i t="blank">
      <x v="10"/>
    </i>
    <i>
      <x v="11"/>
    </i>
    <i r="1">
      <x/>
      <x v="159"/>
    </i>
    <i r="1">
      <x v="1"/>
      <x v="128"/>
    </i>
    <i r="1">
      <x v="2"/>
      <x v="158"/>
    </i>
    <i r="1">
      <x v="3"/>
      <x v="110"/>
    </i>
    <i r="1">
      <x v="4"/>
      <x v="6"/>
    </i>
    <i r="1">
      <x v="5"/>
      <x v="3"/>
    </i>
    <i r="1">
      <x v="6"/>
      <x v="152"/>
    </i>
    <i r="1">
      <x v="7"/>
      <x v="172"/>
    </i>
    <i r="1">
      <x v="8"/>
      <x v="148"/>
    </i>
    <i r="1">
      <x v="9"/>
      <x v="115"/>
    </i>
    <i r="1">
      <x v="10"/>
      <x v="121"/>
    </i>
    <i r="2">
      <x v="147"/>
    </i>
    <i r="1">
      <x v="12"/>
      <x v="5"/>
    </i>
    <i r="2">
      <x v="141"/>
    </i>
    <i r="2">
      <x v="151"/>
    </i>
    <i r="1">
      <x v="15"/>
      <x v="109"/>
    </i>
    <i r="1">
      <x v="16"/>
      <x v="169"/>
    </i>
    <i r="1">
      <x v="17"/>
      <x v="89"/>
    </i>
    <i r="2">
      <x v="180"/>
    </i>
    <i r="1">
      <x v="19"/>
      <x v="107"/>
    </i>
    <i r="2">
      <x v="108"/>
    </i>
    <i r="2">
      <x v="116"/>
    </i>
    <i r="2">
      <x v="127"/>
    </i>
    <i t="blank">
      <x v="11"/>
    </i>
    <i>
      <x v="12"/>
    </i>
    <i r="1">
      <x/>
      <x v="159"/>
    </i>
    <i r="1">
      <x v="1"/>
      <x v="158"/>
    </i>
    <i r="1">
      <x v="2"/>
      <x v="3"/>
    </i>
    <i r="1">
      <x v="3"/>
      <x v="144"/>
    </i>
    <i r="1">
      <x v="4"/>
      <x v="147"/>
    </i>
    <i r="2">
      <x v="151"/>
    </i>
    <i r="1">
      <x v="6"/>
      <x v="170"/>
    </i>
    <i r="1">
      <x v="7"/>
      <x v="152"/>
    </i>
    <i r="1">
      <x v="8"/>
      <x v="6"/>
    </i>
    <i r="1">
      <x v="9"/>
      <x v="110"/>
    </i>
    <i r="2">
      <x v="148"/>
    </i>
    <i r="1">
      <x v="11"/>
      <x v="180"/>
    </i>
    <i r="1">
      <x v="12"/>
      <x v="8"/>
    </i>
    <i r="2">
      <x v="172"/>
    </i>
    <i r="1">
      <x v="14"/>
      <x v="107"/>
    </i>
    <i r="2">
      <x v="128"/>
    </i>
    <i r="1">
      <x v="16"/>
      <x v="5"/>
    </i>
    <i r="2">
      <x v="169"/>
    </i>
    <i r="1">
      <x v="18"/>
      <x v="109"/>
    </i>
    <i r="2">
      <x v="117"/>
    </i>
    <i r="2">
      <x v="121"/>
    </i>
    <i r="2">
      <x v="174"/>
    </i>
    <i t="blank">
      <x v="12"/>
    </i>
    <i>
      <x v="13"/>
    </i>
    <i r="1">
      <x/>
      <x v="144"/>
    </i>
    <i r="2">
      <x v="159"/>
    </i>
    <i r="1">
      <x v="2"/>
      <x v="158"/>
    </i>
    <i r="1">
      <x v="3"/>
      <x v="5"/>
    </i>
    <i r="2">
      <x v="151"/>
    </i>
    <i r="1">
      <x v="5"/>
      <x v="110"/>
    </i>
    <i r="1">
      <x v="6"/>
      <x v="148"/>
    </i>
    <i r="1">
      <x v="7"/>
      <x v="6"/>
    </i>
    <i r="1">
      <x v="8"/>
      <x v="107"/>
    </i>
    <i r="2">
      <x v="113"/>
    </i>
    <i r="1">
      <x v="10"/>
      <x v="18"/>
    </i>
    <i r="1">
      <x v="11"/>
      <x v="108"/>
    </i>
    <i r="1">
      <x v="12"/>
      <x v="174"/>
    </i>
    <i r="1">
      <x v="13"/>
      <x v="17"/>
    </i>
    <i r="2">
      <x v="147"/>
    </i>
    <i r="1">
      <x v="15"/>
      <x v="3"/>
    </i>
    <i r="2">
      <x v="13"/>
    </i>
    <i r="2">
      <x v="121"/>
    </i>
    <i r="2">
      <x v="128"/>
    </i>
    <i r="2">
      <x v="172"/>
    </i>
    <i t="blank">
      <x v="13"/>
    </i>
    <i>
      <x v="14"/>
    </i>
    <i r="1">
      <x/>
      <x v="144"/>
    </i>
    <i r="1">
      <x v="1"/>
      <x v="159"/>
    </i>
    <i r="1">
      <x v="2"/>
      <x v="3"/>
    </i>
    <i r="1">
      <x v="3"/>
      <x v="148"/>
    </i>
    <i r="2">
      <x v="172"/>
    </i>
    <i r="1">
      <x v="5"/>
      <x v="110"/>
    </i>
    <i r="1">
      <x v="6"/>
      <x v="158"/>
    </i>
    <i r="1">
      <x v="7"/>
      <x v="5"/>
    </i>
    <i r="2">
      <x v="6"/>
    </i>
    <i r="1">
      <x v="9"/>
      <x v="128"/>
    </i>
    <i r="2">
      <x v="174"/>
    </i>
    <i r="1">
      <x v="11"/>
      <x v="156"/>
    </i>
    <i r="1">
      <x v="12"/>
      <x v="17"/>
    </i>
    <i r="2">
      <x v="141"/>
    </i>
    <i r="2">
      <x v="180"/>
    </i>
    <i r="1">
      <x v="15"/>
      <x v="147"/>
    </i>
    <i r="1">
      <x v="16"/>
      <x v="108"/>
    </i>
    <i r="2">
      <x v="121"/>
    </i>
    <i r="1">
      <x v="18"/>
      <x v="170"/>
    </i>
    <i r="1">
      <x v="19"/>
      <x v="18"/>
    </i>
    <i r="2">
      <x v="115"/>
    </i>
    <i r="2">
      <x v="127"/>
    </i>
    <i r="2">
      <x v="149"/>
    </i>
    <i t="blank">
      <x v="14"/>
    </i>
    <i>
      <x v="15"/>
    </i>
    <i r="1">
      <x/>
      <x v="159"/>
    </i>
    <i r="1">
      <x v="1"/>
      <x v="128"/>
    </i>
    <i r="1">
      <x v="2"/>
      <x v="71"/>
    </i>
    <i r="1">
      <x v="3"/>
      <x v="158"/>
    </i>
    <i r="1">
      <x v="4"/>
      <x v="148"/>
    </i>
    <i r="1">
      <x v="5"/>
      <x v="172"/>
    </i>
    <i r="1">
      <x v="6"/>
      <x v="121"/>
    </i>
    <i r="1">
      <x v="7"/>
      <x v="3"/>
    </i>
    <i r="2">
      <x v="170"/>
    </i>
    <i r="2">
      <x v="180"/>
    </i>
    <i r="1">
      <x v="10"/>
      <x v="110"/>
    </i>
    <i r="1">
      <x v="11"/>
      <x v="168"/>
    </i>
    <i r="1">
      <x v="12"/>
      <x v="114"/>
    </i>
    <i r="2">
      <x v="152"/>
    </i>
    <i r="1">
      <x v="14"/>
      <x v="5"/>
    </i>
    <i r="1">
      <x v="15"/>
      <x v="17"/>
    </i>
    <i r="1">
      <x v="16"/>
      <x v="6"/>
    </i>
    <i r="2">
      <x v="108"/>
    </i>
    <i r="2">
      <x v="147"/>
    </i>
    <i r="1">
      <x v="19"/>
      <x v="115"/>
    </i>
    <i t="blank">
      <x v="15"/>
    </i>
    <i>
      <x v="16"/>
    </i>
    <i r="1">
      <x/>
      <x v="159"/>
    </i>
    <i r="1">
      <x v="1"/>
      <x v="148"/>
    </i>
    <i r="1">
      <x v="2"/>
      <x v="128"/>
    </i>
    <i r="2">
      <x v="172"/>
    </i>
    <i r="1">
      <x v="4"/>
      <x v="152"/>
    </i>
    <i r="1">
      <x v="5"/>
      <x v="5"/>
    </i>
    <i r="2">
      <x v="110"/>
    </i>
    <i r="1">
      <x v="7"/>
      <x v="3"/>
    </i>
    <i r="1">
      <x v="8"/>
      <x v="158"/>
    </i>
    <i r="1">
      <x v="9"/>
      <x v="151"/>
    </i>
    <i r="1">
      <x v="10"/>
      <x v="6"/>
    </i>
    <i r="2">
      <x v="180"/>
    </i>
    <i r="1">
      <x v="12"/>
      <x v="141"/>
    </i>
    <i r="1">
      <x v="13"/>
      <x v="121"/>
    </i>
    <i r="1">
      <x v="14"/>
      <x v="115"/>
    </i>
    <i r="1">
      <x v="15"/>
      <x v="147"/>
    </i>
    <i r="2">
      <x v="170"/>
    </i>
    <i r="1">
      <x v="17"/>
      <x v="107"/>
    </i>
    <i r="1">
      <x v="18"/>
      <x v="101"/>
    </i>
    <i r="1">
      <x v="19"/>
      <x v="109"/>
    </i>
    <i t="blank">
      <x v="16"/>
    </i>
    <i>
      <x v="17"/>
    </i>
    <i r="1">
      <x/>
      <x v="128"/>
    </i>
    <i r="1">
      <x v="1"/>
      <x v="159"/>
    </i>
    <i r="1">
      <x v="2"/>
      <x v="158"/>
    </i>
    <i r="1">
      <x v="3"/>
      <x v="3"/>
    </i>
    <i r="1">
      <x v="4"/>
      <x v="148"/>
    </i>
    <i r="1">
      <x v="5"/>
      <x v="172"/>
    </i>
    <i r="1">
      <x v="6"/>
      <x v="151"/>
    </i>
    <i r="1">
      <x v="7"/>
      <x v="152"/>
    </i>
    <i r="2">
      <x v="170"/>
    </i>
    <i r="1">
      <x v="9"/>
      <x v="18"/>
    </i>
    <i r="2">
      <x v="115"/>
    </i>
    <i r="2">
      <x v="121"/>
    </i>
    <i r="1">
      <x v="12"/>
      <x v="110"/>
    </i>
    <i r="1">
      <x v="13"/>
      <x v="147"/>
    </i>
    <i r="1">
      <x v="14"/>
      <x v="5"/>
    </i>
    <i r="2">
      <x v="141"/>
    </i>
    <i r="2">
      <x v="180"/>
    </i>
    <i r="1">
      <x v="17"/>
      <x v="61"/>
    </i>
    <i r="1">
      <x v="18"/>
      <x v="17"/>
    </i>
    <i r="2">
      <x v="109"/>
    </i>
    <i r="2">
      <x v="153"/>
    </i>
    <i r="2">
      <x v="157"/>
    </i>
    <i t="blank">
      <x v="17"/>
    </i>
    <i>
      <x v="18"/>
    </i>
    <i r="1">
      <x/>
      <x v="3"/>
    </i>
    <i r="1">
      <x v="1"/>
      <x v="159"/>
    </i>
    <i r="1">
      <x v="2"/>
      <x v="110"/>
    </i>
    <i r="1">
      <x v="3"/>
      <x v="158"/>
    </i>
    <i r="1">
      <x v="4"/>
      <x v="148"/>
    </i>
    <i r="1">
      <x v="5"/>
      <x v="17"/>
    </i>
    <i r="1">
      <x v="6"/>
      <x v="18"/>
    </i>
    <i r="1">
      <x v="7"/>
      <x v="172"/>
    </i>
    <i r="1">
      <x v="8"/>
      <x v="128"/>
    </i>
    <i r="2">
      <x v="152"/>
    </i>
    <i r="1">
      <x v="10"/>
      <x v="6"/>
    </i>
    <i r="2">
      <x v="121"/>
    </i>
    <i r="1">
      <x v="12"/>
      <x v="5"/>
    </i>
    <i r="2">
      <x v="8"/>
    </i>
    <i r="2">
      <x v="151"/>
    </i>
    <i r="1">
      <x v="15"/>
      <x v="115"/>
    </i>
    <i r="2">
      <x v="141"/>
    </i>
    <i r="2">
      <x v="147"/>
    </i>
    <i r="2">
      <x v="168"/>
    </i>
    <i r="1">
      <x v="19"/>
      <x v="107"/>
    </i>
    <i r="2">
      <x v="144"/>
    </i>
    <i r="2">
      <x v="169"/>
    </i>
    <i r="2">
      <x v="174"/>
    </i>
    <i t="blank">
      <x v="18"/>
    </i>
    <i>
      <x v="19"/>
    </i>
    <i r="1">
      <x/>
      <x v="159"/>
    </i>
    <i r="1">
      <x v="1"/>
      <x v="128"/>
    </i>
    <i r="1">
      <x v="2"/>
      <x v="148"/>
    </i>
    <i r="1">
      <x v="3"/>
      <x v="3"/>
    </i>
    <i r="1">
      <x v="4"/>
      <x v="170"/>
    </i>
    <i r="1">
      <x v="5"/>
      <x v="158"/>
    </i>
    <i r="1">
      <x v="6"/>
      <x v="172"/>
    </i>
    <i r="1">
      <x v="7"/>
      <x v="110"/>
    </i>
    <i r="1">
      <x v="8"/>
      <x v="6"/>
    </i>
    <i r="2">
      <x v="18"/>
    </i>
    <i r="2">
      <x v="153"/>
    </i>
    <i r="1">
      <x v="11"/>
      <x v="5"/>
    </i>
    <i r="1">
      <x v="12"/>
      <x v="109"/>
    </i>
    <i r="1">
      <x v="13"/>
      <x v="169"/>
    </i>
    <i r="1">
      <x v="14"/>
      <x v="17"/>
    </i>
    <i r="2">
      <x v="108"/>
    </i>
    <i r="2">
      <x v="152"/>
    </i>
    <i r="1">
      <x v="17"/>
      <x v="157"/>
    </i>
    <i r="1">
      <x v="18"/>
      <x v="115"/>
    </i>
    <i r="2">
      <x v="121"/>
    </i>
    <i r="2">
      <x v="149"/>
    </i>
    <i r="2">
      <x v="151"/>
    </i>
    <i t="blank">
      <x v="19"/>
    </i>
    <i>
      <x v="20"/>
    </i>
    <i r="1">
      <x/>
      <x v="6"/>
    </i>
    <i r="1">
      <x v="1"/>
      <x v="144"/>
    </i>
    <i r="2">
      <x v="159"/>
    </i>
    <i r="1">
      <x v="3"/>
      <x v="3"/>
    </i>
    <i r="2">
      <x v="147"/>
    </i>
    <i r="1">
      <x v="5"/>
      <x v="17"/>
    </i>
    <i r="2">
      <x v="109"/>
    </i>
    <i r="2">
      <x v="158"/>
    </i>
    <i r="2">
      <x v="172"/>
    </i>
    <i r="1">
      <x v="9"/>
      <x v="8"/>
    </i>
    <i r="2">
      <x v="107"/>
    </i>
    <i r="2">
      <x v="110"/>
    </i>
    <i r="2">
      <x v="152"/>
    </i>
    <i r="1">
      <x v="13"/>
      <x v="12"/>
    </i>
    <i r="2">
      <x v="56"/>
    </i>
    <i r="2">
      <x v="90"/>
    </i>
    <i r="2">
      <x v="101"/>
    </i>
    <i r="2">
      <x v="102"/>
    </i>
    <i r="2">
      <x v="105"/>
    </i>
    <i r="2">
      <x v="117"/>
    </i>
    <i r="2">
      <x v="128"/>
    </i>
    <i r="2">
      <x v="141"/>
    </i>
    <i r="2">
      <x v="148"/>
    </i>
    <i r="2">
      <x v="164"/>
    </i>
    <i r="2">
      <x v="165"/>
    </i>
    <i r="2">
      <x v="170"/>
    </i>
    <i t="blank">
      <x v="20"/>
    </i>
    <i>
      <x v="21"/>
    </i>
    <i r="1">
      <x/>
      <x v="144"/>
    </i>
    <i r="1">
      <x v="1"/>
      <x v="3"/>
    </i>
    <i r="1">
      <x v="2"/>
      <x v="89"/>
    </i>
    <i r="1">
      <x v="3"/>
      <x v="17"/>
    </i>
    <i r="2">
      <x v="121"/>
    </i>
    <i r="2">
      <x v="158"/>
    </i>
    <i r="2">
      <x v="169"/>
    </i>
    <i r="1">
      <x v="7"/>
      <x v="5"/>
    </i>
    <i r="2">
      <x v="6"/>
    </i>
    <i r="2">
      <x v="94"/>
    </i>
    <i r="2">
      <x v="108"/>
    </i>
    <i r="2">
      <x v="117"/>
    </i>
    <i r="2">
      <x v="157"/>
    </i>
    <i r="2">
      <x v="170"/>
    </i>
    <i r="2">
      <x v="180"/>
    </i>
    <i r="1">
      <x v="15"/>
      <x v="7"/>
    </i>
    <i r="2">
      <x v="8"/>
    </i>
    <i r="2">
      <x v="13"/>
    </i>
    <i r="2">
      <x v="29"/>
    </i>
    <i r="2">
      <x v="72"/>
    </i>
    <i r="2">
      <x v="75"/>
    </i>
    <i r="2">
      <x v="104"/>
    </i>
    <i r="2">
      <x v="109"/>
    </i>
    <i r="2">
      <x v="114"/>
    </i>
    <i r="2">
      <x v="115"/>
    </i>
    <i r="2">
      <x v="146"/>
    </i>
    <i r="2">
      <x v="147"/>
    </i>
    <i r="2">
      <x v="148"/>
    </i>
    <i r="2">
      <x v="153"/>
    </i>
    <i r="2">
      <x v="159"/>
    </i>
    <i t="blank">
      <x v="21"/>
    </i>
    <i>
      <x v="22"/>
    </i>
    <i r="1">
      <x/>
      <x v="144"/>
    </i>
    <i r="1">
      <x v="1"/>
      <x v="117"/>
    </i>
    <i r="1">
      <x v="2"/>
      <x v="147"/>
    </i>
    <i r="2">
      <x v="148"/>
    </i>
    <i r="2">
      <x v="158"/>
    </i>
    <i r="1">
      <x v="5"/>
      <x v="8"/>
    </i>
    <i r="2">
      <x v="87"/>
    </i>
    <i r="2">
      <x v="105"/>
    </i>
    <i r="2">
      <x v="121"/>
    </i>
    <i r="2">
      <x v="145"/>
    </i>
    <i r="2">
      <x v="180"/>
    </i>
    <i r="1">
      <x v="11"/>
      <x v="3"/>
    </i>
    <i r="2">
      <x v="5"/>
    </i>
    <i r="2">
      <x v="6"/>
    </i>
    <i r="2">
      <x v="12"/>
    </i>
    <i r="2">
      <x v="18"/>
    </i>
    <i r="2">
      <x v="26"/>
    </i>
    <i r="2">
      <x v="33"/>
    </i>
    <i r="2">
      <x v="47"/>
    </i>
    <i r="2">
      <x v="74"/>
    </i>
    <i r="2">
      <x v="76"/>
    </i>
    <i r="2">
      <x v="83"/>
    </i>
    <i r="2">
      <x v="89"/>
    </i>
    <i r="2">
      <x v="90"/>
    </i>
    <i r="2">
      <x v="94"/>
    </i>
    <i r="2">
      <x v="110"/>
    </i>
    <i r="2">
      <x v="116"/>
    </i>
    <i r="2">
      <x v="122"/>
    </i>
    <i r="2">
      <x v="123"/>
    </i>
    <i r="2">
      <x v="128"/>
    </i>
    <i r="2">
      <x v="130"/>
    </i>
    <i r="2">
      <x v="134"/>
    </i>
    <i r="2">
      <x v="140"/>
    </i>
    <i r="2">
      <x v="153"/>
    </i>
    <i r="2">
      <x v="155"/>
    </i>
    <i r="2">
      <x v="159"/>
    </i>
    <i r="2">
      <x v="167"/>
    </i>
    <i r="2">
      <x v="168"/>
    </i>
    <i r="2">
      <x v="170"/>
    </i>
    <i r="2">
      <x v="172"/>
    </i>
    <i r="2">
      <x v="181"/>
    </i>
    <i r="2">
      <x v="183"/>
    </i>
    <i t="blank">
      <x v="22"/>
    </i>
    <i>
      <x v="23"/>
    </i>
    <i r="1">
      <x/>
      <x v="6"/>
    </i>
    <i r="1">
      <x v="1"/>
      <x v="8"/>
    </i>
    <i r="2">
      <x v="144"/>
    </i>
    <i r="1">
      <x v="3"/>
      <x v="5"/>
    </i>
    <i r="2">
      <x v="109"/>
    </i>
    <i r="2">
      <x v="117"/>
    </i>
    <i r="2">
      <x v="146"/>
    </i>
    <i r="2">
      <x v="159"/>
    </i>
    <i r="2">
      <x v="168"/>
    </i>
    <i r="1">
      <x v="9"/>
      <x/>
    </i>
    <i r="2">
      <x v="3"/>
    </i>
    <i r="2">
      <x v="10"/>
    </i>
    <i r="2">
      <x v="17"/>
    </i>
    <i r="2">
      <x v="18"/>
    </i>
    <i r="2">
      <x v="29"/>
    </i>
    <i r="2">
      <x v="73"/>
    </i>
    <i r="2">
      <x v="76"/>
    </i>
    <i r="2">
      <x v="78"/>
    </i>
    <i r="2">
      <x v="83"/>
    </i>
    <i r="2">
      <x v="90"/>
    </i>
    <i r="2">
      <x v="107"/>
    </i>
    <i r="2">
      <x v="114"/>
    </i>
    <i r="2">
      <x v="121"/>
    </i>
    <i r="2">
      <x v="125"/>
    </i>
    <i r="2">
      <x v="141"/>
    </i>
    <i r="2">
      <x v="153"/>
    </i>
    <i r="2">
      <x v="158"/>
    </i>
    <i r="2">
      <x v="160"/>
    </i>
    <i r="2">
      <x v="166"/>
    </i>
    <i r="2">
      <x v="185"/>
    </i>
    <i t="blank">
      <x v="23"/>
    </i>
    <i>
      <x v="24"/>
    </i>
    <i r="1">
      <x/>
      <x v="3"/>
    </i>
    <i r="1">
      <x v="1"/>
      <x v="8"/>
    </i>
    <i r="2">
      <x v="14"/>
    </i>
    <i r="2">
      <x v="33"/>
    </i>
    <i r="2">
      <x v="168"/>
    </i>
    <i r="1">
      <x v="5"/>
      <x v="4"/>
    </i>
    <i r="2">
      <x v="7"/>
    </i>
    <i r="2">
      <x v="12"/>
    </i>
    <i r="2">
      <x v="16"/>
    </i>
    <i r="2">
      <x v="17"/>
    </i>
    <i r="2">
      <x v="22"/>
    </i>
    <i r="2">
      <x v="45"/>
    </i>
    <i r="2">
      <x v="107"/>
    </i>
    <i r="2">
      <x v="109"/>
    </i>
    <i r="2">
      <x v="110"/>
    </i>
    <i r="2">
      <x v="113"/>
    </i>
    <i r="2">
      <x v="117"/>
    </i>
    <i r="2">
      <x v="122"/>
    </i>
    <i r="2">
      <x v="144"/>
    </i>
    <i r="2">
      <x v="158"/>
    </i>
    <i r="2">
      <x v="165"/>
    </i>
    <i r="2">
      <x v="172"/>
    </i>
    <i r="2">
      <x v="175"/>
    </i>
    <i t="blank">
      <x v="24"/>
    </i>
    <i>
      <x v="25"/>
    </i>
    <i r="1">
      <x/>
      <x v="6"/>
    </i>
    <i r="1">
      <x v="1"/>
      <x v="159"/>
    </i>
    <i r="1">
      <x v="2"/>
      <x v="3"/>
    </i>
    <i r="1">
      <x v="3"/>
      <x v="180"/>
    </i>
    <i r="1">
      <x v="4"/>
      <x v="158"/>
    </i>
    <i r="1">
      <x v="5"/>
      <x v="8"/>
    </i>
    <i r="2">
      <x v="121"/>
    </i>
    <i r="2">
      <x v="148"/>
    </i>
    <i r="1">
      <x v="8"/>
      <x v="17"/>
    </i>
    <i r="2">
      <x v="110"/>
    </i>
    <i r="1">
      <x v="10"/>
      <x v="18"/>
    </i>
    <i r="2">
      <x v="144"/>
    </i>
    <i r="1">
      <x v="12"/>
      <x v="61"/>
    </i>
    <i r="2">
      <x v="117"/>
    </i>
    <i r="2">
      <x v="128"/>
    </i>
    <i r="2">
      <x v="172"/>
    </i>
    <i r="1">
      <x v="16"/>
      <x v="5"/>
    </i>
    <i r="2">
      <x v="13"/>
    </i>
    <i r="2">
      <x v="16"/>
    </i>
    <i r="2">
      <x v="107"/>
    </i>
    <i r="2">
      <x v="145"/>
    </i>
    <i r="2">
      <x v="164"/>
    </i>
    <i t="blank">
      <x v="25"/>
    </i>
    <i>
      <x v="26"/>
    </i>
    <i r="1">
      <x/>
      <x v="148"/>
    </i>
    <i r="1">
      <x v="1"/>
      <x v="144"/>
    </i>
    <i r="1">
      <x v="2"/>
      <x v="109"/>
    </i>
    <i r="2">
      <x v="121"/>
    </i>
    <i r="2">
      <x v="146"/>
    </i>
    <i r="1">
      <x v="5"/>
      <x v="102"/>
    </i>
    <i r="2">
      <x v="153"/>
    </i>
    <i r="1">
      <x v="7"/>
      <x v="108"/>
    </i>
    <i r="2">
      <x v="128"/>
    </i>
    <i r="1">
      <x v="9"/>
      <x v="101"/>
    </i>
    <i r="1">
      <x v="10"/>
      <x v="126"/>
    </i>
    <i r="1">
      <x v="11"/>
      <x v="6"/>
    </i>
    <i r="1">
      <x v="12"/>
      <x v="125"/>
    </i>
    <i r="2">
      <x v="159"/>
    </i>
    <i r="1">
      <x v="14"/>
      <x v="5"/>
    </i>
    <i r="1">
      <x v="15"/>
      <x v="130"/>
    </i>
    <i r="2">
      <x v="145"/>
    </i>
    <i r="1">
      <x v="17"/>
      <x v="147"/>
    </i>
    <i r="1">
      <x v="18"/>
      <x v="3"/>
    </i>
    <i r="2">
      <x v="114"/>
    </i>
    <i t="blank">
      <x v="26"/>
    </i>
    <i>
      <x v="27"/>
    </i>
    <i r="1">
      <x/>
      <x v="148"/>
    </i>
    <i r="1">
      <x v="1"/>
      <x v="3"/>
    </i>
    <i r="2">
      <x v="159"/>
    </i>
    <i r="1">
      <x v="3"/>
      <x v="151"/>
    </i>
    <i r="1">
      <x v="4"/>
      <x v="128"/>
    </i>
    <i r="2">
      <x v="158"/>
    </i>
    <i r="1">
      <x v="6"/>
      <x v="5"/>
    </i>
    <i r="2">
      <x v="144"/>
    </i>
    <i r="2">
      <x v="152"/>
    </i>
    <i r="1">
      <x v="9"/>
      <x v="153"/>
    </i>
    <i r="2">
      <x v="172"/>
    </i>
    <i r="1">
      <x v="11"/>
      <x v="6"/>
    </i>
    <i r="2">
      <x v="109"/>
    </i>
    <i r="1">
      <x v="13"/>
      <x v="115"/>
    </i>
    <i r="2">
      <x v="141"/>
    </i>
    <i r="2">
      <x v="170"/>
    </i>
    <i r="1">
      <x v="16"/>
      <x v="14"/>
    </i>
    <i r="2">
      <x v="18"/>
    </i>
    <i r="2">
      <x v="108"/>
    </i>
    <i r="2">
      <x v="110"/>
    </i>
    <i r="2">
      <x v="117"/>
    </i>
    <i r="2">
      <x v="165"/>
    </i>
    <i t="blank">
      <x v="27"/>
    </i>
    <i>
      <x v="28"/>
    </i>
    <i r="1">
      <x/>
      <x v="144"/>
    </i>
    <i r="1">
      <x v="1"/>
      <x v="18"/>
    </i>
    <i r="2">
      <x v="147"/>
    </i>
    <i r="2">
      <x v="158"/>
    </i>
    <i r="1">
      <x v="4"/>
      <x v="3"/>
    </i>
    <i r="2">
      <x v="107"/>
    </i>
    <i r="2">
      <x v="110"/>
    </i>
    <i r="2">
      <x v="117"/>
    </i>
    <i r="2">
      <x v="159"/>
    </i>
    <i r="1">
      <x v="9"/>
      <x v="146"/>
    </i>
    <i r="2">
      <x v="148"/>
    </i>
    <i r="2">
      <x v="149"/>
    </i>
    <i r="2">
      <x v="151"/>
    </i>
    <i r="2">
      <x v="170"/>
    </i>
    <i r="2">
      <x v="180"/>
    </i>
    <i r="1">
      <x v="15"/>
      <x v="5"/>
    </i>
    <i r="2">
      <x v="6"/>
    </i>
    <i r="2">
      <x v="14"/>
    </i>
    <i r="2">
      <x v="121"/>
    </i>
    <i r="2">
      <x v="141"/>
    </i>
    <i r="2">
      <x v="145"/>
    </i>
    <i r="2">
      <x v="157"/>
    </i>
    <i r="2">
      <x v="169"/>
    </i>
    <i t="blank">
      <x v="28"/>
    </i>
    <i>
      <x v="29"/>
    </i>
    <i r="1">
      <x/>
      <x v="159"/>
    </i>
    <i r="1">
      <x v="1"/>
      <x v="7"/>
    </i>
    <i r="2">
      <x v="144"/>
    </i>
    <i r="2">
      <x v="149"/>
    </i>
    <i r="1">
      <x v="4"/>
      <x v="3"/>
    </i>
    <i r="2">
      <x v="6"/>
    </i>
    <i r="2">
      <x v="16"/>
    </i>
    <i r="2">
      <x v="18"/>
    </i>
    <i r="2">
      <x v="42"/>
    </i>
    <i r="2">
      <x v="56"/>
    </i>
    <i r="2">
      <x v="107"/>
    </i>
    <i r="2">
      <x v="109"/>
    </i>
    <i r="2">
      <x v="117"/>
    </i>
    <i r="2">
      <x v="141"/>
    </i>
    <i r="2">
      <x v="147"/>
    </i>
    <i r="2">
      <x v="168"/>
    </i>
    <i r="2">
      <x v="170"/>
    </i>
    <i r="2">
      <x v="172"/>
    </i>
    <i r="2">
      <x v="185"/>
    </i>
    <i r="1">
      <x v="19"/>
      <x v="5"/>
    </i>
    <i r="2">
      <x v="8"/>
    </i>
    <i r="2">
      <x v="9"/>
    </i>
    <i r="2">
      <x v="20"/>
    </i>
    <i r="2">
      <x v="60"/>
    </i>
    <i r="2">
      <x v="64"/>
    </i>
    <i r="2">
      <x v="108"/>
    </i>
    <i r="2">
      <x v="110"/>
    </i>
    <i r="2">
      <x v="116"/>
    </i>
    <i r="2">
      <x v="151"/>
    </i>
    <i r="2">
      <x v="158"/>
    </i>
    <i r="2">
      <x v="173"/>
    </i>
    <i r="2">
      <x v="175"/>
    </i>
    <i r="2">
      <x v="176"/>
    </i>
    <i r="2">
      <x v="180"/>
    </i>
    <i t="blank">
      <x v="29"/>
    </i>
    <i>
      <x v="30"/>
    </i>
    <i r="1">
      <x/>
      <x v="144"/>
    </i>
    <i r="1">
      <x v="1"/>
      <x v="3"/>
    </i>
    <i r="2">
      <x v="147"/>
    </i>
    <i r="1">
      <x v="3"/>
      <x v="6"/>
    </i>
    <i r="1">
      <x v="4"/>
      <x v="148"/>
    </i>
    <i r="1">
      <x v="5"/>
      <x v="145"/>
    </i>
    <i r="2">
      <x v="159"/>
    </i>
    <i r="1">
      <x v="7"/>
      <x v="110"/>
    </i>
    <i r="1">
      <x v="8"/>
      <x v="16"/>
    </i>
    <i r="2">
      <x v="49"/>
    </i>
    <i r="2">
      <x v="107"/>
    </i>
    <i r="2">
      <x v="117"/>
    </i>
    <i r="1">
      <x v="12"/>
      <x v="5"/>
    </i>
    <i r="2">
      <x v="7"/>
    </i>
    <i r="2">
      <x v="13"/>
    </i>
    <i r="2">
      <x v="57"/>
    </i>
    <i r="2">
      <x v="105"/>
    </i>
    <i r="2">
      <x v="109"/>
    </i>
    <i r="2">
      <x v="112"/>
    </i>
    <i r="2">
      <x v="141"/>
    </i>
    <i r="2">
      <x v="152"/>
    </i>
    <i r="2">
      <x v="156"/>
    </i>
    <i r="2">
      <x v="158"/>
    </i>
    <i t="blank">
      <x v="30"/>
    </i>
    <i>
      <x v="31"/>
    </i>
    <i r="1">
      <x/>
      <x v="159"/>
    </i>
    <i r="1">
      <x v="1"/>
      <x v="128"/>
    </i>
    <i r="1">
      <x v="2"/>
      <x v="148"/>
    </i>
    <i r="1">
      <x v="3"/>
      <x v="158"/>
    </i>
    <i r="1">
      <x v="4"/>
      <x v="151"/>
    </i>
    <i r="1">
      <x v="5"/>
      <x v="5"/>
    </i>
    <i r="2">
      <x v="109"/>
    </i>
    <i r="1">
      <x v="7"/>
      <x v="115"/>
    </i>
    <i r="2">
      <x v="147"/>
    </i>
    <i r="2">
      <x v="152"/>
    </i>
    <i r="1">
      <x v="10"/>
      <x v="3"/>
    </i>
    <i r="2">
      <x v="54"/>
    </i>
    <i r="2">
      <x v="108"/>
    </i>
    <i r="2">
      <x v="110"/>
    </i>
    <i r="2">
      <x v="121"/>
    </i>
    <i r="2">
      <x v="127"/>
    </i>
    <i r="2">
      <x v="153"/>
    </i>
    <i r="2">
      <x v="170"/>
    </i>
    <i r="1">
      <x v="18"/>
      <x v="6"/>
    </i>
    <i r="1">
      <x v="19"/>
      <x v="61"/>
    </i>
    <i r="2">
      <x v="144"/>
    </i>
    <i r="2">
      <x v="172"/>
    </i>
    <i t="blank">
      <x v="31"/>
    </i>
    <i>
      <x v="32"/>
    </i>
    <i r="1">
      <x/>
      <x v="144"/>
    </i>
    <i r="1">
      <x v="1"/>
      <x v="6"/>
    </i>
    <i r="2">
      <x v="159"/>
    </i>
    <i r="1">
      <x v="3"/>
      <x v="3"/>
    </i>
    <i r="2">
      <x v="148"/>
    </i>
    <i r="2">
      <x v="170"/>
    </i>
    <i r="2">
      <x v="172"/>
    </i>
    <i r="1">
      <x v="7"/>
      <x v="149"/>
    </i>
    <i r="1">
      <x v="8"/>
      <x v="5"/>
    </i>
    <i r="2">
      <x v="108"/>
    </i>
    <i r="1">
      <x v="10"/>
      <x v="147"/>
    </i>
    <i r="2">
      <x v="153"/>
    </i>
    <i r="2">
      <x v="156"/>
    </i>
    <i r="2">
      <x v="180"/>
    </i>
    <i r="1">
      <x v="14"/>
      <x v="79"/>
    </i>
    <i r="2">
      <x v="158"/>
    </i>
    <i r="1">
      <x v="16"/>
      <x v="7"/>
    </i>
    <i r="2">
      <x v="8"/>
    </i>
    <i r="2">
      <x v="49"/>
    </i>
    <i r="2">
      <x v="68"/>
    </i>
    <i r="2">
      <x v="115"/>
    </i>
    <i r="2">
      <x v="145"/>
    </i>
    <i t="blank">
      <x v="32"/>
    </i>
    <i>
      <x v="33"/>
    </i>
    <i r="1">
      <x/>
      <x v="144"/>
    </i>
    <i r="1">
      <x v="1"/>
      <x v="3"/>
    </i>
    <i r="1">
      <x v="2"/>
      <x v="5"/>
    </i>
    <i r="2">
      <x v="17"/>
    </i>
    <i r="2">
      <x v="153"/>
    </i>
    <i r="1">
      <x v="5"/>
      <x v="6"/>
    </i>
    <i r="1">
      <x v="6"/>
      <x v="18"/>
    </i>
    <i r="2">
      <x v="159"/>
    </i>
    <i r="1">
      <x v="8"/>
      <x v="8"/>
    </i>
    <i r="2">
      <x v="56"/>
    </i>
    <i r="2">
      <x v="110"/>
    </i>
    <i r="2">
      <x v="122"/>
    </i>
    <i r="2">
      <x v="141"/>
    </i>
    <i r="2">
      <x v="145"/>
    </i>
    <i r="1">
      <x v="14"/>
      <x v="14"/>
    </i>
    <i r="2">
      <x v="108"/>
    </i>
    <i r="2">
      <x v="149"/>
    </i>
    <i r="2">
      <x v="158"/>
    </i>
    <i r="2">
      <x v="170"/>
    </i>
    <i r="2">
      <x v="180"/>
    </i>
    <i t="blank">
      <x v="33"/>
    </i>
    <i>
      <x v="34"/>
    </i>
    <i r="1">
      <x/>
      <x v="159"/>
    </i>
    <i r="1">
      <x v="1"/>
      <x v="128"/>
    </i>
    <i r="1">
      <x v="2"/>
      <x v="3"/>
    </i>
    <i r="2">
      <x v="5"/>
    </i>
    <i r="2">
      <x v="147"/>
    </i>
    <i r="2">
      <x v="152"/>
    </i>
    <i r="1">
      <x v="6"/>
      <x v="151"/>
    </i>
    <i r="1">
      <x v="7"/>
      <x v="60"/>
    </i>
    <i r="2">
      <x v="109"/>
    </i>
    <i r="1">
      <x v="9"/>
      <x v="18"/>
    </i>
    <i r="2">
      <x v="62"/>
    </i>
    <i r="2">
      <x v="115"/>
    </i>
    <i r="2">
      <x v="158"/>
    </i>
    <i r="2">
      <x v="170"/>
    </i>
    <i r="1">
      <x v="14"/>
      <x v="6"/>
    </i>
    <i r="2">
      <x v="17"/>
    </i>
    <i r="2">
      <x v="121"/>
    </i>
    <i r="2">
      <x v="141"/>
    </i>
    <i r="1">
      <x v="18"/>
      <x v="172"/>
    </i>
    <i r="1">
      <x v="19"/>
      <x v="9"/>
    </i>
    <i r="2">
      <x v="61"/>
    </i>
    <i r="2">
      <x v="117"/>
    </i>
    <i r="2">
      <x v="157"/>
    </i>
    <i r="2">
      <x v="171"/>
    </i>
    <i t="blank">
      <x v="34"/>
    </i>
    <i>
      <x v="35"/>
    </i>
    <i r="1">
      <x/>
      <x v="159"/>
    </i>
    <i r="1">
      <x v="1"/>
      <x v="60"/>
    </i>
    <i r="1">
      <x v="2"/>
      <x v="110"/>
    </i>
    <i r="1">
      <x v="3"/>
      <x v="148"/>
    </i>
    <i r="2">
      <x v="151"/>
    </i>
    <i r="1">
      <x v="5"/>
      <x v="128"/>
    </i>
    <i r="1">
      <x v="6"/>
      <x v="6"/>
    </i>
    <i r="2">
      <x v="158"/>
    </i>
    <i r="1">
      <x v="8"/>
      <x v="152"/>
    </i>
    <i r="1">
      <x v="9"/>
      <x v="61"/>
    </i>
    <i r="2">
      <x v="109"/>
    </i>
    <i r="2">
      <x v="115"/>
    </i>
    <i r="1">
      <x v="12"/>
      <x v="5"/>
    </i>
    <i r="2">
      <x v="8"/>
    </i>
    <i r="1">
      <x v="14"/>
      <x v="37"/>
    </i>
    <i r="2">
      <x v="170"/>
    </i>
    <i r="2">
      <x v="172"/>
    </i>
    <i r="1">
      <x v="17"/>
      <x v="68"/>
    </i>
    <i r="2">
      <x v="101"/>
    </i>
    <i r="2">
      <x v="180"/>
    </i>
    <i t="blank">
      <x v="35"/>
    </i>
    <i>
      <x v="36"/>
    </i>
    <i r="1">
      <x/>
      <x v="159"/>
    </i>
    <i r="1">
      <x v="1"/>
      <x v="3"/>
    </i>
    <i r="1">
      <x v="2"/>
      <x v="172"/>
    </i>
    <i r="1">
      <x v="3"/>
      <x v="148"/>
    </i>
    <i r="1">
      <x v="4"/>
      <x v="108"/>
    </i>
    <i r="2">
      <x v="170"/>
    </i>
    <i r="1">
      <x v="6"/>
      <x v="5"/>
    </i>
    <i r="2">
      <x v="141"/>
    </i>
    <i r="2">
      <x v="152"/>
    </i>
    <i r="2">
      <x v="158"/>
    </i>
    <i r="1">
      <x v="10"/>
      <x v="6"/>
    </i>
    <i r="2">
      <x v="8"/>
    </i>
    <i r="1">
      <x v="12"/>
      <x v="135"/>
    </i>
    <i r="2">
      <x v="151"/>
    </i>
    <i r="2">
      <x v="153"/>
    </i>
    <i r="2">
      <x v="180"/>
    </i>
    <i r="1">
      <x v="16"/>
      <x v="7"/>
    </i>
    <i r="2">
      <x v="14"/>
    </i>
    <i r="2">
      <x v="18"/>
    </i>
    <i r="2">
      <x v="60"/>
    </i>
    <i r="2">
      <x v="101"/>
    </i>
    <i r="2">
      <x v="110"/>
    </i>
    <i r="2">
      <x v="147"/>
    </i>
    <i r="2">
      <x v="169"/>
    </i>
    <i t="blank">
      <x v="36"/>
    </i>
    <i>
      <x v="37"/>
    </i>
    <i r="1">
      <x/>
      <x v="159"/>
    </i>
    <i r="1">
      <x v="1"/>
      <x v="170"/>
    </i>
    <i r="1">
      <x v="2"/>
      <x v="110"/>
    </i>
    <i r="2">
      <x v="158"/>
    </i>
    <i r="2">
      <x v="172"/>
    </i>
    <i r="1">
      <x v="5"/>
      <x v="3"/>
    </i>
    <i r="1">
      <x v="6"/>
      <x v="60"/>
    </i>
    <i r="2">
      <x v="128"/>
    </i>
    <i r="2">
      <x v="180"/>
    </i>
    <i r="1">
      <x v="9"/>
      <x v="5"/>
    </i>
    <i r="1">
      <x v="10"/>
      <x v="17"/>
    </i>
    <i r="2">
      <x v="52"/>
    </i>
    <i r="2">
      <x v="119"/>
    </i>
    <i r="2">
      <x v="148"/>
    </i>
    <i r="1">
      <x v="14"/>
      <x v="18"/>
    </i>
    <i r="2">
      <x v="56"/>
    </i>
    <i r="2">
      <x v="91"/>
    </i>
    <i r="2">
      <x v="94"/>
    </i>
    <i r="2">
      <x v="121"/>
    </i>
    <i r="2">
      <x v="157"/>
    </i>
    <i r="2">
      <x v="161"/>
    </i>
    <i t="blank">
      <x v="37"/>
    </i>
    <i>
      <x v="38"/>
    </i>
    <i r="1">
      <x/>
      <x v="148"/>
    </i>
    <i r="2">
      <x v="159"/>
    </i>
    <i r="1">
      <x v="2"/>
      <x v="3"/>
    </i>
    <i r="2">
      <x v="5"/>
    </i>
    <i r="2">
      <x v="9"/>
    </i>
    <i r="2">
      <x v="172"/>
    </i>
    <i r="1">
      <x v="6"/>
      <x v="108"/>
    </i>
    <i r="1">
      <x v="7"/>
      <x v="109"/>
    </i>
    <i r="2">
      <x v="117"/>
    </i>
    <i r="2">
      <x v="180"/>
    </i>
    <i r="1">
      <x v="10"/>
      <x v="6"/>
    </i>
    <i r="2">
      <x v="7"/>
    </i>
    <i r="2">
      <x v="8"/>
    </i>
    <i r="2">
      <x v="16"/>
    </i>
    <i r="2">
      <x v="17"/>
    </i>
    <i r="2">
      <x v="18"/>
    </i>
    <i r="2">
      <x v="28"/>
    </i>
    <i r="2">
      <x v="33"/>
    </i>
    <i r="2">
      <x v="42"/>
    </i>
    <i r="2">
      <x v="46"/>
    </i>
    <i r="2">
      <x v="62"/>
    </i>
    <i r="2">
      <x v="115"/>
    </i>
    <i r="2">
      <x v="145"/>
    </i>
    <i r="2">
      <x v="152"/>
    </i>
    <i r="2">
      <x v="158"/>
    </i>
    <i r="2">
      <x v="168"/>
    </i>
    <i t="blank">
      <x v="38"/>
    </i>
    <i>
      <x v="39"/>
    </i>
    <i r="1">
      <x/>
      <x v="159"/>
    </i>
    <i r="1">
      <x v="1"/>
      <x v="172"/>
    </i>
    <i r="1">
      <x v="2"/>
      <x v="108"/>
    </i>
    <i r="2">
      <x v="148"/>
    </i>
    <i r="2">
      <x v="158"/>
    </i>
    <i r="1">
      <x v="5"/>
      <x v="5"/>
    </i>
    <i r="2">
      <x v="8"/>
    </i>
    <i r="2">
      <x v="121"/>
    </i>
    <i r="1">
      <x v="8"/>
      <x v="6"/>
    </i>
    <i r="2">
      <x v="112"/>
    </i>
    <i r="2">
      <x v="115"/>
    </i>
    <i r="2">
      <x v="169"/>
    </i>
    <i r="1">
      <x v="12"/>
      <x v="3"/>
    </i>
    <i r="2">
      <x v="13"/>
    </i>
    <i r="2">
      <x v="17"/>
    </i>
    <i r="2">
      <x v="18"/>
    </i>
    <i r="2">
      <x v="74"/>
    </i>
    <i r="2">
      <x v="110"/>
    </i>
    <i r="2">
      <x v="128"/>
    </i>
    <i r="2">
      <x v="134"/>
    </i>
    <i r="2">
      <x v="147"/>
    </i>
    <i r="2">
      <x v="170"/>
    </i>
    <i t="blank">
      <x v="39"/>
    </i>
    <i>
      <x v="40"/>
    </i>
    <i r="1">
      <x/>
      <x v="159"/>
    </i>
    <i r="1">
      <x v="1"/>
      <x v="148"/>
    </i>
    <i r="1">
      <x v="2"/>
      <x v="172"/>
    </i>
    <i r="1">
      <x v="3"/>
      <x v="3"/>
    </i>
    <i r="1">
      <x v="4"/>
      <x v="152"/>
    </i>
    <i r="2">
      <x v="158"/>
    </i>
    <i r="1">
      <x v="6"/>
      <x v="6"/>
    </i>
    <i r="2">
      <x v="9"/>
    </i>
    <i r="1">
      <x v="8"/>
      <x v="74"/>
    </i>
    <i r="2">
      <x v="110"/>
    </i>
    <i r="2">
      <x v="117"/>
    </i>
    <i r="2">
      <x v="121"/>
    </i>
    <i r="2">
      <x v="128"/>
    </i>
    <i r="2">
      <x v="151"/>
    </i>
    <i r="1">
      <x v="14"/>
      <x v="5"/>
    </i>
    <i r="2">
      <x v="115"/>
    </i>
    <i r="2">
      <x v="185"/>
    </i>
    <i r="1">
      <x v="17"/>
      <x v="15"/>
    </i>
    <i r="2">
      <x v="17"/>
    </i>
    <i r="2">
      <x v="18"/>
    </i>
    <i r="2">
      <x v="108"/>
    </i>
    <i r="2">
      <x v="169"/>
    </i>
    <i r="2">
      <x v="170"/>
    </i>
    <i t="blank">
      <x v="40"/>
    </i>
    <i>
      <x v="41"/>
    </i>
    <i r="1">
      <x/>
      <x v="159"/>
    </i>
    <i r="1">
      <x v="1"/>
      <x v="148"/>
    </i>
    <i r="1">
      <x v="2"/>
      <x v="110"/>
    </i>
    <i r="1">
      <x v="3"/>
      <x v="3"/>
    </i>
    <i r="2">
      <x v="6"/>
    </i>
    <i r="2">
      <x v="151"/>
    </i>
    <i r="2">
      <x v="172"/>
    </i>
    <i r="1">
      <x v="7"/>
      <x v="5"/>
    </i>
    <i r="1">
      <x v="8"/>
      <x v="18"/>
    </i>
    <i r="2">
      <x v="121"/>
    </i>
    <i r="2">
      <x v="141"/>
    </i>
    <i r="2">
      <x v="157"/>
    </i>
    <i r="2">
      <x v="158"/>
    </i>
    <i r="2">
      <x v="185"/>
    </i>
    <i r="1">
      <x v="14"/>
      <x v="15"/>
    </i>
    <i r="2">
      <x v="56"/>
    </i>
    <i r="2">
      <x v="152"/>
    </i>
    <i r="1">
      <x v="17"/>
      <x v="52"/>
    </i>
    <i r="2">
      <x v="101"/>
    </i>
    <i r="2">
      <x v="109"/>
    </i>
    <i r="2">
      <x v="112"/>
    </i>
    <i r="2">
      <x v="115"/>
    </i>
    <i r="2">
      <x v="117"/>
    </i>
    <i r="2">
      <x v="124"/>
    </i>
    <i r="2">
      <x v="135"/>
    </i>
    <i r="2">
      <x v="165"/>
    </i>
    <i r="2">
      <x v="169"/>
    </i>
    <i t="blank">
      <x v="41"/>
    </i>
    <i>
      <x v="42"/>
    </i>
    <i r="1">
      <x/>
      <x v="3"/>
    </i>
    <i r="1">
      <x v="1"/>
      <x v="5"/>
    </i>
    <i r="1">
      <x v="2"/>
      <x v="8"/>
    </i>
    <i r="2">
      <x v="158"/>
    </i>
    <i r="1">
      <x v="4"/>
      <x v="6"/>
    </i>
    <i r="2">
      <x v="107"/>
    </i>
    <i r="1">
      <x v="6"/>
      <x v="18"/>
    </i>
    <i r="2">
      <x v="110"/>
    </i>
    <i r="2">
      <x v="117"/>
    </i>
    <i r="2">
      <x v="159"/>
    </i>
    <i r="1">
      <x v="10"/>
      <x v="14"/>
    </i>
    <i r="2">
      <x v="17"/>
    </i>
    <i r="2">
      <x v="101"/>
    </i>
    <i r="2">
      <x v="104"/>
    </i>
    <i r="2">
      <x v="113"/>
    </i>
    <i r="2">
      <x v="115"/>
    </i>
    <i r="2">
      <x v="148"/>
    </i>
    <i r="2">
      <x v="170"/>
    </i>
    <i r="2">
      <x v="185"/>
    </i>
    <i r="1">
      <x v="19"/>
      <x/>
    </i>
    <i r="2">
      <x v="2"/>
    </i>
    <i r="2">
      <x v="15"/>
    </i>
    <i r="2">
      <x v="72"/>
    </i>
    <i r="2">
      <x v="91"/>
    </i>
    <i r="2">
      <x v="118"/>
    </i>
    <i r="2">
      <x v="123"/>
    </i>
    <i r="2">
      <x v="141"/>
    </i>
    <i r="2">
      <x v="144"/>
    </i>
    <i r="2">
      <x v="147"/>
    </i>
    <i r="2">
      <x v="149"/>
    </i>
    <i r="2">
      <x v="172"/>
    </i>
    <i r="2">
      <x v="176"/>
    </i>
    <i r="2">
      <x v="180"/>
    </i>
    <i t="blank">
      <x v="42"/>
    </i>
    <i>
      <x v="43"/>
    </i>
    <i r="1">
      <x/>
      <x v="6"/>
    </i>
    <i r="1">
      <x v="1"/>
      <x v="3"/>
    </i>
    <i r="2">
      <x v="172"/>
    </i>
    <i r="1">
      <x v="3"/>
      <x v="159"/>
    </i>
    <i r="1">
      <x v="4"/>
      <x v="121"/>
    </i>
    <i r="2">
      <x v="147"/>
    </i>
    <i r="1">
      <x v="6"/>
      <x v="105"/>
    </i>
    <i r="2">
      <x v="109"/>
    </i>
    <i r="2">
      <x v="149"/>
    </i>
    <i r="2">
      <x v="153"/>
    </i>
    <i r="1">
      <x v="10"/>
      <x v="108"/>
    </i>
    <i r="2">
      <x v="170"/>
    </i>
    <i r="1">
      <x v="12"/>
      <x v="18"/>
    </i>
    <i r="2">
      <x v="148"/>
    </i>
    <i r="1">
      <x v="14"/>
      <x v="5"/>
    </i>
    <i r="2">
      <x v="12"/>
    </i>
    <i r="2">
      <x v="14"/>
    </i>
    <i r="2">
      <x v="115"/>
    </i>
    <i r="2">
      <x v="118"/>
    </i>
    <i r="2">
      <x v="158"/>
    </i>
    <i t="blank">
      <x v="43"/>
    </i>
    <i>
      <x v="44"/>
    </i>
    <i r="1">
      <x/>
      <x v="147"/>
    </i>
    <i r="1">
      <x v="1"/>
      <x v="3"/>
    </i>
    <i r="2">
      <x v="117"/>
    </i>
    <i r="2">
      <x v="148"/>
    </i>
    <i r="2">
      <x v="167"/>
    </i>
    <i r="1">
      <x v="5"/>
      <x v="5"/>
    </i>
    <i r="2">
      <x v="15"/>
    </i>
    <i r="2">
      <x v="75"/>
    </i>
    <i r="2">
      <x v="107"/>
    </i>
    <i r="2">
      <x v="108"/>
    </i>
    <i r="2">
      <x v="109"/>
    </i>
    <i r="2">
      <x v="118"/>
    </i>
    <i r="2">
      <x v="119"/>
    </i>
    <i r="2">
      <x v="145"/>
    </i>
    <i r="2">
      <x v="146"/>
    </i>
    <i r="2">
      <x v="149"/>
    </i>
    <i r="2">
      <x v="153"/>
    </i>
    <i r="2">
      <x v="158"/>
    </i>
    <i r="2">
      <x v="165"/>
    </i>
    <i r="2">
      <x v="172"/>
    </i>
    <i r="2">
      <x v="174"/>
    </i>
    <i r="2">
      <x v="177"/>
    </i>
    <i r="2">
      <x v="178"/>
    </i>
    <i r="2">
      <x v="180"/>
    </i>
    <i t="blank">
      <x v="44"/>
    </i>
    <i>
      <x v="45"/>
    </i>
    <i r="1">
      <x/>
      <x v="175"/>
    </i>
    <i r="1">
      <x v="1"/>
      <x v="3"/>
    </i>
    <i r="2">
      <x v="22"/>
    </i>
    <i r="2">
      <x v="112"/>
    </i>
    <i r="2">
      <x v="118"/>
    </i>
    <i r="2">
      <x v="158"/>
    </i>
    <i r="1">
      <x v="6"/>
      <x v="7"/>
    </i>
    <i r="2">
      <x v="8"/>
    </i>
    <i r="2">
      <x v="12"/>
    </i>
    <i r="2">
      <x v="26"/>
    </i>
    <i r="2">
      <x v="80"/>
    </i>
    <i r="2">
      <x v="89"/>
    </i>
    <i r="2">
      <x v="104"/>
    </i>
    <i r="2">
      <x v="105"/>
    </i>
    <i r="2">
      <x v="107"/>
    </i>
    <i r="2">
      <x v="110"/>
    </i>
    <i r="2">
      <x v="113"/>
    </i>
    <i r="2">
      <x v="117"/>
    </i>
    <i r="2">
      <x v="128"/>
    </i>
    <i r="2">
      <x v="133"/>
    </i>
    <i r="2">
      <x v="148"/>
    </i>
    <i r="2">
      <x v="149"/>
    </i>
    <i r="2">
      <x v="153"/>
    </i>
    <i r="2">
      <x v="154"/>
    </i>
    <i r="2">
      <x v="159"/>
    </i>
    <i r="2">
      <x v="170"/>
    </i>
    <i r="2">
      <x v="172"/>
    </i>
    <i r="2">
      <x v="180"/>
    </i>
    <i t="blank">
      <x v="45"/>
    </i>
    <i>
      <x v="46"/>
    </i>
    <i r="1">
      <x/>
      <x v="3"/>
    </i>
    <i r="1">
      <x v="1"/>
      <x v="6"/>
    </i>
    <i r="2">
      <x v="8"/>
    </i>
    <i r="1">
      <x v="3"/>
      <x v="7"/>
    </i>
    <i r="2">
      <x v="110"/>
    </i>
    <i r="2">
      <x v="117"/>
    </i>
    <i r="2">
      <x v="158"/>
    </i>
    <i r="1">
      <x v="7"/>
      <x v="74"/>
    </i>
    <i r="2">
      <x v="112"/>
    </i>
    <i r="2">
      <x v="121"/>
    </i>
    <i r="2">
      <x v="172"/>
    </i>
    <i r="1">
      <x v="11"/>
      <x v="5"/>
    </i>
    <i r="2">
      <x v="12"/>
    </i>
    <i r="2">
      <x v="16"/>
    </i>
    <i r="2">
      <x v="18"/>
    </i>
    <i r="2">
      <x v="35"/>
    </i>
    <i r="2">
      <x v="99"/>
    </i>
    <i r="2">
      <x v="106"/>
    </i>
    <i r="2">
      <x v="116"/>
    </i>
    <i r="2">
      <x v="150"/>
    </i>
    <i r="2">
      <x v="159"/>
    </i>
    <i r="2">
      <x v="170"/>
    </i>
    <i r="2">
      <x v="180"/>
    </i>
    <i t="blank">
      <x v="46"/>
    </i>
    <i>
      <x v="47"/>
    </i>
    <i r="1">
      <x/>
      <x v="105"/>
    </i>
    <i r="2">
      <x v="117"/>
    </i>
    <i r="2">
      <x v="144"/>
    </i>
    <i r="1">
      <x v="3"/>
      <x v="6"/>
    </i>
    <i r="2">
      <x v="22"/>
    </i>
    <i r="2">
      <x v="32"/>
    </i>
    <i r="2">
      <x v="36"/>
    </i>
    <i r="2">
      <x v="81"/>
    </i>
    <i r="2">
      <x v="89"/>
    </i>
    <i r="2">
      <x v="104"/>
    </i>
    <i r="2">
      <x v="109"/>
    </i>
    <i r="2">
      <x v="110"/>
    </i>
    <i r="2">
      <x v="118"/>
    </i>
    <i r="2">
      <x v="131"/>
    </i>
    <i r="2">
      <x v="137"/>
    </i>
    <i r="2">
      <x v="146"/>
    </i>
    <i r="2">
      <x v="153"/>
    </i>
    <i r="2">
      <x v="168"/>
    </i>
    <i r="2">
      <x v="170"/>
    </i>
    <i r="2">
      <x v="171"/>
    </i>
    <i r="2">
      <x v="174"/>
    </i>
    <i t="blank">
      <x v="47"/>
    </i>
    <i>
      <x v="48"/>
    </i>
    <i r="1">
      <x/>
      <x v="3"/>
    </i>
    <i r="1">
      <x v="1"/>
      <x v="109"/>
    </i>
    <i r="1">
      <x v="2"/>
      <x v="104"/>
    </i>
    <i r="2">
      <x v="121"/>
    </i>
    <i r="2">
      <x v="144"/>
    </i>
    <i r="2">
      <x v="158"/>
    </i>
    <i r="1">
      <x v="6"/>
      <x v="117"/>
    </i>
    <i r="2">
      <x v="156"/>
    </i>
    <i r="2">
      <x v="159"/>
    </i>
    <i r="1">
      <x v="9"/>
      <x v="2"/>
    </i>
    <i r="2">
      <x v="6"/>
    </i>
    <i r="2">
      <x v="17"/>
    </i>
    <i r="2">
      <x v="18"/>
    </i>
    <i r="2">
      <x v="22"/>
    </i>
    <i r="2">
      <x v="23"/>
    </i>
    <i r="2">
      <x v="37"/>
    </i>
    <i r="2">
      <x v="75"/>
    </i>
    <i r="2">
      <x v="77"/>
    </i>
    <i r="2">
      <x v="82"/>
    </i>
    <i r="2">
      <x v="90"/>
    </i>
    <i r="2">
      <x v="101"/>
    </i>
    <i r="2">
      <x v="107"/>
    </i>
    <i r="2">
      <x v="108"/>
    </i>
    <i r="2">
      <x v="114"/>
    </i>
    <i r="2">
      <x v="118"/>
    </i>
    <i r="2">
      <x v="128"/>
    </i>
    <i r="2">
      <x v="147"/>
    </i>
    <i r="2">
      <x v="151"/>
    </i>
    <i r="2">
      <x v="152"/>
    </i>
    <i r="2">
      <x v="170"/>
    </i>
    <i r="2">
      <x v="172"/>
    </i>
    <i r="2">
      <x v="175"/>
    </i>
    <i r="2">
      <x v="177"/>
    </i>
    <i r="2">
      <x v="178"/>
    </i>
    <i r="2">
      <x v="179"/>
    </i>
    <i t="blank">
      <x v="48"/>
    </i>
    <i>
      <x v="49"/>
    </i>
    <i r="1">
      <x/>
      <x v="147"/>
    </i>
    <i r="1">
      <x v="1"/>
      <x v="117"/>
    </i>
    <i r="2">
      <x v="121"/>
    </i>
    <i r="1">
      <x v="3"/>
      <x v="3"/>
    </i>
    <i r="2">
      <x v="6"/>
    </i>
    <i r="2">
      <x v="15"/>
    </i>
    <i r="2">
      <x v="16"/>
    </i>
    <i r="2">
      <x v="18"/>
    </i>
    <i r="2">
      <x v="24"/>
    </i>
    <i r="2">
      <x v="109"/>
    </i>
    <i r="2">
      <x v="110"/>
    </i>
    <i r="1">
      <x v="11"/>
      <x/>
    </i>
    <i r="2">
      <x v="8"/>
    </i>
    <i r="2">
      <x v="10"/>
    </i>
    <i r="2">
      <x v="12"/>
    </i>
    <i r="2">
      <x v="14"/>
    </i>
    <i r="2">
      <x v="17"/>
    </i>
    <i r="2">
      <x v="19"/>
    </i>
    <i r="2">
      <x v="26"/>
    </i>
    <i r="2">
      <x v="66"/>
    </i>
    <i r="2">
      <x v="82"/>
    </i>
    <i r="2">
      <x v="93"/>
    </i>
    <i r="2">
      <x v="101"/>
    </i>
    <i r="2">
      <x v="102"/>
    </i>
    <i r="2">
      <x v="104"/>
    </i>
    <i r="2">
      <x v="105"/>
    </i>
    <i r="2">
      <x v="107"/>
    </i>
    <i r="2">
      <x v="108"/>
    </i>
    <i r="2">
      <x v="112"/>
    </i>
    <i r="2">
      <x v="114"/>
    </i>
    <i r="2">
      <x v="151"/>
    </i>
    <i r="2">
      <x v="152"/>
    </i>
    <i r="2">
      <x v="155"/>
    </i>
    <i r="2">
      <x v="157"/>
    </i>
    <i r="2">
      <x v="158"/>
    </i>
    <i r="2">
      <x v="159"/>
    </i>
    <i r="2">
      <x v="164"/>
    </i>
    <i r="2">
      <x v="170"/>
    </i>
    <i r="2">
      <x v="171"/>
    </i>
    <i r="2">
      <x v="172"/>
    </i>
    <i r="2">
      <x v="175"/>
    </i>
    <i r="2">
      <x v="178"/>
    </i>
    <i t="blank">
      <x v="49"/>
    </i>
    <i>
      <x v="50"/>
    </i>
    <i r="1">
      <x/>
      <x v="8"/>
    </i>
    <i r="1">
      <x v="1"/>
      <x v="16"/>
    </i>
    <i r="2">
      <x v="18"/>
    </i>
    <i r="2">
      <x v="159"/>
    </i>
    <i r="1">
      <x v="4"/>
      <x v="110"/>
    </i>
    <i r="2">
      <x v="148"/>
    </i>
    <i r="1">
      <x v="6"/>
      <x v="3"/>
    </i>
    <i r="2">
      <x v="6"/>
    </i>
    <i r="2">
      <x v="107"/>
    </i>
    <i r="2">
      <x v="128"/>
    </i>
    <i r="2">
      <x v="176"/>
    </i>
    <i r="1">
      <x v="11"/>
      <x v="109"/>
    </i>
    <i r="1">
      <x v="12"/>
      <x v="5"/>
    </i>
    <i r="2">
      <x v="7"/>
    </i>
    <i r="2">
      <x v="12"/>
    </i>
    <i r="2">
      <x v="14"/>
    </i>
    <i r="2">
      <x v="15"/>
    </i>
    <i r="2">
      <x v="25"/>
    </i>
    <i r="2">
      <x v="122"/>
    </i>
    <i r="2">
      <x v="134"/>
    </i>
    <i r="2">
      <x v="157"/>
    </i>
    <i r="2">
      <x v="158"/>
    </i>
    <i r="2">
      <x v="172"/>
    </i>
    <i r="2">
      <x v="173"/>
    </i>
    <i t="blank">
      <x v="50"/>
    </i>
    <i>
      <x v="51"/>
    </i>
    <i r="1">
      <x/>
      <x v="3"/>
    </i>
    <i r="1">
      <x v="1"/>
      <x v="5"/>
    </i>
    <i r="1">
      <x v="2"/>
      <x v="159"/>
    </i>
    <i r="1">
      <x v="3"/>
      <x v="151"/>
    </i>
    <i r="2">
      <x v="172"/>
    </i>
    <i r="1">
      <x v="5"/>
      <x v="6"/>
    </i>
    <i r="2">
      <x v="8"/>
    </i>
    <i r="2">
      <x v="14"/>
    </i>
    <i r="2">
      <x v="15"/>
    </i>
    <i r="2">
      <x v="148"/>
    </i>
    <i r="1">
      <x v="10"/>
      <x v="121"/>
    </i>
    <i r="2">
      <x v="128"/>
    </i>
    <i r="2">
      <x v="134"/>
    </i>
    <i r="2">
      <x v="158"/>
    </i>
    <i r="2">
      <x v="170"/>
    </i>
    <i r="1">
      <x v="15"/>
      <x v="7"/>
    </i>
    <i r="2">
      <x v="12"/>
    </i>
    <i r="2">
      <x v="13"/>
    </i>
    <i r="2">
      <x v="16"/>
    </i>
    <i r="2">
      <x v="17"/>
    </i>
    <i r="2">
      <x v="24"/>
    </i>
    <i r="2">
      <x v="53"/>
    </i>
    <i r="2">
      <x v="60"/>
    </i>
    <i r="2">
      <x v="68"/>
    </i>
    <i r="2">
      <x v="90"/>
    </i>
    <i r="2">
      <x v="93"/>
    </i>
    <i r="2">
      <x v="107"/>
    </i>
    <i r="2">
      <x v="117"/>
    </i>
    <i r="2">
      <x v="141"/>
    </i>
    <i r="2">
      <x v="144"/>
    </i>
    <i r="2">
      <x v="169"/>
    </i>
    <i r="2">
      <x v="171"/>
    </i>
    <i r="2">
      <x v="175"/>
    </i>
    <i r="2">
      <x v="179"/>
    </i>
    <i r="2">
      <x v="181"/>
    </i>
    <i t="blank">
      <x v="51"/>
    </i>
    <i>
      <x v="52"/>
    </i>
    <i r="1">
      <x/>
      <x v="145"/>
    </i>
    <i r="1">
      <x v="1"/>
      <x v="144"/>
    </i>
    <i r="1">
      <x v="2"/>
      <x v="109"/>
    </i>
    <i r="2">
      <x v="147"/>
    </i>
    <i r="1">
      <x v="4"/>
      <x v="23"/>
    </i>
    <i r="2">
      <x v="108"/>
    </i>
    <i r="2">
      <x v="117"/>
    </i>
    <i r="2">
      <x v="149"/>
    </i>
    <i r="2">
      <x v="168"/>
    </i>
    <i r="2">
      <x v="178"/>
    </i>
    <i r="1">
      <x v="10"/>
      <x/>
    </i>
    <i r="2">
      <x v="3"/>
    </i>
    <i r="2">
      <x v="21"/>
    </i>
    <i r="2">
      <x v="22"/>
    </i>
    <i r="2">
      <x v="24"/>
    </i>
    <i r="2">
      <x v="27"/>
    </i>
    <i r="2">
      <x v="39"/>
    </i>
    <i r="2">
      <x v="49"/>
    </i>
    <i r="2">
      <x v="76"/>
    </i>
    <i r="2">
      <x v="88"/>
    </i>
    <i r="2">
      <x v="101"/>
    </i>
    <i r="2">
      <x v="102"/>
    </i>
    <i r="2">
      <x v="104"/>
    </i>
    <i r="2">
      <x v="105"/>
    </i>
    <i r="2">
      <x v="110"/>
    </i>
    <i r="2">
      <x v="121"/>
    </i>
    <i r="2">
      <x v="141"/>
    </i>
    <i r="2">
      <x v="143"/>
    </i>
    <i r="2">
      <x v="148"/>
    </i>
    <i r="2">
      <x v="153"/>
    </i>
    <i r="2">
      <x v="158"/>
    </i>
    <i r="2">
      <x v="159"/>
    </i>
    <i r="2">
      <x v="167"/>
    </i>
    <i r="2">
      <x v="170"/>
    </i>
    <i r="2">
      <x v="176"/>
    </i>
    <i t="blank">
      <x v="52"/>
    </i>
    <i>
      <x v="53"/>
    </i>
    <i r="1">
      <x/>
      <x v="109"/>
    </i>
    <i r="2">
      <x v="129"/>
    </i>
    <i r="1">
      <x v="2"/>
      <x v="6"/>
    </i>
    <i r="2">
      <x v="159"/>
    </i>
    <i r="1">
      <x v="4"/>
      <x v="29"/>
    </i>
    <i r="2">
      <x v="32"/>
    </i>
    <i r="2">
      <x v="147"/>
    </i>
    <i r="1">
      <x v="7"/>
      <x v="8"/>
    </i>
    <i r="2">
      <x v="91"/>
    </i>
    <i r="2">
      <x v="158"/>
    </i>
    <i r="1">
      <x v="10"/>
      <x v="17"/>
    </i>
    <i r="2">
      <x v="112"/>
    </i>
    <i r="2">
      <x v="116"/>
    </i>
    <i r="2">
      <x v="117"/>
    </i>
    <i r="2">
      <x v="128"/>
    </i>
    <i r="2">
      <x v="141"/>
    </i>
    <i r="2">
      <x v="144"/>
    </i>
    <i r="2">
      <x v="152"/>
    </i>
    <i r="2">
      <x v="170"/>
    </i>
    <i r="2">
      <x v="172"/>
    </i>
    <i t="blank">
      <x v="53"/>
    </i>
    <i>
      <x v="54"/>
    </i>
    <i r="1">
      <x/>
      <x v="121"/>
    </i>
    <i r="1">
      <x v="1"/>
      <x v="144"/>
    </i>
    <i r="1">
      <x v="2"/>
      <x v="32"/>
    </i>
    <i r="1">
      <x v="3"/>
      <x v="3"/>
    </i>
    <i r="1">
      <x v="4"/>
      <x v="29"/>
    </i>
    <i r="1">
      <x v="5"/>
      <x v="5"/>
    </i>
    <i r="1">
      <x v="6"/>
      <x v="17"/>
    </i>
    <i r="2">
      <x v="91"/>
    </i>
    <i r="2">
      <x v="117"/>
    </i>
    <i r="2">
      <x v="147"/>
    </i>
    <i r="2">
      <x v="153"/>
    </i>
    <i r="1">
      <x v="11"/>
      <x v="31"/>
    </i>
    <i r="2">
      <x v="107"/>
    </i>
    <i r="2">
      <x v="108"/>
    </i>
    <i r="2">
      <x v="158"/>
    </i>
    <i r="1">
      <x v="15"/>
      <x v="8"/>
    </i>
    <i r="2">
      <x v="110"/>
    </i>
    <i r="2">
      <x v="159"/>
    </i>
    <i r="1">
      <x v="18"/>
      <x v="18"/>
    </i>
    <i r="2">
      <x v="97"/>
    </i>
    <i r="2">
      <x v="109"/>
    </i>
    <i r="2">
      <x v="170"/>
    </i>
    <i r="2">
      <x v="180"/>
    </i>
    <i t="blank">
      <x v="54"/>
    </i>
    <i>
      <x v="55"/>
    </i>
    <i r="1">
      <x/>
      <x v="6"/>
    </i>
    <i r="2">
      <x v="144"/>
    </i>
    <i r="2">
      <x v="159"/>
    </i>
    <i r="1">
      <x v="3"/>
      <x v="122"/>
    </i>
    <i r="1">
      <x v="4"/>
      <x v="151"/>
    </i>
    <i r="1">
      <x v="5"/>
      <x v="3"/>
    </i>
    <i r="2">
      <x v="17"/>
    </i>
    <i r="2">
      <x v="32"/>
    </i>
    <i r="2">
      <x v="107"/>
    </i>
    <i r="2">
      <x v="170"/>
    </i>
    <i r="1">
      <x v="10"/>
      <x v="12"/>
    </i>
    <i r="2">
      <x v="15"/>
    </i>
    <i r="2">
      <x v="108"/>
    </i>
    <i r="2">
      <x v="112"/>
    </i>
    <i r="2">
      <x v="147"/>
    </i>
    <i r="2">
      <x v="158"/>
    </i>
    <i r="1">
      <x v="16"/>
      <x v="5"/>
    </i>
    <i r="2">
      <x v="8"/>
    </i>
    <i r="2">
      <x v="9"/>
    </i>
    <i r="2">
      <x v="14"/>
    </i>
    <i r="2">
      <x v="30"/>
    </i>
    <i r="2">
      <x v="33"/>
    </i>
    <i r="2">
      <x v="48"/>
    </i>
    <i r="2">
      <x v="52"/>
    </i>
    <i r="2">
      <x v="54"/>
    </i>
    <i r="2">
      <x v="91"/>
    </i>
    <i r="2">
      <x v="105"/>
    </i>
    <i r="2">
      <x v="109"/>
    </i>
    <i r="2">
      <x v="113"/>
    </i>
    <i r="2">
      <x v="114"/>
    </i>
    <i r="2">
      <x v="115"/>
    </i>
    <i r="2">
      <x v="127"/>
    </i>
    <i r="2">
      <x v="132"/>
    </i>
    <i r="2">
      <x v="149"/>
    </i>
    <i r="2">
      <x v="164"/>
    </i>
    <i r="2">
      <x v="172"/>
    </i>
    <i t="blank">
      <x v="55"/>
    </i>
    <i>
      <x v="56"/>
    </i>
    <i r="1">
      <x/>
      <x v="144"/>
    </i>
    <i r="1">
      <x v="1"/>
      <x v="115"/>
    </i>
    <i r="1">
      <x v="2"/>
      <x v="3"/>
    </i>
    <i r="1">
      <x v="3"/>
      <x v="29"/>
    </i>
    <i r="2">
      <x v="102"/>
    </i>
    <i r="2">
      <x v="121"/>
    </i>
    <i r="2">
      <x v="149"/>
    </i>
    <i r="1">
      <x v="7"/>
      <x/>
    </i>
    <i r="2">
      <x v="6"/>
    </i>
    <i r="2">
      <x v="7"/>
    </i>
    <i r="2">
      <x v="11"/>
    </i>
    <i r="2">
      <x v="76"/>
    </i>
    <i r="2">
      <x v="88"/>
    </i>
    <i r="2">
      <x v="90"/>
    </i>
    <i r="2">
      <x v="107"/>
    </i>
    <i r="2">
      <x v="109"/>
    </i>
    <i r="2">
      <x v="117"/>
    </i>
    <i r="2">
      <x v="139"/>
    </i>
    <i r="2">
      <x v="141"/>
    </i>
    <i r="2">
      <x v="145"/>
    </i>
    <i r="2">
      <x v="148"/>
    </i>
    <i r="2">
      <x v="158"/>
    </i>
    <i r="2">
      <x v="159"/>
    </i>
    <i r="2">
      <x v="164"/>
    </i>
    <i r="2">
      <x v="165"/>
    </i>
    <i t="blank">
      <x v="56"/>
    </i>
    <i>
      <x v="57"/>
    </i>
    <i r="1">
      <x/>
      <x v="3"/>
    </i>
    <i r="2">
      <x v="159"/>
    </i>
    <i r="1">
      <x v="2"/>
      <x v="5"/>
    </i>
    <i r="2">
      <x v="18"/>
    </i>
    <i r="1">
      <x v="4"/>
      <x v="6"/>
    </i>
    <i r="2">
      <x v="117"/>
    </i>
    <i r="2">
      <x v="172"/>
    </i>
    <i r="1">
      <x v="7"/>
      <x v="29"/>
    </i>
    <i r="2">
      <x v="32"/>
    </i>
    <i r="2">
      <x v="101"/>
    </i>
    <i r="2">
      <x v="108"/>
    </i>
    <i r="2">
      <x v="124"/>
    </i>
    <i r="2">
      <x v="148"/>
    </i>
    <i r="2">
      <x v="158"/>
    </i>
    <i r="2">
      <x v="170"/>
    </i>
    <i r="1">
      <x v="15"/>
      <x v="109"/>
    </i>
    <i r="2">
      <x v="121"/>
    </i>
    <i r="2">
      <x v="147"/>
    </i>
    <i r="2">
      <x v="157"/>
    </i>
    <i r="1">
      <x v="19"/>
      <x v="15"/>
    </i>
    <i r="2">
      <x v="16"/>
    </i>
    <i r="2">
      <x v="17"/>
    </i>
    <i r="2">
      <x v="31"/>
    </i>
    <i r="2">
      <x v="49"/>
    </i>
    <i r="2">
      <x v="68"/>
    </i>
    <i r="2">
      <x v="105"/>
    </i>
    <i r="2">
      <x v="112"/>
    </i>
    <i r="2">
      <x v="138"/>
    </i>
    <i r="2">
      <x v="142"/>
    </i>
    <i r="2">
      <x v="145"/>
    </i>
    <i r="2">
      <x v="151"/>
    </i>
    <i r="2">
      <x v="153"/>
    </i>
    <i r="2">
      <x v="169"/>
    </i>
    <i r="2">
      <x v="179"/>
    </i>
    <i t="blank">
      <x v="57"/>
    </i>
    <i>
      <x v="58"/>
    </i>
    <i r="1">
      <x/>
      <x v="144"/>
    </i>
    <i r="1">
      <x v="1"/>
      <x v="6"/>
    </i>
    <i r="1">
      <x v="2"/>
      <x v="159"/>
    </i>
    <i r="1">
      <x v="3"/>
      <x v="3"/>
    </i>
    <i r="1">
      <x v="4"/>
      <x v="148"/>
    </i>
    <i r="2">
      <x v="153"/>
    </i>
    <i r="1">
      <x v="6"/>
      <x v="5"/>
    </i>
    <i r="2">
      <x v="108"/>
    </i>
    <i r="2">
      <x v="109"/>
    </i>
    <i r="2">
      <x v="121"/>
    </i>
    <i r="2">
      <x v="151"/>
    </i>
    <i r="1">
      <x v="11"/>
      <x v="158"/>
    </i>
    <i r="1">
      <x v="12"/>
      <x v="146"/>
    </i>
    <i r="2">
      <x v="149"/>
    </i>
    <i r="2">
      <x v="172"/>
    </i>
    <i r="1">
      <x v="15"/>
      <x v="147"/>
    </i>
    <i r="1">
      <x v="16"/>
      <x v="107"/>
    </i>
    <i r="2">
      <x v="110"/>
    </i>
    <i r="2">
      <x v="114"/>
    </i>
    <i r="2">
      <x v="117"/>
    </i>
    <i r="2">
      <x v="152"/>
    </i>
    <i t="blank">
      <x v="58"/>
    </i>
    <i>
      <x v="59"/>
    </i>
    <i r="1">
      <x/>
      <x v="3"/>
    </i>
    <i r="1">
      <x v="1"/>
      <x v="159"/>
    </i>
    <i r="2">
      <x v="170"/>
    </i>
    <i r="1">
      <x v="3"/>
      <x v="17"/>
    </i>
    <i r="2">
      <x v="110"/>
    </i>
    <i r="2">
      <x v="158"/>
    </i>
    <i r="1">
      <x v="6"/>
      <x v="121"/>
    </i>
    <i r="2">
      <x v="147"/>
    </i>
    <i r="2">
      <x v="153"/>
    </i>
    <i r="2">
      <x v="169"/>
    </i>
    <i r="1">
      <x v="10"/>
      <x v="16"/>
    </i>
    <i r="2">
      <x v="101"/>
    </i>
    <i r="2">
      <x v="109"/>
    </i>
    <i r="2">
      <x v="112"/>
    </i>
    <i r="2">
      <x v="122"/>
    </i>
    <i r="2">
      <x v="151"/>
    </i>
    <i r="2">
      <x v="176"/>
    </i>
    <i r="1">
      <x v="17"/>
      <x v="2"/>
    </i>
    <i r="2">
      <x v="5"/>
    </i>
    <i r="2">
      <x v="6"/>
    </i>
    <i r="2">
      <x v="8"/>
    </i>
    <i r="2">
      <x v="12"/>
    </i>
    <i r="2">
      <x v="14"/>
    </i>
    <i r="2">
      <x v="18"/>
    </i>
    <i r="2">
      <x v="21"/>
    </i>
    <i r="2">
      <x v="22"/>
    </i>
    <i r="2">
      <x v="30"/>
    </i>
    <i r="2">
      <x v="41"/>
    </i>
    <i r="2">
      <x v="55"/>
    </i>
    <i r="2">
      <x v="67"/>
    </i>
    <i r="2">
      <x v="73"/>
    </i>
    <i r="2">
      <x v="75"/>
    </i>
    <i r="2">
      <x v="79"/>
    </i>
    <i r="2">
      <x v="91"/>
    </i>
    <i r="2">
      <x v="105"/>
    </i>
    <i r="2">
      <x v="106"/>
    </i>
    <i r="2">
      <x v="114"/>
    </i>
    <i r="2">
      <x v="117"/>
    </i>
    <i r="2">
      <x v="128"/>
    </i>
    <i r="2">
      <x v="129"/>
    </i>
    <i r="2">
      <x v="130"/>
    </i>
    <i r="2">
      <x v="136"/>
    </i>
    <i r="2">
      <x v="142"/>
    </i>
    <i r="2">
      <x v="145"/>
    </i>
    <i r="2">
      <x v="149"/>
    </i>
    <i r="2">
      <x v="156"/>
    </i>
    <i r="2">
      <x v="157"/>
    </i>
    <i r="2">
      <x v="161"/>
    </i>
    <i r="2">
      <x v="168"/>
    </i>
    <i r="2">
      <x v="171"/>
    </i>
    <i r="2">
      <x v="172"/>
    </i>
    <i r="2">
      <x v="175"/>
    </i>
    <i r="2">
      <x v="180"/>
    </i>
    <i r="2">
      <x v="182"/>
    </i>
    <i r="2">
      <x v="183"/>
    </i>
    <i r="2">
      <x v="184"/>
    </i>
    <i t="blank">
      <x v="59"/>
    </i>
    <i>
      <x v="60"/>
    </i>
    <i r="1">
      <x/>
      <x v="6"/>
    </i>
    <i r="1">
      <x v="1"/>
      <x v="3"/>
    </i>
    <i r="1">
      <x v="2"/>
      <x v="158"/>
    </i>
    <i r="1">
      <x v="3"/>
      <x v="18"/>
    </i>
    <i r="2">
      <x v="153"/>
    </i>
    <i r="2">
      <x v="159"/>
    </i>
    <i r="1">
      <x v="6"/>
      <x v="40"/>
    </i>
    <i r="2">
      <x v="107"/>
    </i>
    <i r="2">
      <x v="108"/>
    </i>
    <i r="2">
      <x v="117"/>
    </i>
    <i r="2">
      <x v="145"/>
    </i>
    <i r="2">
      <x v="180"/>
    </i>
    <i r="1">
      <x v="12"/>
      <x v="1"/>
    </i>
    <i r="2">
      <x v="4"/>
    </i>
    <i r="2">
      <x v="5"/>
    </i>
    <i r="2">
      <x v="8"/>
    </i>
    <i r="2">
      <x v="16"/>
    </i>
    <i r="2">
      <x v="17"/>
    </i>
    <i r="2">
      <x v="22"/>
    </i>
    <i r="2">
      <x v="35"/>
    </i>
    <i r="2">
      <x v="46"/>
    </i>
    <i r="2">
      <x v="54"/>
    </i>
    <i r="2">
      <x v="65"/>
    </i>
    <i r="2">
      <x v="69"/>
    </i>
    <i r="2">
      <x v="81"/>
    </i>
    <i r="2">
      <x v="83"/>
    </i>
    <i r="2">
      <x v="95"/>
    </i>
    <i r="2">
      <x v="105"/>
    </i>
    <i r="2">
      <x v="110"/>
    </i>
    <i r="2">
      <x v="114"/>
    </i>
    <i r="2">
      <x v="115"/>
    </i>
    <i r="2">
      <x v="119"/>
    </i>
    <i r="2">
      <x v="144"/>
    </i>
    <i r="2">
      <x v="156"/>
    </i>
    <i r="2">
      <x v="171"/>
    </i>
    <i t="blank">
      <x v="60"/>
    </i>
    <i>
      <x v="61"/>
    </i>
    <i r="1">
      <x/>
      <x v="6"/>
    </i>
    <i r="2">
      <x v="16"/>
    </i>
    <i r="2">
      <x v="180"/>
    </i>
    <i r="1">
      <x v="3"/>
      <x v="18"/>
    </i>
    <i r="2">
      <x v="159"/>
    </i>
    <i r="1">
      <x v="5"/>
      <x v="149"/>
    </i>
    <i r="1">
      <x v="6"/>
      <x v="5"/>
    </i>
    <i r="1">
      <x v="7"/>
      <x v="14"/>
    </i>
    <i r="2">
      <x v="17"/>
    </i>
    <i r="2">
      <x v="101"/>
    </i>
    <i r="2">
      <x v="151"/>
    </i>
    <i r="2">
      <x v="158"/>
    </i>
    <i r="2">
      <x v="172"/>
    </i>
    <i r="1">
      <x v="13"/>
      <x v="3"/>
    </i>
    <i r="2">
      <x v="33"/>
    </i>
    <i r="2">
      <x v="108"/>
    </i>
    <i r="2">
      <x v="110"/>
    </i>
    <i r="2">
      <x v="157"/>
    </i>
    <i r="2">
      <x v="170"/>
    </i>
    <i r="1">
      <x v="19"/>
      <x v="8"/>
    </i>
    <i r="2">
      <x v="49"/>
    </i>
    <i r="2">
      <x v="152"/>
    </i>
    <i r="2">
      <x v="161"/>
    </i>
    <i r="2">
      <x v="164"/>
    </i>
    <i t="blank">
      <x v="61"/>
    </i>
    <i>
      <x v="62"/>
    </i>
    <i r="1">
      <x/>
      <x v="33"/>
    </i>
    <i r="1">
      <x v="1"/>
      <x v="6"/>
    </i>
    <i r="2">
      <x v="170"/>
    </i>
    <i r="1">
      <x v="3"/>
      <x v="8"/>
    </i>
    <i r="2">
      <x v="96"/>
    </i>
    <i r="2">
      <x v="109"/>
    </i>
    <i r="2">
      <x v="110"/>
    </i>
    <i r="1">
      <x v="7"/>
      <x v="14"/>
    </i>
    <i r="2">
      <x v="18"/>
    </i>
    <i r="2">
      <x v="52"/>
    </i>
    <i r="2">
      <x v="121"/>
    </i>
    <i r="2">
      <x v="147"/>
    </i>
    <i r="2">
      <x v="148"/>
    </i>
    <i r="2">
      <x v="156"/>
    </i>
    <i r="2">
      <x v="168"/>
    </i>
    <i r="2">
      <x v="172"/>
    </i>
    <i r="2">
      <x v="180"/>
    </i>
    <i r="1">
      <x v="17"/>
      <x v="13"/>
    </i>
    <i r="2">
      <x v="15"/>
    </i>
    <i r="2">
      <x v="22"/>
    </i>
    <i r="2">
      <x v="32"/>
    </i>
    <i r="2">
      <x v="34"/>
    </i>
    <i r="2">
      <x v="35"/>
    </i>
    <i r="2">
      <x v="38"/>
    </i>
    <i r="2">
      <x v="41"/>
    </i>
    <i r="2">
      <x v="47"/>
    </i>
    <i r="2">
      <x v="50"/>
    </i>
    <i r="2">
      <x v="56"/>
    </i>
    <i r="2">
      <x v="62"/>
    </i>
    <i r="2">
      <x v="70"/>
    </i>
    <i r="2">
      <x v="71"/>
    </i>
    <i r="2">
      <x v="77"/>
    </i>
    <i r="2">
      <x v="83"/>
    </i>
    <i r="2">
      <x v="85"/>
    </i>
    <i r="2">
      <x v="86"/>
    </i>
    <i r="2">
      <x v="91"/>
    </i>
    <i r="2">
      <x v="99"/>
    </i>
    <i r="2">
      <x v="101"/>
    </i>
    <i r="2">
      <x v="103"/>
    </i>
    <i r="2">
      <x v="112"/>
    </i>
    <i r="2">
      <x v="113"/>
    </i>
    <i r="2">
      <x v="116"/>
    </i>
    <i r="2">
      <x v="125"/>
    </i>
    <i r="2">
      <x v="134"/>
    </i>
    <i r="2">
      <x v="141"/>
    </i>
    <i r="2">
      <x v="142"/>
    </i>
    <i r="2">
      <x v="149"/>
    </i>
    <i r="2">
      <x v="151"/>
    </i>
    <i r="2">
      <x v="158"/>
    </i>
    <i r="2">
      <x v="159"/>
    </i>
    <i r="2">
      <x v="161"/>
    </i>
    <i r="2">
      <x v="173"/>
    </i>
    <i t="blank">
      <x v="62"/>
    </i>
    <i>
      <x v="63"/>
    </i>
    <i r="1">
      <x/>
      <x v="6"/>
    </i>
    <i r="2">
      <x v="8"/>
    </i>
    <i r="2">
      <x v="107"/>
    </i>
    <i r="1">
      <x v="3"/>
      <x v="3"/>
    </i>
    <i r="2">
      <x v="17"/>
    </i>
    <i r="2">
      <x v="110"/>
    </i>
    <i r="2">
      <x v="147"/>
    </i>
    <i r="2">
      <x v="158"/>
    </i>
    <i r="2">
      <x v="159"/>
    </i>
    <i r="1">
      <x v="9"/>
      <x v="18"/>
    </i>
    <i r="2">
      <x v="84"/>
    </i>
    <i r="2">
      <x v="88"/>
    </i>
    <i r="2">
      <x v="104"/>
    </i>
    <i r="2">
      <x v="108"/>
    </i>
    <i r="1">
      <x v="14"/>
      <x v="5"/>
    </i>
    <i r="2">
      <x v="9"/>
    </i>
    <i r="2">
      <x v="37"/>
    </i>
    <i r="2">
      <x v="85"/>
    </i>
    <i r="2">
      <x v="91"/>
    </i>
    <i r="2">
      <x v="94"/>
    </i>
    <i r="2">
      <x v="99"/>
    </i>
    <i r="2">
      <x v="112"/>
    </i>
    <i r="2">
      <x v="113"/>
    </i>
    <i r="2">
      <x v="115"/>
    </i>
    <i r="2">
      <x v="117"/>
    </i>
    <i r="2">
      <x v="121"/>
    </i>
    <i r="2">
      <x v="127"/>
    </i>
    <i r="2">
      <x v="164"/>
    </i>
    <i r="2">
      <x v="168"/>
    </i>
    <i r="2">
      <x v="174"/>
    </i>
    <i t="blank">
      <x v="63"/>
    </i>
    <i>
      <x v="64"/>
    </i>
    <i r="1">
      <x/>
      <x v="159"/>
    </i>
    <i r="1">
      <x v="1"/>
      <x v="170"/>
    </i>
    <i r="1">
      <x v="2"/>
      <x v="5"/>
    </i>
    <i r="2">
      <x v="6"/>
    </i>
    <i r="1">
      <x v="4"/>
      <x v="158"/>
    </i>
    <i r="2">
      <x v="172"/>
    </i>
    <i r="1">
      <x v="6"/>
      <x v="18"/>
    </i>
    <i r="1">
      <x v="7"/>
      <x v="17"/>
    </i>
    <i r="2">
      <x v="108"/>
    </i>
    <i r="2">
      <x v="115"/>
    </i>
    <i r="1">
      <x v="10"/>
      <x v="8"/>
    </i>
    <i r="2">
      <x v="114"/>
    </i>
    <i r="2">
      <x v="121"/>
    </i>
    <i r="1">
      <x v="13"/>
      <x v="14"/>
    </i>
    <i r="2">
      <x v="16"/>
    </i>
    <i r="2">
      <x v="128"/>
    </i>
    <i r="2">
      <x v="141"/>
    </i>
    <i r="2">
      <x v="148"/>
    </i>
    <i r="2">
      <x v="149"/>
    </i>
    <i r="1">
      <x v="19"/>
      <x v="3"/>
    </i>
    <i r="2">
      <x v="61"/>
    </i>
    <i r="2">
      <x v="117"/>
    </i>
    <i r="2">
      <x v="122"/>
    </i>
    <i r="2">
      <x v="153"/>
    </i>
    <i r="2">
      <x v="181"/>
    </i>
    <i t="blank">
      <x v="64"/>
    </i>
    <i>
      <x v="65"/>
    </i>
    <i r="1">
      <x/>
      <x v="159"/>
    </i>
    <i r="1">
      <x v="1"/>
      <x v="3"/>
    </i>
    <i r="1">
      <x v="2"/>
      <x v="108"/>
    </i>
    <i r="1">
      <x v="3"/>
      <x v="172"/>
    </i>
    <i r="1">
      <x v="4"/>
      <x v="5"/>
    </i>
    <i r="1">
      <x v="5"/>
      <x v="6"/>
    </i>
    <i r="2">
      <x v="110"/>
    </i>
    <i r="2">
      <x v="151"/>
    </i>
    <i r="2">
      <x v="158"/>
    </i>
    <i r="2">
      <x v="170"/>
    </i>
    <i r="1">
      <x v="10"/>
      <x v="148"/>
    </i>
    <i r="1">
      <x v="11"/>
      <x v="16"/>
    </i>
    <i r="2">
      <x v="17"/>
    </i>
    <i r="2">
      <x v="18"/>
    </i>
    <i r="2">
      <x v="61"/>
    </i>
    <i r="2">
      <x v="149"/>
    </i>
    <i r="1">
      <x v="16"/>
      <x v="8"/>
    </i>
    <i r="2">
      <x v="112"/>
    </i>
    <i r="2">
      <x v="115"/>
    </i>
    <i r="2">
      <x v="122"/>
    </i>
    <i r="2">
      <x v="147"/>
    </i>
    <i r="2">
      <x v="152"/>
    </i>
    <i t="blank">
      <x v="65"/>
    </i>
    <i>
      <x v="66"/>
    </i>
    <i r="1">
      <x/>
      <x v="144"/>
    </i>
    <i r="1">
      <x v="1"/>
      <x v="145"/>
    </i>
    <i r="1">
      <x v="2"/>
      <x v="128"/>
    </i>
    <i r="1">
      <x v="3"/>
      <x v="148"/>
    </i>
    <i r="1">
      <x v="4"/>
      <x v="151"/>
    </i>
    <i r="1">
      <x v="5"/>
      <x v="147"/>
    </i>
    <i r="1">
      <x v="6"/>
      <x v="153"/>
    </i>
    <i r="2">
      <x v="159"/>
    </i>
    <i r="1">
      <x v="8"/>
      <x v="119"/>
    </i>
    <i r="1">
      <x v="9"/>
      <x v="5"/>
    </i>
    <i r="1">
      <x v="10"/>
      <x v="108"/>
    </i>
    <i r="2">
      <x v="121"/>
    </i>
    <i r="2">
      <x v="149"/>
    </i>
    <i r="1">
      <x v="13"/>
      <x v="170"/>
    </i>
    <i r="1">
      <x v="14"/>
      <x v="3"/>
    </i>
    <i r="2">
      <x v="18"/>
    </i>
    <i r="2">
      <x v="107"/>
    </i>
    <i r="2">
      <x v="172"/>
    </i>
    <i r="1">
      <x v="18"/>
      <x v="6"/>
    </i>
    <i r="2">
      <x v="17"/>
    </i>
    <i r="2">
      <x v="132"/>
    </i>
    <i r="2">
      <x v="141"/>
    </i>
    <i r="2">
      <x v="152"/>
    </i>
    <i r="2">
      <x v="158"/>
    </i>
    <i t="blank">
      <x v="66"/>
    </i>
    <i>
      <x v="67"/>
    </i>
    <i r="1">
      <x/>
      <x v="144"/>
    </i>
    <i r="1">
      <x v="1"/>
      <x v="145"/>
    </i>
    <i r="1">
      <x v="2"/>
      <x v="147"/>
    </i>
    <i r="1">
      <x v="3"/>
      <x v="109"/>
    </i>
    <i r="1">
      <x v="4"/>
      <x v="3"/>
    </i>
    <i r="2">
      <x v="6"/>
    </i>
    <i r="2">
      <x v="108"/>
    </i>
    <i r="2">
      <x v="146"/>
    </i>
    <i r="2">
      <x v="159"/>
    </i>
    <i r="1">
      <x v="9"/>
      <x v="148"/>
    </i>
    <i r="1">
      <x v="10"/>
      <x v="12"/>
    </i>
    <i r="2">
      <x v="17"/>
    </i>
    <i r="2">
      <x v="107"/>
    </i>
    <i r="2">
      <x v="121"/>
    </i>
    <i r="2">
      <x v="149"/>
    </i>
    <i r="2">
      <x v="168"/>
    </i>
    <i r="2">
      <x v="170"/>
    </i>
    <i r="1">
      <x v="17"/>
      <x v="13"/>
    </i>
    <i r="2">
      <x v="18"/>
    </i>
    <i r="2">
      <x v="110"/>
    </i>
    <i r="2">
      <x v="111"/>
    </i>
    <i r="2">
      <x v="119"/>
    </i>
    <i r="2">
      <x v="128"/>
    </i>
    <i r="2">
      <x v="132"/>
    </i>
    <i r="2">
      <x v="153"/>
    </i>
    <i r="2">
      <x v="157"/>
    </i>
    <i r="2">
      <x v="158"/>
    </i>
    <i r="2">
      <x v="160"/>
    </i>
    <i r="2">
      <x v="164"/>
    </i>
    <i r="2">
      <x v="172"/>
    </i>
    <i r="2">
      <x v="178"/>
    </i>
    <i t="blank">
      <x v="67"/>
    </i>
    <i>
      <x v="68"/>
    </i>
    <i r="1">
      <x/>
      <x v="159"/>
    </i>
    <i r="1">
      <x v="1"/>
      <x v="61"/>
    </i>
    <i r="1">
      <x v="2"/>
      <x v="60"/>
    </i>
    <i r="1">
      <x v="3"/>
      <x v="58"/>
    </i>
    <i r="1">
      <x v="4"/>
      <x v="147"/>
    </i>
    <i r="1">
      <x v="5"/>
      <x v="16"/>
    </i>
    <i r="1">
      <x v="6"/>
      <x v="3"/>
    </i>
    <i r="2">
      <x v="18"/>
    </i>
    <i r="2">
      <x v="158"/>
    </i>
    <i r="1">
      <x v="9"/>
      <x v="110"/>
    </i>
    <i r="1">
      <x v="10"/>
      <x v="8"/>
    </i>
    <i r="2">
      <x v="42"/>
    </i>
    <i r="2">
      <x v="170"/>
    </i>
    <i r="1">
      <x v="13"/>
      <x v="17"/>
    </i>
    <i r="2">
      <x v="121"/>
    </i>
    <i r="2">
      <x v="156"/>
    </i>
    <i r="2">
      <x v="172"/>
    </i>
    <i r="1">
      <x v="17"/>
      <x v="6"/>
    </i>
    <i r="2">
      <x v="43"/>
    </i>
    <i r="2">
      <x v="59"/>
    </i>
    <i r="2">
      <x v="141"/>
    </i>
    <i r="2">
      <x v="151"/>
    </i>
    <i t="blank">
      <x v="68"/>
    </i>
    <i>
      <x v="69"/>
    </i>
    <i r="1">
      <x/>
      <x v="159"/>
    </i>
    <i r="1">
      <x v="1"/>
      <x v="3"/>
    </i>
    <i r="1">
      <x v="2"/>
      <x v="108"/>
    </i>
    <i r="2">
      <x v="158"/>
    </i>
    <i r="1">
      <x v="4"/>
      <x v="151"/>
    </i>
    <i r="1">
      <x v="5"/>
      <x v="110"/>
    </i>
    <i r="1">
      <x v="6"/>
      <x v="6"/>
    </i>
    <i r="2">
      <x v="109"/>
    </i>
    <i r="2">
      <x v="172"/>
    </i>
    <i r="1">
      <x v="9"/>
      <x v="121"/>
    </i>
    <i r="2">
      <x v="153"/>
    </i>
    <i r="1">
      <x v="11"/>
      <x v="5"/>
    </i>
    <i r="2">
      <x v="101"/>
    </i>
    <i r="2">
      <x v="170"/>
    </i>
    <i r="1">
      <x v="14"/>
      <x v="8"/>
    </i>
    <i r="2">
      <x v="17"/>
    </i>
    <i r="2">
      <x v="35"/>
    </i>
    <i r="2">
      <x v="37"/>
    </i>
    <i r="2">
      <x v="128"/>
    </i>
    <i r="2">
      <x v="148"/>
    </i>
    <i r="2">
      <x v="149"/>
    </i>
    <i t="blank">
      <x v="69"/>
    </i>
    <i>
      <x v="70"/>
    </i>
    <i r="1">
      <x/>
      <x v="144"/>
    </i>
    <i r="1">
      <x v="1"/>
      <x v="3"/>
    </i>
    <i r="1">
      <x v="2"/>
      <x v="5"/>
    </i>
    <i r="2">
      <x v="18"/>
    </i>
    <i r="2">
      <x v="52"/>
    </i>
    <i r="2">
      <x v="110"/>
    </i>
    <i r="1">
      <x v="6"/>
      <x v="8"/>
    </i>
    <i r="2">
      <x v="159"/>
    </i>
    <i r="1">
      <x v="8"/>
      <x v="158"/>
    </i>
    <i r="1">
      <x v="9"/>
      <x v="6"/>
    </i>
    <i r="2">
      <x v="17"/>
    </i>
    <i r="2">
      <x v="107"/>
    </i>
    <i r="2">
      <x v="108"/>
    </i>
    <i r="2">
      <x v="148"/>
    </i>
    <i r="1">
      <x v="14"/>
      <x v="11"/>
    </i>
    <i r="2">
      <x v="13"/>
    </i>
    <i r="2">
      <x v="15"/>
    </i>
    <i r="2">
      <x v="60"/>
    </i>
    <i r="2">
      <x v="63"/>
    </i>
    <i r="2">
      <x v="169"/>
    </i>
    <i t="blank">
      <x v="70"/>
    </i>
    <i>
      <x v="71"/>
    </i>
    <i r="1">
      <x/>
      <x v="144"/>
    </i>
    <i r="1">
      <x v="1"/>
      <x v="159"/>
    </i>
    <i r="1">
      <x v="2"/>
      <x v="3"/>
    </i>
    <i r="1">
      <x v="3"/>
      <x v="152"/>
    </i>
    <i r="1">
      <x v="4"/>
      <x v="17"/>
    </i>
    <i r="2">
      <x v="121"/>
    </i>
    <i r="1">
      <x v="6"/>
      <x v="108"/>
    </i>
    <i r="2">
      <x v="128"/>
    </i>
    <i r="1">
      <x v="8"/>
      <x v="151"/>
    </i>
    <i r="2">
      <x v="158"/>
    </i>
    <i r="1">
      <x v="10"/>
      <x v="6"/>
    </i>
    <i r="2">
      <x v="8"/>
    </i>
    <i r="2">
      <x v="107"/>
    </i>
    <i r="1">
      <x v="13"/>
      <x v="18"/>
    </i>
    <i r="2">
      <x v="109"/>
    </i>
    <i r="1">
      <x v="15"/>
      <x v="13"/>
    </i>
    <i r="2">
      <x v="105"/>
    </i>
    <i r="2">
      <x v="147"/>
    </i>
    <i r="2">
      <x v="148"/>
    </i>
    <i r="2">
      <x v="149"/>
    </i>
    <i r="2">
      <x v="157"/>
    </i>
    <i r="2">
      <x v="168"/>
    </i>
    <i t="blank">
      <x v="71"/>
    </i>
    <i>
      <x v="72"/>
    </i>
    <i r="1">
      <x/>
      <x v="144"/>
    </i>
    <i r="1">
      <x v="1"/>
      <x v="3"/>
    </i>
    <i r="2">
      <x v="107"/>
    </i>
    <i r="2">
      <x v="158"/>
    </i>
    <i r="1">
      <x v="4"/>
      <x v="6"/>
    </i>
    <i r="1">
      <x v="5"/>
      <x v="17"/>
    </i>
    <i r="2">
      <x v="18"/>
    </i>
    <i r="2">
      <x v="110"/>
    </i>
    <i r="2">
      <x v="121"/>
    </i>
    <i r="2">
      <x v="159"/>
    </i>
    <i r="1">
      <x v="10"/>
      <x v="5"/>
    </i>
    <i r="2">
      <x v="7"/>
    </i>
    <i r="2">
      <x v="109"/>
    </i>
    <i r="2">
      <x v="145"/>
    </i>
    <i r="2">
      <x v="147"/>
    </i>
    <i r="1">
      <x v="15"/>
      <x v="8"/>
    </i>
    <i r="2">
      <x v="105"/>
    </i>
    <i r="2">
      <x v="112"/>
    </i>
    <i r="2">
      <x v="113"/>
    </i>
    <i r="2">
      <x v="116"/>
    </i>
    <i r="2">
      <x v="120"/>
    </i>
    <i r="2">
      <x v="148"/>
    </i>
    <i r="2">
      <x v="149"/>
    </i>
    <i r="2">
      <x v="151"/>
    </i>
    <i t="blank">
      <x v="72"/>
    </i>
    <i>
      <x v="73"/>
    </i>
    <i r="1">
      <x/>
      <x v="144"/>
    </i>
    <i r="1">
      <x v="1"/>
      <x v="151"/>
    </i>
    <i r="1">
      <x v="2"/>
      <x v="148"/>
    </i>
    <i r="1">
      <x v="3"/>
      <x v="147"/>
    </i>
    <i r="1">
      <x v="4"/>
      <x v="121"/>
    </i>
    <i r="1">
      <x v="5"/>
      <x v="90"/>
    </i>
    <i r="2">
      <x v="109"/>
    </i>
    <i r="2">
      <x v="158"/>
    </i>
    <i r="1">
      <x v="8"/>
      <x v="3"/>
    </i>
    <i r="2">
      <x v="117"/>
    </i>
    <i r="2">
      <x v="152"/>
    </i>
    <i r="2">
      <x v="153"/>
    </i>
    <i r="1">
      <x v="12"/>
      <x v="6"/>
    </i>
    <i r="2">
      <x v="22"/>
    </i>
    <i r="2">
      <x v="108"/>
    </i>
    <i r="2">
      <x v="116"/>
    </i>
    <i r="2">
      <x v="132"/>
    </i>
    <i r="2">
      <x v="141"/>
    </i>
    <i r="2">
      <x v="145"/>
    </i>
    <i r="2">
      <x v="149"/>
    </i>
    <i r="2">
      <x v="168"/>
    </i>
    <i t="blank">
      <x v="73"/>
    </i>
    <i>
      <x v="74"/>
    </i>
    <i r="1">
      <x/>
      <x v="144"/>
    </i>
    <i r="1">
      <x v="1"/>
      <x v="3"/>
    </i>
    <i r="1">
      <x v="2"/>
      <x v="147"/>
    </i>
    <i r="1">
      <x v="3"/>
      <x v="158"/>
    </i>
    <i r="1">
      <x v="4"/>
      <x v="51"/>
    </i>
    <i r="2">
      <x v="110"/>
    </i>
    <i r="2">
      <x v="159"/>
    </i>
    <i r="1">
      <x v="7"/>
      <x v="6"/>
    </i>
    <i r="2">
      <x v="8"/>
    </i>
    <i r="2">
      <x v="153"/>
    </i>
    <i r="1">
      <x v="10"/>
      <x v="17"/>
    </i>
    <i r="2">
      <x v="121"/>
    </i>
    <i r="2">
      <x v="141"/>
    </i>
    <i r="2">
      <x v="170"/>
    </i>
    <i r="1">
      <x v="14"/>
      <x v="5"/>
    </i>
    <i r="2">
      <x v="99"/>
    </i>
    <i r="2">
      <x v="102"/>
    </i>
    <i r="2">
      <x v="104"/>
    </i>
    <i r="2">
      <x v="148"/>
    </i>
    <i r="2">
      <x v="149"/>
    </i>
    <i r="2">
      <x v="168"/>
    </i>
    <i t="blank">
      <x v="74"/>
    </i>
    <i>
      <x v="75"/>
    </i>
    <i r="1">
      <x/>
      <x v="3"/>
    </i>
    <i r="2">
      <x v="121"/>
    </i>
    <i r="1">
      <x v="2"/>
      <x v="6"/>
    </i>
    <i r="2">
      <x v="107"/>
    </i>
    <i r="2">
      <x v="144"/>
    </i>
    <i r="2">
      <x v="158"/>
    </i>
    <i r="2">
      <x v="159"/>
    </i>
    <i r="1">
      <x v="7"/>
      <x v="5"/>
    </i>
    <i r="1">
      <x v="8"/>
      <x v="12"/>
    </i>
    <i r="2">
      <x v="13"/>
    </i>
    <i r="2">
      <x v="17"/>
    </i>
    <i r="2">
      <x v="108"/>
    </i>
    <i r="2">
      <x v="109"/>
    </i>
    <i r="2">
      <x v="113"/>
    </i>
    <i r="2">
      <x v="117"/>
    </i>
    <i r="2">
      <x v="177"/>
    </i>
    <i r="1">
      <x v="16"/>
      <x v="4"/>
    </i>
    <i r="2">
      <x v="8"/>
    </i>
    <i r="2">
      <x v="9"/>
    </i>
    <i r="2">
      <x v="11"/>
    </i>
    <i r="2">
      <x v="14"/>
    </i>
    <i r="2">
      <x v="15"/>
    </i>
    <i r="2">
      <x v="24"/>
    </i>
    <i r="2">
      <x v="29"/>
    </i>
    <i r="2">
      <x v="33"/>
    </i>
    <i r="2">
      <x v="35"/>
    </i>
    <i r="2">
      <x v="37"/>
    </i>
    <i r="2">
      <x v="44"/>
    </i>
    <i r="2">
      <x v="64"/>
    </i>
    <i r="2">
      <x v="76"/>
    </i>
    <i r="2">
      <x v="87"/>
    </i>
    <i r="2">
      <x v="89"/>
    </i>
    <i r="2">
      <x v="91"/>
    </i>
    <i r="2">
      <x v="98"/>
    </i>
    <i r="2">
      <x v="100"/>
    </i>
    <i r="2">
      <x v="101"/>
    </i>
    <i r="2">
      <x v="102"/>
    </i>
    <i r="2">
      <x v="105"/>
    </i>
    <i r="2">
      <x v="112"/>
    </i>
    <i r="2">
      <x v="118"/>
    </i>
    <i r="2">
      <x v="125"/>
    </i>
    <i r="2">
      <x v="132"/>
    </i>
    <i r="2">
      <x v="140"/>
    </i>
    <i r="2">
      <x v="141"/>
    </i>
    <i r="2">
      <x v="142"/>
    </i>
    <i r="2">
      <x v="145"/>
    </i>
    <i r="2">
      <x v="147"/>
    </i>
    <i r="2">
      <x v="148"/>
    </i>
    <i r="2">
      <x v="155"/>
    </i>
    <i r="2">
      <x v="168"/>
    </i>
    <i r="2">
      <x v="171"/>
    </i>
    <i r="2">
      <x v="172"/>
    </i>
    <i r="2">
      <x v="175"/>
    </i>
    <i r="2">
      <x v="180"/>
    </i>
    <i r="2">
      <x v="185"/>
    </i>
    <i t="blank">
      <x v="75"/>
    </i>
    <i>
      <x v="76"/>
    </i>
    <i r="1">
      <x/>
      <x v="3"/>
    </i>
    <i r="1">
      <x v="1"/>
      <x v="144"/>
    </i>
    <i r="1">
      <x v="2"/>
      <x v="159"/>
    </i>
    <i r="1">
      <x v="3"/>
      <x v="158"/>
    </i>
    <i r="2">
      <x v="170"/>
    </i>
    <i r="1">
      <x v="5"/>
      <x v="5"/>
    </i>
    <i r="2">
      <x v="6"/>
    </i>
    <i r="2">
      <x v="121"/>
    </i>
    <i r="1">
      <x v="8"/>
      <x v="13"/>
    </i>
    <i r="2">
      <x v="16"/>
    </i>
    <i r="2">
      <x v="18"/>
    </i>
    <i r="2">
      <x v="110"/>
    </i>
    <i r="2">
      <x v="117"/>
    </i>
    <i r="2">
      <x v="141"/>
    </i>
    <i r="2">
      <x v="148"/>
    </i>
    <i r="1">
      <x v="15"/>
      <x v="14"/>
    </i>
    <i r="2">
      <x v="107"/>
    </i>
    <i r="2">
      <x v="109"/>
    </i>
    <i r="2">
      <x v="116"/>
    </i>
    <i r="2">
      <x v="172"/>
    </i>
    <i r="2">
      <x v="176"/>
    </i>
    <i t="blank">
      <x v="76"/>
    </i>
    <i>
      <x v="77"/>
    </i>
    <i r="1">
      <x/>
      <x v="144"/>
    </i>
    <i r="1">
      <x v="1"/>
      <x v="3"/>
    </i>
    <i r="1">
      <x v="2"/>
      <x v="8"/>
    </i>
    <i r="2">
      <x v="18"/>
    </i>
    <i r="2">
      <x v="121"/>
    </i>
    <i r="1">
      <x v="5"/>
      <x v="17"/>
    </i>
    <i r="2">
      <x v="47"/>
    </i>
    <i r="2">
      <x v="109"/>
    </i>
    <i r="2">
      <x v="158"/>
    </i>
    <i r="2">
      <x v="163"/>
    </i>
    <i r="1">
      <x v="10"/>
      <x v="2"/>
    </i>
    <i r="2">
      <x v="6"/>
    </i>
    <i r="2">
      <x v="14"/>
    </i>
    <i r="2">
      <x v="15"/>
    </i>
    <i r="2">
      <x v="22"/>
    </i>
    <i r="2">
      <x v="24"/>
    </i>
    <i r="2">
      <x v="29"/>
    </i>
    <i r="2">
      <x v="33"/>
    </i>
    <i r="2">
      <x v="83"/>
    </i>
    <i r="2">
      <x v="89"/>
    </i>
    <i r="2">
      <x v="92"/>
    </i>
    <i r="2">
      <x v="102"/>
    </i>
    <i r="2">
      <x v="104"/>
    </i>
    <i r="2">
      <x v="105"/>
    </i>
    <i r="2">
      <x v="108"/>
    </i>
    <i r="2">
      <x v="110"/>
    </i>
    <i r="2">
      <x v="112"/>
    </i>
    <i r="2">
      <x v="114"/>
    </i>
    <i r="2">
      <x v="116"/>
    </i>
    <i r="2">
      <x v="117"/>
    </i>
    <i r="2">
      <x v="150"/>
    </i>
    <i r="2">
      <x v="159"/>
    </i>
    <i r="2">
      <x v="160"/>
    </i>
    <i r="2">
      <x v="162"/>
    </i>
    <i r="2">
      <x v="171"/>
    </i>
    <i r="2">
      <x v="172"/>
    </i>
    <i r="2">
      <x v="178"/>
    </i>
    <i r="2">
      <x v="185"/>
    </i>
    <i t="blank">
      <x v="77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1108">
      <pivotArea field="2" type="button" dataOnly="0" labelOnly="1" outline="0" axis="axisRow" fieldPosition="0"/>
    </format>
    <format dxfId="1107">
      <pivotArea outline="0" fieldPosition="0">
        <references count="1">
          <reference field="4294967294" count="1">
            <x v="0"/>
          </reference>
        </references>
      </pivotArea>
    </format>
    <format dxfId="1106">
      <pivotArea outline="0" fieldPosition="0">
        <references count="1">
          <reference field="4294967294" count="1">
            <x v="1"/>
          </reference>
        </references>
      </pivotArea>
    </format>
    <format dxfId="1105">
      <pivotArea outline="0" fieldPosition="0">
        <references count="1">
          <reference field="4294967294" count="1">
            <x v="2"/>
          </reference>
        </references>
      </pivotArea>
    </format>
    <format dxfId="1104">
      <pivotArea outline="0" fieldPosition="0">
        <references count="1">
          <reference field="4294967294" count="1">
            <x v="3"/>
          </reference>
        </references>
      </pivotArea>
    </format>
    <format dxfId="1103">
      <pivotArea outline="0" fieldPosition="0">
        <references count="1">
          <reference field="4294967294" count="1">
            <x v="4"/>
          </reference>
        </references>
      </pivotArea>
    </format>
    <format dxfId="1102">
      <pivotArea outline="0" fieldPosition="0">
        <references count="1">
          <reference field="4294967294" count="1">
            <x v="5"/>
          </reference>
        </references>
      </pivotArea>
    </format>
    <format dxfId="1101">
      <pivotArea outline="0" fieldPosition="0">
        <references count="1">
          <reference field="4294967294" count="1">
            <x v="6"/>
          </reference>
        </references>
      </pivotArea>
    </format>
    <format dxfId="1100">
      <pivotArea field="2" type="button" dataOnly="0" labelOnly="1" outline="0" axis="axisRow" fieldPosition="0"/>
    </format>
    <format dxfId="109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98">
      <pivotArea field="2" type="button" dataOnly="0" labelOnly="1" outline="0" axis="axisRow" fieldPosition="0"/>
    </format>
    <format dxfId="109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96">
      <pivotArea field="2" type="button" dataOnly="0" labelOnly="1" outline="0" axis="axisRow" fieldPosition="0"/>
    </format>
    <format dxfId="109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9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9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92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BF8D81-4BAE-4196-AF5B-8F463C0A6322}" name="LTBL_20000" displayName="LTBL_20000" ref="B4:I20" totalsRowCount="1">
  <autoFilter ref="B4:I19" xr:uid="{BDBF8D81-4BAE-4196-AF5B-8F463C0A6322}"/>
  <tableColumns count="8">
    <tableColumn id="9" xr3:uid="{77BFEB4B-FF78-4EA5-9EAE-F1EA051AE8C4}" name="産業大分類" totalsRowLabel="合計" totalsRowDxfId="1091"/>
    <tableColumn id="10" xr3:uid="{64ABDF2A-93B0-4A30-84F0-3FBF0344C3AA}" name="総数／事業所数" totalsRowFunction="custom" totalsRowDxfId="1090" dataCellStyle="桁区切り" totalsRowCellStyle="桁区切り">
      <totalsRowFormula>SUM(LTBL_20000[総数／事業所数])</totalsRowFormula>
    </tableColumn>
    <tableColumn id="11" xr3:uid="{6886F3F4-60DD-461F-843C-1DB25429C344}" name="総数／構成比" dataDxfId="1089"/>
    <tableColumn id="12" xr3:uid="{FB40D993-6251-4257-B57D-3F28153743BC}" name="個人／事業所数" totalsRowFunction="sum" totalsRowDxfId="1088" dataCellStyle="桁区切り" totalsRowCellStyle="桁区切り"/>
    <tableColumn id="13" xr3:uid="{1237AB17-700F-47FC-9EFF-71C83C2E3EC9}" name="個人／構成比" dataDxfId="1087"/>
    <tableColumn id="14" xr3:uid="{67D792B7-E6FD-4203-88E4-826949430D99}" name="法人／事業所数" totalsRowFunction="sum" totalsRowDxfId="1086" dataCellStyle="桁区切り" totalsRowCellStyle="桁区切り"/>
    <tableColumn id="15" xr3:uid="{547033ED-0FF3-49E5-8069-566FB88A7A64}" name="法人／構成比" dataDxfId="1085"/>
    <tableColumn id="16" xr3:uid="{5DDE371F-2334-4EEA-9DEC-92EED5D6D185}" name="法人以外の団体／事業所数" totalsRowFunction="sum" totalsRowDxfId="1084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A2936AB-A247-4FFE-BB51-D2F904FDB143}" name="LTBL_20203" displayName="LTBL_20203" ref="B4:I20" totalsRowCount="1">
  <autoFilter ref="B4:I19" xr:uid="{2A2936AB-A247-4FFE-BB51-D2F904FDB143}"/>
  <tableColumns count="8">
    <tableColumn id="9" xr3:uid="{C7391F2E-185E-4FD6-85B4-A8F195A21A86}" name="産業大分類" totalsRowLabel="合計" totalsRowDxfId="1049"/>
    <tableColumn id="10" xr3:uid="{46542921-BA7C-4B3E-ACCA-CEBF70AAF102}" name="総数／事業所数" totalsRowFunction="custom" totalsRowDxfId="1048" dataCellStyle="桁区切り" totalsRowCellStyle="桁区切り">
      <totalsRowFormula>SUM(LTBL_20203[総数／事業所数])</totalsRowFormula>
    </tableColumn>
    <tableColumn id="11" xr3:uid="{E79DA4AC-79DA-48C9-BE7A-6651A2B763A6}" name="総数／構成比" dataDxfId="1047"/>
    <tableColumn id="12" xr3:uid="{02C0FE62-4720-4336-94B7-E942EE99143E}" name="個人／事業所数" totalsRowFunction="sum" totalsRowDxfId="1046" dataCellStyle="桁区切り" totalsRowCellStyle="桁区切り"/>
    <tableColumn id="13" xr3:uid="{4AD24CF6-5A6D-4FC9-ACAE-84704887E8CA}" name="個人／構成比" dataDxfId="1045"/>
    <tableColumn id="14" xr3:uid="{43DE4B7F-DA26-4E94-87EC-E085FE9F1CE4}" name="法人／事業所数" totalsRowFunction="sum" totalsRowDxfId="1044" dataCellStyle="桁区切り" totalsRowCellStyle="桁区切り"/>
    <tableColumn id="15" xr3:uid="{30671E18-CD9A-4992-9A1E-F39354BBAA98}" name="法人／構成比" dataDxfId="1043"/>
    <tableColumn id="16" xr3:uid="{B884D9CC-C9EA-49D4-BDA1-5F4A6000DBF1}" name="法人以外の団体／事業所数" totalsRowFunction="sum" totalsRowDxfId="1042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ECBD1B24-5A10-4AC6-B675-E89219ECA55E}" name="LTBL_20363" displayName="LTBL_20363" ref="B4:I20" totalsRowCount="1">
  <autoFilter ref="B4:I19" xr:uid="{ECBD1B24-5A10-4AC6-B675-E89219ECA55E}"/>
  <tableColumns count="8">
    <tableColumn id="9" xr3:uid="{F77A2773-0C4C-4822-990B-CA1537FC0BE6}" name="産業大分類" totalsRowLabel="合計" totalsRowDxfId="629"/>
    <tableColumn id="10" xr3:uid="{F7DEF33B-A4B6-4A6A-A748-A1E1D714FD2C}" name="総数／事業所数" totalsRowFunction="custom" totalsRowDxfId="628" dataCellStyle="桁区切り" totalsRowCellStyle="桁区切り">
      <totalsRowFormula>SUM(LTBL_20363[総数／事業所数])</totalsRowFormula>
    </tableColumn>
    <tableColumn id="11" xr3:uid="{645772B5-E29E-4FD9-BA06-A2D78214B40D}" name="総数／構成比" dataDxfId="627"/>
    <tableColumn id="12" xr3:uid="{7815121C-6C3A-46CB-B74B-CF428EE34E9A}" name="個人／事業所数" totalsRowFunction="sum" totalsRowDxfId="626" dataCellStyle="桁区切り" totalsRowCellStyle="桁区切り"/>
    <tableColumn id="13" xr3:uid="{08445F1C-6EE8-4E9F-A061-665F6A4C12AC}" name="個人／構成比" dataDxfId="625"/>
    <tableColumn id="14" xr3:uid="{8B9D44B4-0726-4451-88D3-9C420D28FF56}" name="法人／事業所数" totalsRowFunction="sum" totalsRowDxfId="624" dataCellStyle="桁区切り" totalsRowCellStyle="桁区切り"/>
    <tableColumn id="15" xr3:uid="{66ABECD4-2809-493A-83DB-E1C660F1CF27}" name="法人／構成比" dataDxfId="623"/>
    <tableColumn id="16" xr3:uid="{A790CB70-54E5-4DC2-85EB-4EC27284F00E}" name="法人以外の団体／事業所数" totalsRowFunction="sum" totalsRowDxfId="622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7C4BDFF6-2186-4B37-9938-3B7D56E15384}" name="M_TABLE_20363" displayName="M_TABLE_20363" ref="B23:I44" totalsRowShown="0">
  <autoFilter ref="B23:I44" xr:uid="{7C4BDFF6-2186-4B37-9938-3B7D56E15384}"/>
  <tableColumns count="8">
    <tableColumn id="9" xr3:uid="{FBDE2267-29A7-4DA7-A0D3-CD1594C03522}" name="産業中分類上位２０"/>
    <tableColumn id="10" xr3:uid="{DFA054AC-CC01-4512-8ED8-BF518002AE31}" name="総数／事業所数" dataCellStyle="桁区切り"/>
    <tableColumn id="11" xr3:uid="{82F06724-636C-45F4-A9CB-68C422CB3655}" name="総数／構成比" dataDxfId="621"/>
    <tableColumn id="12" xr3:uid="{672A7AC7-1E4F-4069-98B3-0EB74DB65205}" name="個人／事業所数" dataCellStyle="桁区切り"/>
    <tableColumn id="13" xr3:uid="{4CBACBFB-E538-4FD8-A837-D6C3490DE58A}" name="個人／構成比" dataDxfId="620"/>
    <tableColumn id="14" xr3:uid="{E3875900-2ADB-4D81-B90C-FB15751EFEDD}" name="法人／事業所数" dataCellStyle="桁区切り"/>
    <tableColumn id="15" xr3:uid="{5088D5CB-BCFE-4E90-9F67-9F1F1BFEE30E}" name="法人／構成比" dataDxfId="619"/>
    <tableColumn id="16" xr3:uid="{B87C39E1-5162-4A70-A268-45D3727369C5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401A52F-4FBA-4126-B27D-03382E83532A}" name="S_TABLE_20363" displayName="S_TABLE_20363" ref="B47:I67" totalsRowShown="0">
  <autoFilter ref="B47:I67" xr:uid="{0401A52F-4FBA-4126-B27D-03382E83532A}"/>
  <tableColumns count="8">
    <tableColumn id="9" xr3:uid="{3284BD70-515D-463B-8FB5-83552A6B7C66}" name="産業小分類上位２０"/>
    <tableColumn id="10" xr3:uid="{37DF6851-43F3-4369-991F-F1C2081B2172}" name="総数／事業所数" dataCellStyle="桁区切り"/>
    <tableColumn id="11" xr3:uid="{BB66ABE9-602B-4A93-A115-47F4983866C3}" name="総数／構成比" dataDxfId="618"/>
    <tableColumn id="12" xr3:uid="{26C65857-C34A-40BF-9E33-1AA29EDBA4F0}" name="個人／事業所数" dataCellStyle="桁区切り"/>
    <tableColumn id="13" xr3:uid="{AC09D0A6-ED3D-41CB-8640-8B688EE98A7B}" name="個人／構成比" dataDxfId="617"/>
    <tableColumn id="14" xr3:uid="{15E89FFF-E479-423D-B579-ABEBB67AF724}" name="法人／事業所数" dataCellStyle="桁区切り"/>
    <tableColumn id="15" xr3:uid="{DEE595B6-D252-43DB-A1A0-3F02FC31656A}" name="法人／構成比" dataDxfId="616"/>
    <tableColumn id="16" xr3:uid="{39D90A58-1162-4960-A911-2C6720A24072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88DC0D31-7C71-4A94-A2B7-888196BA1B8E}" name="LTBL_20382" displayName="LTBL_20382" ref="B4:I20" totalsRowCount="1">
  <autoFilter ref="B4:I19" xr:uid="{88DC0D31-7C71-4A94-A2B7-888196BA1B8E}"/>
  <tableColumns count="8">
    <tableColumn id="9" xr3:uid="{A25D2EA9-ABE6-4D42-9CAB-0682C143BE5D}" name="産業大分類" totalsRowLabel="合計" totalsRowDxfId="615"/>
    <tableColumn id="10" xr3:uid="{D0E48EF6-474D-4831-8B17-FE3E4FB0B010}" name="総数／事業所数" totalsRowFunction="custom" totalsRowDxfId="614" dataCellStyle="桁区切り" totalsRowCellStyle="桁区切り">
      <totalsRowFormula>SUM(LTBL_20382[総数／事業所数])</totalsRowFormula>
    </tableColumn>
    <tableColumn id="11" xr3:uid="{98D1307D-2D3C-4AB0-9C14-5B3E1C83EB20}" name="総数／構成比" dataDxfId="613"/>
    <tableColumn id="12" xr3:uid="{2DFEFB42-74BA-4F43-93B4-03C9D024B08E}" name="個人／事業所数" totalsRowFunction="sum" totalsRowDxfId="612" dataCellStyle="桁区切り" totalsRowCellStyle="桁区切り"/>
    <tableColumn id="13" xr3:uid="{EA04311D-D614-4221-8692-A6556E4BAA50}" name="個人／構成比" dataDxfId="611"/>
    <tableColumn id="14" xr3:uid="{685A0A84-8D7A-4BEC-AD6C-7F4D7AD4F5A6}" name="法人／事業所数" totalsRowFunction="sum" totalsRowDxfId="610" dataCellStyle="桁区切り" totalsRowCellStyle="桁区切り"/>
    <tableColumn id="15" xr3:uid="{670EBB12-01EA-435B-95DC-6AEA0C667F86}" name="法人／構成比" dataDxfId="609"/>
    <tableColumn id="16" xr3:uid="{DBBBF739-B534-40A4-A1D9-D1CFCF7E3D1C}" name="法人以外の団体／事業所数" totalsRowFunction="sum" totalsRowDxfId="608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B1B61C26-CD30-4B73-87BB-A2CA91A339FE}" name="M_TABLE_20382" displayName="M_TABLE_20382" ref="B23:I43" totalsRowShown="0">
  <autoFilter ref="B23:I43" xr:uid="{B1B61C26-CD30-4B73-87BB-A2CA91A339FE}"/>
  <tableColumns count="8">
    <tableColumn id="9" xr3:uid="{860A2876-9701-42AD-BCE0-FBDB245D427C}" name="産業中分類上位２０"/>
    <tableColumn id="10" xr3:uid="{6B95395A-D59A-435B-BB0F-3CF7AA9ABBD5}" name="総数／事業所数" dataCellStyle="桁区切り"/>
    <tableColumn id="11" xr3:uid="{8198DE53-4FB2-4FF4-BF83-8ABA221C5248}" name="総数／構成比" dataDxfId="607"/>
    <tableColumn id="12" xr3:uid="{2FF6E0DC-C949-470F-A7D9-978211EF0FE1}" name="個人／事業所数" dataCellStyle="桁区切り"/>
    <tableColumn id="13" xr3:uid="{86247AFC-07A6-482E-A483-3776B1031E6E}" name="個人／構成比" dataDxfId="606"/>
    <tableColumn id="14" xr3:uid="{6182590F-8BD9-4C43-880A-6E1EF778592D}" name="法人／事業所数" dataCellStyle="桁区切り"/>
    <tableColumn id="15" xr3:uid="{08FF9E30-5219-4A07-954D-DA5566712103}" name="法人／構成比" dataDxfId="605"/>
    <tableColumn id="16" xr3:uid="{3C37F6EF-CC67-4FBF-B989-0878E02C149C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DA79986-F1A6-4FF9-8041-8DCF65812205}" name="S_TABLE_20382" displayName="S_TABLE_20382" ref="B46:I70" totalsRowShown="0">
  <autoFilter ref="B46:I70" xr:uid="{0DA79986-F1A6-4FF9-8041-8DCF65812205}"/>
  <tableColumns count="8">
    <tableColumn id="9" xr3:uid="{F239B656-C3DB-4AF8-A8A0-6492BCA27A32}" name="産業小分類上位２０"/>
    <tableColumn id="10" xr3:uid="{52B2CBDF-4321-48AF-A64E-66E05C08A3E5}" name="総数／事業所数" dataCellStyle="桁区切り"/>
    <tableColumn id="11" xr3:uid="{E50F86A5-9671-4D1B-A95F-219874C9CA42}" name="総数／構成比" dataDxfId="604"/>
    <tableColumn id="12" xr3:uid="{9B5E8FFA-B16D-4E7E-850E-9BF5062ED2BF}" name="個人／事業所数" dataCellStyle="桁区切り"/>
    <tableColumn id="13" xr3:uid="{FB76AFA9-1E22-47F4-A80E-B8D9520E92D8}" name="個人／構成比" dataDxfId="603"/>
    <tableColumn id="14" xr3:uid="{D5C5ED78-C1F6-4428-A216-39334724E55B}" name="法人／事業所数" dataCellStyle="桁区切り"/>
    <tableColumn id="15" xr3:uid="{4789168F-846E-4073-8A75-CA671B9DCCAF}" name="法人／構成比" dataDxfId="602"/>
    <tableColumn id="16" xr3:uid="{0E3849F2-C776-4409-84FB-D366F3BCB76B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D1677398-B98E-4FD0-BFCC-0328EC341874}" name="LTBL_20383" displayName="LTBL_20383" ref="B4:I20" totalsRowCount="1">
  <autoFilter ref="B4:I19" xr:uid="{D1677398-B98E-4FD0-BFCC-0328EC341874}"/>
  <tableColumns count="8">
    <tableColumn id="9" xr3:uid="{D79A741F-9573-4720-BC26-FD07CE02B872}" name="産業大分類" totalsRowLabel="合計" totalsRowDxfId="601"/>
    <tableColumn id="10" xr3:uid="{385DEF29-33CD-418E-A91F-9940B63652DF}" name="総数／事業所数" totalsRowFunction="custom" totalsRowDxfId="600" dataCellStyle="桁区切り" totalsRowCellStyle="桁区切り">
      <totalsRowFormula>SUM(LTBL_20383[総数／事業所数])</totalsRowFormula>
    </tableColumn>
    <tableColumn id="11" xr3:uid="{D825C3ED-1E4A-4B1C-938D-6984315190B9}" name="総数／構成比" dataDxfId="599"/>
    <tableColumn id="12" xr3:uid="{B473C088-7156-4107-B346-CE1D184FFBA3}" name="個人／事業所数" totalsRowFunction="sum" totalsRowDxfId="598" dataCellStyle="桁区切り" totalsRowCellStyle="桁区切り"/>
    <tableColumn id="13" xr3:uid="{66973893-841F-420B-8CF3-262957CDE9BF}" name="個人／構成比" dataDxfId="597"/>
    <tableColumn id="14" xr3:uid="{5412F56E-7C1A-4E46-921D-9A6B83D9A195}" name="法人／事業所数" totalsRowFunction="sum" totalsRowDxfId="596" dataCellStyle="桁区切り" totalsRowCellStyle="桁区切り"/>
    <tableColumn id="15" xr3:uid="{14CA6B4F-1F84-45B7-8EED-6A1EFCFE5FA6}" name="法人／構成比" dataDxfId="595"/>
    <tableColumn id="16" xr3:uid="{5DDEFDC0-DBF0-4CAF-A828-9553B60872FE}" name="法人以外の団体／事業所数" totalsRowFunction="sum" totalsRowDxfId="594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8A72F8D2-6F23-43E2-823B-01DCC581A9EB}" name="M_TABLE_20383" displayName="M_TABLE_20383" ref="B23:I43" totalsRowShown="0">
  <autoFilter ref="B23:I43" xr:uid="{8A72F8D2-6F23-43E2-823B-01DCC581A9EB}"/>
  <tableColumns count="8">
    <tableColumn id="9" xr3:uid="{3C85D579-82FF-4D51-AB31-0E9773823B18}" name="産業中分類上位２０"/>
    <tableColumn id="10" xr3:uid="{E109F3CE-9FAB-4918-8E80-3CCCEF9E54E2}" name="総数／事業所数" dataCellStyle="桁区切り"/>
    <tableColumn id="11" xr3:uid="{B57636EF-ACCA-4A08-8215-892C9EF7250B}" name="総数／構成比" dataDxfId="593"/>
    <tableColumn id="12" xr3:uid="{C503405B-6364-4132-9F9C-4165D471F6E6}" name="個人／事業所数" dataCellStyle="桁区切り"/>
    <tableColumn id="13" xr3:uid="{59F6EC54-495E-4A5C-9ABE-A05EE1903788}" name="個人／構成比" dataDxfId="592"/>
    <tableColumn id="14" xr3:uid="{EFCF10C7-B044-4A0C-B9F4-D5028297793F}" name="法人／事業所数" dataCellStyle="桁区切り"/>
    <tableColumn id="15" xr3:uid="{35D65CEA-4C79-4725-836D-FF0D00D63922}" name="法人／構成比" dataDxfId="591"/>
    <tableColumn id="16" xr3:uid="{F808AF33-DBEB-48C7-B6AA-E541F0BA946B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2D4614B8-BA1A-4DAD-AF69-A650CF6DB313}" name="S_TABLE_20383" displayName="S_TABLE_20383" ref="B46:I66" totalsRowShown="0">
  <autoFilter ref="B46:I66" xr:uid="{2D4614B8-BA1A-4DAD-AF69-A650CF6DB313}"/>
  <tableColumns count="8">
    <tableColumn id="9" xr3:uid="{F00E920D-6FCE-4C9E-A932-9AF6A48DD5A0}" name="産業小分類上位２０"/>
    <tableColumn id="10" xr3:uid="{F76CCAE4-BCF5-4508-B658-AD217D78F3B7}" name="総数／事業所数" dataCellStyle="桁区切り"/>
    <tableColumn id="11" xr3:uid="{9A4D4101-B891-4903-8306-41B2AA15AC1D}" name="総数／構成比" dataDxfId="590"/>
    <tableColumn id="12" xr3:uid="{A5F6BD0F-E61D-4CF3-85CC-ADDED59D9B5D}" name="個人／事業所数" dataCellStyle="桁区切り"/>
    <tableColumn id="13" xr3:uid="{2ADC56D6-19CA-4B46-9FBB-229AC731FF3B}" name="個人／構成比" dataDxfId="589"/>
    <tableColumn id="14" xr3:uid="{6398F700-E42B-49D0-A9E9-6811B0A9BE7B}" name="法人／事業所数" dataCellStyle="桁区切り"/>
    <tableColumn id="15" xr3:uid="{FAA1A12A-8455-4528-84FD-E605FF6BFE03}" name="法人／構成比" dataDxfId="588"/>
    <tableColumn id="16" xr3:uid="{1CFFD7BA-E3FE-4D0A-9752-ABC77781DC4B}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BA4F9ACA-72EC-400E-A512-73BB7CCBD691}" name="LTBL_20384" displayName="LTBL_20384" ref="B4:I20" totalsRowCount="1">
  <autoFilter ref="B4:I19" xr:uid="{BA4F9ACA-72EC-400E-A512-73BB7CCBD691}"/>
  <tableColumns count="8">
    <tableColumn id="9" xr3:uid="{A43D58C5-2EF4-4857-AB0A-C5AFEF68A6E0}" name="産業大分類" totalsRowLabel="合計" totalsRowDxfId="587"/>
    <tableColumn id="10" xr3:uid="{01C730FA-E50E-4EC6-AFEA-325F61A4279A}" name="総数／事業所数" totalsRowFunction="custom" totalsRowDxfId="586" dataCellStyle="桁区切り" totalsRowCellStyle="桁区切り">
      <totalsRowFormula>SUM(LTBL_20384[総数／事業所数])</totalsRowFormula>
    </tableColumn>
    <tableColumn id="11" xr3:uid="{44204C18-E277-4135-ACF8-42E89AC91319}" name="総数／構成比" dataDxfId="585"/>
    <tableColumn id="12" xr3:uid="{7B20FF87-C25B-4ABA-B8B5-6BA1D4DBFF26}" name="個人／事業所数" totalsRowFunction="sum" totalsRowDxfId="584" dataCellStyle="桁区切り" totalsRowCellStyle="桁区切り"/>
    <tableColumn id="13" xr3:uid="{3AE1AA0F-33E7-4526-B317-8A99C5288F30}" name="個人／構成比" dataDxfId="583"/>
    <tableColumn id="14" xr3:uid="{9219E8CF-E2FE-4A47-B195-A5FFDD42DE4F}" name="法人／事業所数" totalsRowFunction="sum" totalsRowDxfId="582" dataCellStyle="桁区切り" totalsRowCellStyle="桁区切り"/>
    <tableColumn id="15" xr3:uid="{F3EF21BE-3A1E-483C-908E-D3BAFC52B002}" name="法人／構成比" dataDxfId="581"/>
    <tableColumn id="16" xr3:uid="{160707D0-3814-4185-B67B-F9FC2C7CB190}" name="法人以外の団体／事業所数" totalsRowFunction="sum" totalsRowDxfId="580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1AA4EDD-DABC-41F0-B43C-60F178E3F5E2}" name="M_TABLE_20203" displayName="M_TABLE_20203" ref="B23:I43" totalsRowShown="0">
  <autoFilter ref="B23:I43" xr:uid="{B1AA4EDD-DABC-41F0-B43C-60F178E3F5E2}"/>
  <tableColumns count="8">
    <tableColumn id="9" xr3:uid="{7EEC425D-F6A0-416B-B2CF-8DC2ABD5D992}" name="産業中分類上位２０"/>
    <tableColumn id="10" xr3:uid="{D86376C3-2F2C-435A-928A-2C64B79F2834}" name="総数／事業所数" dataCellStyle="桁区切り"/>
    <tableColumn id="11" xr3:uid="{42878BDA-A286-4467-92C2-99087D2CE6CE}" name="総数／構成比" dataDxfId="1041"/>
    <tableColumn id="12" xr3:uid="{32A9A3A9-BDFF-4009-8084-0FBF39686B51}" name="個人／事業所数" dataCellStyle="桁区切り"/>
    <tableColumn id="13" xr3:uid="{95784FD8-F622-4420-AEFF-79A04E53EA14}" name="個人／構成比" dataDxfId="1040"/>
    <tableColumn id="14" xr3:uid="{9FC20B3E-2466-4EFF-9F7F-BF71F9DD4850}" name="法人／事業所数" dataCellStyle="桁区切り"/>
    <tableColumn id="15" xr3:uid="{FB78D5CE-0402-4AB2-B590-CD7792AEC2CB}" name="法人／構成比" dataDxfId="1039"/>
    <tableColumn id="16" xr3:uid="{6B56FFCB-8BC6-4368-908C-A654EF357E73}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6028A8C8-A6CD-4896-ADE4-8F08FDB93EAE}" name="M_TABLE_20384" displayName="M_TABLE_20384" ref="B23:I43" totalsRowShown="0">
  <autoFilter ref="B23:I43" xr:uid="{6028A8C8-A6CD-4896-ADE4-8F08FDB93EAE}"/>
  <tableColumns count="8">
    <tableColumn id="9" xr3:uid="{3CD06ED8-A994-49B9-B6E1-B698CACC0661}" name="産業中分類上位２０"/>
    <tableColumn id="10" xr3:uid="{89B82CA3-5DB7-43DF-A478-019B14C18ABE}" name="総数／事業所数" dataCellStyle="桁区切り"/>
    <tableColumn id="11" xr3:uid="{FEB33170-B185-4763-9A01-772E933D8376}" name="総数／構成比" dataDxfId="579"/>
    <tableColumn id="12" xr3:uid="{0334D954-868C-4D4D-88E5-EA894B9CAB92}" name="個人／事業所数" dataCellStyle="桁区切り"/>
    <tableColumn id="13" xr3:uid="{7EACB932-DB0C-4B94-9CCE-ECD682F51EA8}" name="個人／構成比" dataDxfId="578"/>
    <tableColumn id="14" xr3:uid="{CC98174C-E541-4B5A-868F-E297DEA52F32}" name="法人／事業所数" dataCellStyle="桁区切り"/>
    <tableColumn id="15" xr3:uid="{3E47BF65-7082-4520-96B9-74BEA0DB27E4}" name="法人／構成比" dataDxfId="577"/>
    <tableColumn id="16" xr3:uid="{336C152F-1638-4AFA-8B73-91A18CA52094}" name="法人以外の団体／事業所数" dataCellStyle="桁区切り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487E071B-0DE3-486D-BAC1-28C493CA291A}" name="S_TABLE_20384" displayName="S_TABLE_20384" ref="B46:I70" totalsRowShown="0">
  <autoFilter ref="B46:I70" xr:uid="{487E071B-0DE3-486D-BAC1-28C493CA291A}"/>
  <tableColumns count="8">
    <tableColumn id="9" xr3:uid="{CC3AC558-A3E8-4079-91D4-D4D36A0AA8FE}" name="産業小分類上位２０"/>
    <tableColumn id="10" xr3:uid="{23910D26-2C09-4215-B1A8-654750C7E17D}" name="総数／事業所数" dataCellStyle="桁区切り"/>
    <tableColumn id="11" xr3:uid="{5F4D6917-1E30-4B99-9FD6-236DE10B8CC5}" name="総数／構成比" dataDxfId="576"/>
    <tableColumn id="12" xr3:uid="{896435FB-BA89-41C7-AEA1-684DA3499010}" name="個人／事業所数" dataCellStyle="桁区切り"/>
    <tableColumn id="13" xr3:uid="{C75ED6B6-B633-410D-B2F9-ECD97BAB3542}" name="個人／構成比" dataDxfId="575"/>
    <tableColumn id="14" xr3:uid="{939285B3-A565-4AC2-8B22-B8B2BAB965EC}" name="法人／事業所数" dataCellStyle="桁区切り"/>
    <tableColumn id="15" xr3:uid="{77921436-DD73-42B3-B6B4-006185CFF6FE}" name="法人／構成比" dataDxfId="574"/>
    <tableColumn id="16" xr3:uid="{4F488550-B897-4E99-BE55-B5BC119A3319}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89882062-1FFF-4DD6-B94B-917EEE03809F}" name="LTBL_20385" displayName="LTBL_20385" ref="B4:I20" totalsRowCount="1">
  <autoFilter ref="B4:I19" xr:uid="{89882062-1FFF-4DD6-B94B-917EEE03809F}"/>
  <tableColumns count="8">
    <tableColumn id="9" xr3:uid="{2445C2B7-1851-4AFB-958A-7BB34423341F}" name="産業大分類" totalsRowLabel="合計" totalsRowDxfId="573"/>
    <tableColumn id="10" xr3:uid="{483CFD55-26EF-4DAC-BAD0-8D368DBE372A}" name="総数／事業所数" totalsRowFunction="custom" totalsRowDxfId="572" dataCellStyle="桁区切り" totalsRowCellStyle="桁区切り">
      <totalsRowFormula>SUM(LTBL_20385[総数／事業所数])</totalsRowFormula>
    </tableColumn>
    <tableColumn id="11" xr3:uid="{ABF4368B-ED91-4DAF-A330-E78D80C2BE16}" name="総数／構成比" dataDxfId="571"/>
    <tableColumn id="12" xr3:uid="{F57C252C-0EBA-418A-A888-7CCD2D521360}" name="個人／事業所数" totalsRowFunction="sum" totalsRowDxfId="570" dataCellStyle="桁区切り" totalsRowCellStyle="桁区切り"/>
    <tableColumn id="13" xr3:uid="{09A7E945-4E56-48D5-8779-BEDE8FA54A60}" name="個人／構成比" dataDxfId="569"/>
    <tableColumn id="14" xr3:uid="{35D1EE42-4A10-446F-A4F0-4047C36A5DEB}" name="法人／事業所数" totalsRowFunction="sum" totalsRowDxfId="568" dataCellStyle="桁区切り" totalsRowCellStyle="桁区切り"/>
    <tableColumn id="15" xr3:uid="{73AC0316-2FCD-4399-8089-31885B688886}" name="法人／構成比" dataDxfId="567"/>
    <tableColumn id="16" xr3:uid="{5C9A4E74-4A6A-4222-8647-61A70984394E}" name="法人以外の団体／事業所数" totalsRowFunction="sum" totalsRowDxfId="566" dataCellStyle="桁区切り" totalsRow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78E78DF9-66E5-4963-B480-4CC718554946}" name="M_TABLE_20385" displayName="M_TABLE_20385" ref="B23:I46" totalsRowShown="0">
  <autoFilter ref="B23:I46" xr:uid="{78E78DF9-66E5-4963-B480-4CC718554946}"/>
  <tableColumns count="8">
    <tableColumn id="9" xr3:uid="{79D7101E-F4A2-4CB4-9F90-8AD6F046C7D1}" name="産業中分類上位２０"/>
    <tableColumn id="10" xr3:uid="{CD5C1F1D-9BF8-46E3-B458-2779DA101DF6}" name="総数／事業所数" dataCellStyle="桁区切り"/>
    <tableColumn id="11" xr3:uid="{5183585F-6D69-42B6-BD50-6091CBA5FFC5}" name="総数／構成比" dataDxfId="565"/>
    <tableColumn id="12" xr3:uid="{A7A851B0-FFCF-44BC-9BBE-995E7BE131ED}" name="個人／事業所数" dataCellStyle="桁区切り"/>
    <tableColumn id="13" xr3:uid="{77BDE511-EB72-431D-83F6-3EDA4E71BA79}" name="個人／構成比" dataDxfId="564"/>
    <tableColumn id="14" xr3:uid="{9C270F13-B09F-40EC-8791-9819C688A92F}" name="法人／事業所数" dataCellStyle="桁区切り"/>
    <tableColumn id="15" xr3:uid="{6E508CA4-0B26-4152-97E3-82BD7F6DA037}" name="法人／構成比" dataDxfId="563"/>
    <tableColumn id="16" xr3:uid="{4574D86A-D992-4F7B-8E72-9DAD032A3E46}" name="法人以外の団体／事業所数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305A9E27-6772-4E44-B2D9-1C754C9C5F4D}" name="S_TABLE_20385" displayName="S_TABLE_20385" ref="B49:I70" totalsRowShown="0">
  <autoFilter ref="B49:I70" xr:uid="{305A9E27-6772-4E44-B2D9-1C754C9C5F4D}"/>
  <tableColumns count="8">
    <tableColumn id="9" xr3:uid="{02F5045F-343A-4097-8708-B659A13E1921}" name="産業小分類上位２０"/>
    <tableColumn id="10" xr3:uid="{544970F4-6558-41D5-9C79-6979B01DFF29}" name="総数／事業所数" dataCellStyle="桁区切り"/>
    <tableColumn id="11" xr3:uid="{2612E233-5BDC-4981-BA68-44AD184651C3}" name="総数／構成比" dataDxfId="562"/>
    <tableColumn id="12" xr3:uid="{4C0745B1-86A9-4099-9697-4DE0217FD9A7}" name="個人／事業所数" dataCellStyle="桁区切り"/>
    <tableColumn id="13" xr3:uid="{976D2503-B5D7-46B7-AC7F-C46699DE14B8}" name="個人／構成比" dataDxfId="561"/>
    <tableColumn id="14" xr3:uid="{2123BC98-C5D4-46C3-A4E6-45A57E50E98F}" name="法人／事業所数" dataCellStyle="桁区切り"/>
    <tableColumn id="15" xr3:uid="{A1700D52-9B70-4ACF-9995-900C3F457CC6}" name="法人／構成比" dataDxfId="560"/>
    <tableColumn id="16" xr3:uid="{BDF1EC75-C2EB-4892-928E-86EBC018B582}" name="法人以外の団体／事業所数" dataCellStyle="桁区切り"/>
  </tableColumns>
  <tableStyleInfo name="TableStyleMedium9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F7C85D87-5C87-4C82-AEA4-1050099D67EF}" name="LTBL_20386" displayName="LTBL_20386" ref="B4:I20" totalsRowCount="1">
  <autoFilter ref="B4:I19" xr:uid="{F7C85D87-5C87-4C82-AEA4-1050099D67EF}"/>
  <tableColumns count="8">
    <tableColumn id="9" xr3:uid="{645E7FCB-1E3A-4AA1-AC27-53E8ABEAE164}" name="産業大分類" totalsRowLabel="合計" totalsRowDxfId="559"/>
    <tableColumn id="10" xr3:uid="{29B37FF5-DF48-4F5E-B1C8-3D162A1DBA88}" name="総数／事業所数" totalsRowFunction="custom" totalsRowDxfId="558" dataCellStyle="桁区切り" totalsRowCellStyle="桁区切り">
      <totalsRowFormula>SUM(LTBL_20386[総数／事業所数])</totalsRowFormula>
    </tableColumn>
    <tableColumn id="11" xr3:uid="{20A9BD10-E962-4B33-8437-73E94775EE60}" name="総数／構成比" dataDxfId="557"/>
    <tableColumn id="12" xr3:uid="{B1FA7DDF-CB33-432A-898D-17CF65D6045D}" name="個人／事業所数" totalsRowFunction="sum" totalsRowDxfId="556" dataCellStyle="桁区切り" totalsRowCellStyle="桁区切り"/>
    <tableColumn id="13" xr3:uid="{FF1117ED-59B2-43A8-962C-B1F66783C4F2}" name="個人／構成比" dataDxfId="555"/>
    <tableColumn id="14" xr3:uid="{6C0198BC-49FB-44BA-BA23-B4E92FF36381}" name="法人／事業所数" totalsRowFunction="sum" totalsRowDxfId="554" dataCellStyle="桁区切り" totalsRowCellStyle="桁区切り"/>
    <tableColumn id="15" xr3:uid="{E8D0DF4E-38D9-4EFC-A38B-21B2245DEBCB}" name="法人／構成比" dataDxfId="553"/>
    <tableColumn id="16" xr3:uid="{4AA4ADDD-AB83-4560-B5DB-3CD0D0AD2929}" name="法人以外の団体／事業所数" totalsRowFunction="sum" totalsRowDxfId="552" dataCellStyle="桁区切り" totalsRow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2F7B9B6A-77D3-429C-A5D9-117B9590175F}" name="M_TABLE_20386" displayName="M_TABLE_20386" ref="B23:I62" totalsRowShown="0">
  <autoFilter ref="B23:I62" xr:uid="{2F7B9B6A-77D3-429C-A5D9-117B9590175F}"/>
  <tableColumns count="8">
    <tableColumn id="9" xr3:uid="{CF3AF9D5-45A0-4DE3-B104-9264DAF4F5DC}" name="産業中分類上位２０"/>
    <tableColumn id="10" xr3:uid="{D5C7AA06-8C20-4014-A017-3ADF9A3B4FA5}" name="総数／事業所数" dataCellStyle="桁区切り"/>
    <tableColumn id="11" xr3:uid="{2F57F44A-842E-4B06-842E-9BCFC95EA96B}" name="総数／構成比" dataDxfId="551"/>
    <tableColumn id="12" xr3:uid="{C12E7BCA-6C94-4DFD-8248-33088B946B4F}" name="個人／事業所数" dataCellStyle="桁区切り"/>
    <tableColumn id="13" xr3:uid="{94A4493E-A276-44DF-B068-C4BCCE86FDC0}" name="個人／構成比" dataDxfId="550"/>
    <tableColumn id="14" xr3:uid="{D336BB31-F068-4201-83F1-8D2B142AEDFA}" name="法人／事業所数" dataCellStyle="桁区切り"/>
    <tableColumn id="15" xr3:uid="{6102678A-6500-42AF-A4CD-91CE294E17D2}" name="法人／構成比" dataDxfId="549"/>
    <tableColumn id="16" xr3:uid="{D8DABCE5-0B3F-49EB-9A75-744BFC912947}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8CB4B820-FC8F-429A-82CF-C54411864DD4}" name="S_TABLE_20386" displayName="S_TABLE_20386" ref="B65:I91" totalsRowShown="0">
  <autoFilter ref="B65:I91" xr:uid="{8CB4B820-FC8F-429A-82CF-C54411864DD4}"/>
  <tableColumns count="8">
    <tableColumn id="9" xr3:uid="{EC40CC86-1CCE-4A98-BFC6-B0489C1A2F65}" name="産業小分類上位２０"/>
    <tableColumn id="10" xr3:uid="{6EEFED21-84ED-41EF-8989-A3A747EBDA9E}" name="総数／事業所数" dataCellStyle="桁区切り"/>
    <tableColumn id="11" xr3:uid="{CD79029F-F460-4916-9274-CEB9C92C8D58}" name="総数／構成比" dataDxfId="548"/>
    <tableColumn id="12" xr3:uid="{57D90032-9C1C-4DD0-9099-1310D14075AD}" name="個人／事業所数" dataCellStyle="桁区切り"/>
    <tableColumn id="13" xr3:uid="{BC38C607-7B33-4A7D-BAF2-D2162575AC1B}" name="個人／構成比" dataDxfId="547"/>
    <tableColumn id="14" xr3:uid="{9C3062CE-D626-4430-9703-475ACFA0FFDC}" name="法人／事業所数" dataCellStyle="桁区切り"/>
    <tableColumn id="15" xr3:uid="{BB7FDCA5-CDF2-4DB4-95F2-4EC58579661F}" name="法人／構成比" dataDxfId="546"/>
    <tableColumn id="16" xr3:uid="{AE736386-B1A9-4AE8-B3BF-5DB518182C4E}" name="法人以外の団体／事業所数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BDECF4F9-2332-44F9-87CA-23724BE314A5}" name="LTBL_20388" displayName="LTBL_20388" ref="B4:I20" totalsRowCount="1">
  <autoFilter ref="B4:I19" xr:uid="{BDECF4F9-2332-44F9-87CA-23724BE314A5}"/>
  <tableColumns count="8">
    <tableColumn id="9" xr3:uid="{3749B7E0-EA78-43DE-A8FB-BF8590D40BD0}" name="産業大分類" totalsRowLabel="合計" totalsRowDxfId="545"/>
    <tableColumn id="10" xr3:uid="{C3E240E5-B79F-4D82-9F6B-DB56AF8BCEC3}" name="総数／事業所数" totalsRowFunction="custom" totalsRowDxfId="544" dataCellStyle="桁区切り" totalsRowCellStyle="桁区切り">
      <totalsRowFormula>SUM(LTBL_20388[総数／事業所数])</totalsRowFormula>
    </tableColumn>
    <tableColumn id="11" xr3:uid="{13ACA55B-D9EF-444A-A835-04B7A92B29EE}" name="総数／構成比" dataDxfId="543"/>
    <tableColumn id="12" xr3:uid="{62907053-EC16-45CE-B0BA-2944A8140AC1}" name="個人／事業所数" totalsRowFunction="sum" totalsRowDxfId="542" dataCellStyle="桁区切り" totalsRowCellStyle="桁区切り"/>
    <tableColumn id="13" xr3:uid="{88E4FE54-AD4F-4B47-B63E-AFA9218AC204}" name="個人／構成比" dataDxfId="541"/>
    <tableColumn id="14" xr3:uid="{FCA13719-2CEB-41FC-BE01-9FAEB591BF3F}" name="法人／事業所数" totalsRowFunction="sum" totalsRowDxfId="540" dataCellStyle="桁区切り" totalsRowCellStyle="桁区切り"/>
    <tableColumn id="15" xr3:uid="{E85F049A-CE5A-4B9F-A91E-CFDF7128FFA3}" name="法人／構成比" dataDxfId="539"/>
    <tableColumn id="16" xr3:uid="{B23E142C-46C7-4B31-9FE9-99670D21D94E}" name="法人以外の団体／事業所数" totalsRowFunction="sum" totalsRowDxfId="538" dataCellStyle="桁区切り" totalsRowCellStyle="桁区切り"/>
  </tableColumns>
  <tableStyleInfo name="TableStyleMedium9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0CB80BC2-7C02-426F-867B-82356CF78AFE}" name="M_TABLE_20388" displayName="M_TABLE_20388" ref="B23:I48" totalsRowShown="0">
  <autoFilter ref="B23:I48" xr:uid="{0CB80BC2-7C02-426F-867B-82356CF78AFE}"/>
  <tableColumns count="8">
    <tableColumn id="9" xr3:uid="{6DAC563C-AE82-4240-8FBF-D026CD690900}" name="産業中分類上位２０"/>
    <tableColumn id="10" xr3:uid="{D14803AC-1E62-40E7-B8E3-0ADF45028B1D}" name="総数／事業所数" dataCellStyle="桁区切り"/>
    <tableColumn id="11" xr3:uid="{35E8C7F2-B952-4265-8C4D-CB8C095EFBB4}" name="総数／構成比" dataDxfId="537"/>
    <tableColumn id="12" xr3:uid="{0B212196-049D-4E07-8A43-231718EB9C30}" name="個人／事業所数" dataCellStyle="桁区切り"/>
    <tableColumn id="13" xr3:uid="{B3AE0C3B-CEFD-40BB-A812-B9793A156F46}" name="個人／構成比" dataDxfId="536"/>
    <tableColumn id="14" xr3:uid="{92F7AA25-28F9-43B6-93C5-50A76226D98E}" name="法人／事業所数" dataCellStyle="桁区切り"/>
    <tableColumn id="15" xr3:uid="{CFE2BE9E-7543-4C9C-BF10-581740371F5E}" name="法人／構成比" dataDxfId="535"/>
    <tableColumn id="16" xr3:uid="{7C0E62B4-1035-4CC8-AD0A-D01E96295B26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86A45C8-B3D9-44C8-82FA-D04992191FC7}" name="S_TABLE_20203" displayName="S_TABLE_20203" ref="B46:I66" totalsRowShown="0">
  <autoFilter ref="B46:I66" xr:uid="{086A45C8-B3D9-44C8-82FA-D04992191FC7}"/>
  <tableColumns count="8">
    <tableColumn id="9" xr3:uid="{C7F8F2D1-C944-41AB-B1B5-04758ACB8C1A}" name="産業小分類上位２０"/>
    <tableColumn id="10" xr3:uid="{F9BEB044-3E5A-417E-BAC8-CFBA7021B8C0}" name="総数／事業所数" dataCellStyle="桁区切り"/>
    <tableColumn id="11" xr3:uid="{BFF7A99F-8AC2-4313-A08F-D85836CFD963}" name="総数／構成比" dataDxfId="1038"/>
    <tableColumn id="12" xr3:uid="{B49075CB-691C-4CE5-9782-E6114ED52254}" name="個人／事業所数" dataCellStyle="桁区切り"/>
    <tableColumn id="13" xr3:uid="{91E2C46A-D07C-4645-812C-8B2088F5594C}" name="個人／構成比" dataDxfId="1037"/>
    <tableColumn id="14" xr3:uid="{92E0EDCB-4985-46C0-9DD5-8E5873AD6DD4}" name="法人／事業所数" dataCellStyle="桁区切り"/>
    <tableColumn id="15" xr3:uid="{63893383-B0DC-4081-BDCD-E3701DAC8C8E}" name="法人／構成比" dataDxfId="1036"/>
    <tableColumn id="16" xr3:uid="{29E3875F-F85E-4E23-B690-A9D70F79E804}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07F4113C-8939-428E-A103-8E5BBBB8C635}" name="S_TABLE_20388" displayName="S_TABLE_20388" ref="B51:I73" totalsRowShown="0">
  <autoFilter ref="B51:I73" xr:uid="{07F4113C-8939-428E-A103-8E5BBBB8C635}"/>
  <tableColumns count="8">
    <tableColumn id="9" xr3:uid="{AD5B6E37-7CCD-45A8-B691-0FF6B613025F}" name="産業小分類上位２０"/>
    <tableColumn id="10" xr3:uid="{6F6C13F9-F93D-4280-AB0F-38DD7B31FD5C}" name="総数／事業所数" dataCellStyle="桁区切り"/>
    <tableColumn id="11" xr3:uid="{8BA4BE1A-D3A1-468E-9CFE-EF3902DAD1E7}" name="総数／構成比" dataDxfId="534"/>
    <tableColumn id="12" xr3:uid="{A8672E61-47DB-477B-B0BA-4A76F4CC3C9E}" name="個人／事業所数" dataCellStyle="桁区切り"/>
    <tableColumn id="13" xr3:uid="{B3751AD5-B684-4C82-8420-A86B608E86DF}" name="個人／構成比" dataDxfId="533"/>
    <tableColumn id="14" xr3:uid="{F2F1DA61-7144-438D-BE56-521D9BC9A98B}" name="法人／事業所数" dataCellStyle="桁区切り"/>
    <tableColumn id="15" xr3:uid="{AE5BCD93-0E4B-463E-8C17-AEB42AABCB59}" name="法人／構成比" dataDxfId="532"/>
    <tableColumn id="16" xr3:uid="{8BC3BADA-D2BD-460F-A2B8-9D3524C3C5F8}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73988E48-9411-4B83-9F41-AC885D161C85}" name="LTBL_20402" displayName="LTBL_20402" ref="B4:I20" totalsRowCount="1">
  <autoFilter ref="B4:I19" xr:uid="{73988E48-9411-4B83-9F41-AC885D161C85}"/>
  <tableColumns count="8">
    <tableColumn id="9" xr3:uid="{E42509DF-FAA6-4962-A305-7ABF6B6AB035}" name="産業大分類" totalsRowLabel="合計" totalsRowDxfId="531"/>
    <tableColumn id="10" xr3:uid="{2771DDD7-7EDB-439F-A439-E8A1B7DBB792}" name="総数／事業所数" totalsRowFunction="custom" totalsRowDxfId="530" dataCellStyle="桁区切り" totalsRowCellStyle="桁区切り">
      <totalsRowFormula>SUM(LTBL_20402[総数／事業所数])</totalsRowFormula>
    </tableColumn>
    <tableColumn id="11" xr3:uid="{ADD9EE51-232C-4FC4-8A71-665012A34FDF}" name="総数／構成比" dataDxfId="529"/>
    <tableColumn id="12" xr3:uid="{9C4E9646-84F6-42F1-87E8-97BCC4D8E86A}" name="個人／事業所数" totalsRowFunction="sum" totalsRowDxfId="528" dataCellStyle="桁区切り" totalsRowCellStyle="桁区切り"/>
    <tableColumn id="13" xr3:uid="{965D60D4-F17A-48E7-AE81-145CB6408C82}" name="個人／構成比" dataDxfId="527"/>
    <tableColumn id="14" xr3:uid="{EBDA55D7-DE93-42E2-B837-90BA5B1D7950}" name="法人／事業所数" totalsRowFunction="sum" totalsRowDxfId="526" dataCellStyle="桁区切り" totalsRowCellStyle="桁区切り"/>
    <tableColumn id="15" xr3:uid="{FF616233-5751-43FA-BA43-4FB58601F3B8}" name="法人／構成比" dataDxfId="525"/>
    <tableColumn id="16" xr3:uid="{ACE84ED7-98D4-4072-BCAA-F7EC855C2D51}" name="法人以外の団体／事業所数" totalsRowFunction="sum" totalsRowDxfId="524" dataCellStyle="桁区切り" totalsRow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7102A78F-7E70-4403-B7E2-B8735333ACA5}" name="M_TABLE_20402" displayName="M_TABLE_20402" ref="B23:I44" totalsRowShown="0">
  <autoFilter ref="B23:I44" xr:uid="{7102A78F-7E70-4403-B7E2-B8735333ACA5}"/>
  <tableColumns count="8">
    <tableColumn id="9" xr3:uid="{49014AF1-2B7C-4557-9497-2C540C9D5062}" name="産業中分類上位２０"/>
    <tableColumn id="10" xr3:uid="{502E53DC-FE63-4BDC-9649-413EC0349943}" name="総数／事業所数" dataCellStyle="桁区切り"/>
    <tableColumn id="11" xr3:uid="{FAABCF13-3796-4B53-860A-8D5DC2A82A3C}" name="総数／構成比" dataDxfId="523"/>
    <tableColumn id="12" xr3:uid="{236A5402-6166-4FC2-8BF9-136DB4452F21}" name="個人／事業所数" dataCellStyle="桁区切り"/>
    <tableColumn id="13" xr3:uid="{B17CC90F-0188-48E9-A56B-53986C658E2A}" name="個人／構成比" dataDxfId="522"/>
    <tableColumn id="14" xr3:uid="{C9207D97-BE76-49B3-9CE0-029D3DCCA762}" name="法人／事業所数" dataCellStyle="桁区切り"/>
    <tableColumn id="15" xr3:uid="{B3B0DF06-E4AB-43F8-A6D6-EA2F6F02F1B3}" name="法人／構成比" dataDxfId="521"/>
    <tableColumn id="16" xr3:uid="{B7AB3C00-82C9-4BC0-9E24-F4411973BD0A}" name="法人以外の団体／事業所数" dataCellStyle="桁区切り"/>
  </tableColumns>
  <tableStyleInfo name="TableStyleMedium9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73920CA4-60E6-4EDE-9A41-B06D24CC6DEB}" name="S_TABLE_20402" displayName="S_TABLE_20402" ref="B47:I70" totalsRowShown="0">
  <autoFilter ref="B47:I70" xr:uid="{73920CA4-60E6-4EDE-9A41-B06D24CC6DEB}"/>
  <tableColumns count="8">
    <tableColumn id="9" xr3:uid="{18C17279-1C59-4D04-BB7B-F7893262E450}" name="産業小分類上位２０"/>
    <tableColumn id="10" xr3:uid="{212F7023-1A23-488E-A131-5761A0C2F823}" name="総数／事業所数" dataCellStyle="桁区切り"/>
    <tableColumn id="11" xr3:uid="{37324F36-CCA1-453C-AC88-581B3EFF8B59}" name="総数／構成比" dataDxfId="520"/>
    <tableColumn id="12" xr3:uid="{F95522FB-02F7-4986-BDD2-06723E641BC4}" name="個人／事業所数" dataCellStyle="桁区切り"/>
    <tableColumn id="13" xr3:uid="{94DE4273-8255-4959-BD2B-17F063B30467}" name="個人／構成比" dataDxfId="519"/>
    <tableColumn id="14" xr3:uid="{F2ECB41A-EBB5-46AD-9261-CC113D6E85F3}" name="法人／事業所数" dataCellStyle="桁区切り"/>
    <tableColumn id="15" xr3:uid="{7ECE42B3-A647-4C05-8C4B-EBC7EB2F4FD5}" name="法人／構成比" dataDxfId="518"/>
    <tableColumn id="16" xr3:uid="{D92CE69D-D6F0-464C-AEAA-A792A4BDEE32}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082D5ABF-354D-41DE-9051-74AE9E789E53}" name="LTBL_20403" displayName="LTBL_20403" ref="B4:I20" totalsRowCount="1">
  <autoFilter ref="B4:I19" xr:uid="{082D5ABF-354D-41DE-9051-74AE9E789E53}"/>
  <tableColumns count="8">
    <tableColumn id="9" xr3:uid="{B4E3FA72-B5EE-43E0-9584-AF57701A43C9}" name="産業大分類" totalsRowLabel="合計" totalsRowDxfId="517"/>
    <tableColumn id="10" xr3:uid="{84E89906-1643-410D-916B-77BFECE8B840}" name="総数／事業所数" totalsRowFunction="custom" totalsRowDxfId="516" dataCellStyle="桁区切り" totalsRowCellStyle="桁区切り">
      <totalsRowFormula>SUM(LTBL_20403[総数／事業所数])</totalsRowFormula>
    </tableColumn>
    <tableColumn id="11" xr3:uid="{18714080-96E0-4877-8EA1-309105A33579}" name="総数／構成比" dataDxfId="515"/>
    <tableColumn id="12" xr3:uid="{A40B39F2-1ABE-4064-A7DC-33DB6F18E8FB}" name="個人／事業所数" totalsRowFunction="sum" totalsRowDxfId="514" dataCellStyle="桁区切り" totalsRowCellStyle="桁区切り"/>
    <tableColumn id="13" xr3:uid="{0A079615-3E56-4E6D-B090-700F8F026B2A}" name="個人／構成比" dataDxfId="513"/>
    <tableColumn id="14" xr3:uid="{5AB6B53B-FB22-401E-BA82-DD9A6382F6AE}" name="法人／事業所数" totalsRowFunction="sum" totalsRowDxfId="512" dataCellStyle="桁区切り" totalsRowCellStyle="桁区切り"/>
    <tableColumn id="15" xr3:uid="{D874BCD2-DEC3-4D33-814A-E14A8D5F6CBB}" name="法人／構成比" dataDxfId="511"/>
    <tableColumn id="16" xr3:uid="{6E4F5C9A-0CD7-45B2-8C1B-050A1D6FE476}" name="法人以外の団体／事業所数" totalsRowFunction="sum" totalsRowDxfId="510" dataCellStyle="桁区切り" totalsRow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00FED485-4628-4C46-A5E1-C2E7807CBF40}" name="M_TABLE_20403" displayName="M_TABLE_20403" ref="B23:I43" totalsRowShown="0">
  <autoFilter ref="B23:I43" xr:uid="{00FED485-4628-4C46-A5E1-C2E7807CBF40}"/>
  <tableColumns count="8">
    <tableColumn id="9" xr3:uid="{1D89DEEF-A671-4198-994B-A6ABCF588233}" name="産業中分類上位２０"/>
    <tableColumn id="10" xr3:uid="{A4217F84-409F-429F-B58F-E072CB8DB376}" name="総数／事業所数" dataCellStyle="桁区切り"/>
    <tableColumn id="11" xr3:uid="{8332A88C-CD64-410D-B2B6-FDF9D1080CFF}" name="総数／構成比" dataDxfId="509"/>
    <tableColumn id="12" xr3:uid="{69DE57E0-004E-4C2B-87A3-7B2104A22B11}" name="個人／事業所数" dataCellStyle="桁区切り"/>
    <tableColumn id="13" xr3:uid="{735013E0-C296-4E3F-85BF-9FBEC5EC1296}" name="個人／構成比" dataDxfId="508"/>
    <tableColumn id="14" xr3:uid="{393E425C-9884-4A4E-8450-F5FE74B1D55E}" name="法人／事業所数" dataCellStyle="桁区切り"/>
    <tableColumn id="15" xr3:uid="{FEC919A3-A3F6-4B5F-9873-587616C9300F}" name="法人／構成比" dataDxfId="507"/>
    <tableColumn id="16" xr3:uid="{13D1B699-A29F-455B-9154-EECC4CB1E951}" name="法人以外の団体／事業所数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016CD7CB-6461-407F-9B6B-2E54A2067EFE}" name="S_TABLE_20403" displayName="S_TABLE_20403" ref="B46:I73" totalsRowShown="0">
  <autoFilter ref="B46:I73" xr:uid="{016CD7CB-6461-407F-9B6B-2E54A2067EFE}"/>
  <tableColumns count="8">
    <tableColumn id="9" xr3:uid="{38FC114F-76B8-45BA-9488-9DD9F9ADAEA4}" name="産業小分類上位２０"/>
    <tableColumn id="10" xr3:uid="{80A260DB-ED84-44EB-A036-2EF58984974E}" name="総数／事業所数" dataCellStyle="桁区切り"/>
    <tableColumn id="11" xr3:uid="{531794FB-A31C-4160-A2ED-FF599A8279E6}" name="総数／構成比" dataDxfId="506"/>
    <tableColumn id="12" xr3:uid="{720628C4-5473-4E44-B9C2-B5272F19BF2E}" name="個人／事業所数" dataCellStyle="桁区切り"/>
    <tableColumn id="13" xr3:uid="{B4872912-C6F4-4C19-AD6B-8254E5A70E9A}" name="個人／構成比" dataDxfId="505"/>
    <tableColumn id="14" xr3:uid="{881E4C61-9080-4633-9762-9D2AFDD4148F}" name="法人／事業所数" dataCellStyle="桁区切り"/>
    <tableColumn id="15" xr3:uid="{5CC9E033-26D9-4023-8E99-21367EBA5D38}" name="法人／構成比" dataDxfId="504"/>
    <tableColumn id="16" xr3:uid="{5F01C5AB-32C7-4B5B-A362-5DBF539A77AF}" name="法人以外の団体／事業所数" dataCellStyle="桁区切り"/>
  </tableColumns>
  <tableStyleInfo name="TableStyleMedium9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31AC19CA-B39D-4DF6-8CC9-9D99EC1D5F90}" name="LTBL_20404" displayName="LTBL_20404" ref="B4:I20" totalsRowCount="1">
  <autoFilter ref="B4:I19" xr:uid="{31AC19CA-B39D-4DF6-8CC9-9D99EC1D5F90}"/>
  <tableColumns count="8">
    <tableColumn id="9" xr3:uid="{43959340-53B0-410E-BF1D-0D1603ECB118}" name="産業大分類" totalsRowLabel="合計" totalsRowDxfId="503"/>
    <tableColumn id="10" xr3:uid="{FF322A99-73E1-41D7-9B0A-0160457E613E}" name="総数／事業所数" totalsRowFunction="custom" totalsRowDxfId="502" dataCellStyle="桁区切り" totalsRowCellStyle="桁区切り">
      <totalsRowFormula>SUM(LTBL_20404[総数／事業所数])</totalsRowFormula>
    </tableColumn>
    <tableColumn id="11" xr3:uid="{0528933E-2CDF-4EDA-BB1F-74C09B809108}" name="総数／構成比" dataDxfId="501"/>
    <tableColumn id="12" xr3:uid="{155E9399-2BC0-4D9D-A851-89B426EB03F0}" name="個人／事業所数" totalsRowFunction="sum" totalsRowDxfId="500" dataCellStyle="桁区切り" totalsRowCellStyle="桁区切り"/>
    <tableColumn id="13" xr3:uid="{5F485960-CECD-4D76-9422-02AB3507B0A4}" name="個人／構成比" dataDxfId="499"/>
    <tableColumn id="14" xr3:uid="{A119DE27-E6F9-46E6-AC25-00B019A06C76}" name="法人／事業所数" totalsRowFunction="sum" totalsRowDxfId="498" dataCellStyle="桁区切り" totalsRowCellStyle="桁区切り"/>
    <tableColumn id="15" xr3:uid="{07CAB38F-509A-4C85-BAD7-5289D675AE2D}" name="法人／構成比" dataDxfId="497"/>
    <tableColumn id="16" xr3:uid="{3895C1ED-D4AE-4330-90D0-C7F381DA5779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D5797A67-5786-436C-94E6-BC01D55455F8}" name="M_TABLE_20404" displayName="M_TABLE_20404" ref="B23:I45" totalsRowShown="0">
  <autoFilter ref="B23:I45" xr:uid="{D5797A67-5786-436C-94E6-BC01D55455F8}"/>
  <tableColumns count="8">
    <tableColumn id="9" xr3:uid="{F2041460-EFBE-450C-84AE-0A865D2B7075}" name="産業中分類上位２０"/>
    <tableColumn id="10" xr3:uid="{05C89F96-5BA5-4113-AC70-50B603FC5C10}" name="総数／事業所数" dataCellStyle="桁区切り"/>
    <tableColumn id="11" xr3:uid="{2987C2D1-299A-44B0-A56E-692E98BF5BE1}" name="総数／構成比" dataDxfId="495"/>
    <tableColumn id="12" xr3:uid="{4979FDC2-D247-4797-ACC3-73585CA051F8}" name="個人／事業所数" dataCellStyle="桁区切り"/>
    <tableColumn id="13" xr3:uid="{56418EFC-E9C1-43B8-8C25-641C7A01EA0F}" name="個人／構成比" dataDxfId="494"/>
    <tableColumn id="14" xr3:uid="{E43E17FF-5CC0-4D64-8A91-6A055ED51D9F}" name="法人／事業所数" dataCellStyle="桁区切り"/>
    <tableColumn id="15" xr3:uid="{94A1C8C5-39FB-4758-9EF8-85242A3F81C4}" name="法人／構成比" dataDxfId="493"/>
    <tableColumn id="16" xr3:uid="{3A909509-6A00-4BFF-873B-F53EDE304377}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FC64D1B6-D5DC-43EF-9C93-6CF7926C66E3}" name="S_TABLE_20404" displayName="S_TABLE_20404" ref="B48:I81" totalsRowShown="0">
  <autoFilter ref="B48:I81" xr:uid="{FC64D1B6-D5DC-43EF-9C93-6CF7926C66E3}"/>
  <tableColumns count="8">
    <tableColumn id="9" xr3:uid="{C763C972-F175-4294-B419-85ADE3CE09DE}" name="産業小分類上位２０"/>
    <tableColumn id="10" xr3:uid="{BF574CAA-A186-4F44-BA51-DF66EBA5BC0C}" name="総数／事業所数" dataCellStyle="桁区切り"/>
    <tableColumn id="11" xr3:uid="{513649A9-7E93-4961-8801-C4B7928D6943}" name="総数／構成比" dataDxfId="492"/>
    <tableColumn id="12" xr3:uid="{AD7419FE-A35D-4CCF-AD19-19CA39359A84}" name="個人／事業所数" dataCellStyle="桁区切り"/>
    <tableColumn id="13" xr3:uid="{E7D8E416-DF2E-4FAB-B7EE-8D9E4D7716C0}" name="個人／構成比" dataDxfId="491"/>
    <tableColumn id="14" xr3:uid="{ABE1BD65-C099-41AD-A689-1006E9BC33EC}" name="法人／事業所数" dataCellStyle="桁区切り"/>
    <tableColumn id="15" xr3:uid="{66809E91-FE9F-4340-A864-DED7A19F6A0D}" name="法人／構成比" dataDxfId="490"/>
    <tableColumn id="16" xr3:uid="{1C1FB1B4-4BEC-4FAC-A054-DD7AE68B3567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4DF4228-5511-48C0-AA4A-07D20379A1EC}" name="LTBL_20204" displayName="LTBL_20204" ref="B4:I20" totalsRowCount="1">
  <autoFilter ref="B4:I19" xr:uid="{44DF4228-5511-48C0-AA4A-07D20379A1EC}"/>
  <tableColumns count="8">
    <tableColumn id="9" xr3:uid="{8A8C4862-4702-40B1-9FF3-37B53D1F1CBE}" name="産業大分類" totalsRowLabel="合計" totalsRowDxfId="1035"/>
    <tableColumn id="10" xr3:uid="{0224E54B-9344-4E52-8A57-9292F6F96AEB}" name="総数／事業所数" totalsRowFunction="custom" totalsRowDxfId="1034" dataCellStyle="桁区切り" totalsRowCellStyle="桁区切り">
      <totalsRowFormula>SUM(LTBL_20204[総数／事業所数])</totalsRowFormula>
    </tableColumn>
    <tableColumn id="11" xr3:uid="{953F6FDB-62BF-4B75-8EF4-4A2C4F9240A2}" name="総数／構成比" dataDxfId="1033"/>
    <tableColumn id="12" xr3:uid="{8B7DA4DC-61C5-4989-A36F-63A1BB77A7E0}" name="個人／事業所数" totalsRowFunction="sum" totalsRowDxfId="1032" dataCellStyle="桁区切り" totalsRowCellStyle="桁区切り"/>
    <tableColumn id="13" xr3:uid="{05B57627-F979-4B72-8FF8-5AB5C575E5AF}" name="個人／構成比" dataDxfId="1031"/>
    <tableColumn id="14" xr3:uid="{46FD310E-F453-477C-B42D-58362CD8F773}" name="法人／事業所数" totalsRowFunction="sum" totalsRowDxfId="1030" dataCellStyle="桁区切り" totalsRowCellStyle="桁区切り"/>
    <tableColumn id="15" xr3:uid="{06450895-7837-4110-8DA9-E5547919C931}" name="法人／構成比" dataDxfId="1029"/>
    <tableColumn id="16" xr3:uid="{70C97576-A308-48E4-8829-BA8337C626F4}" name="法人以外の団体／事業所数" totalsRowFunction="sum" totalsRowDxfId="1028" dataCellStyle="桁区切り" totalsRow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A97C9360-E1FE-46B0-B58C-28EEE3496141}" name="LTBL_20407" displayName="LTBL_20407" ref="B4:I20" totalsRowCount="1">
  <autoFilter ref="B4:I19" xr:uid="{A97C9360-E1FE-46B0-B58C-28EEE3496141}"/>
  <tableColumns count="8">
    <tableColumn id="9" xr3:uid="{D088E83A-8638-4896-A1A2-F8E2C89D6DD5}" name="産業大分類" totalsRowLabel="合計" totalsRowDxfId="489"/>
    <tableColumn id="10" xr3:uid="{5A626512-F8E9-4571-8BA8-D83138F35C94}" name="総数／事業所数" totalsRowFunction="custom" totalsRowDxfId="488" dataCellStyle="桁区切り" totalsRowCellStyle="桁区切り">
      <totalsRowFormula>SUM(LTBL_20407[総数／事業所数])</totalsRowFormula>
    </tableColumn>
    <tableColumn id="11" xr3:uid="{CACA98A9-59FB-4793-A840-AB41E4D5A9A0}" name="総数／構成比" dataDxfId="487"/>
    <tableColumn id="12" xr3:uid="{9C58D680-64B1-41DF-8271-82FA4151E66F}" name="個人／事業所数" totalsRowFunction="sum" totalsRowDxfId="486" dataCellStyle="桁区切り" totalsRowCellStyle="桁区切り"/>
    <tableColumn id="13" xr3:uid="{1233F6A6-4BED-44DC-A452-62EBF54679D8}" name="個人／構成比" dataDxfId="485"/>
    <tableColumn id="14" xr3:uid="{F616D7CA-4CD4-4B64-90BF-794818E72F06}" name="法人／事業所数" totalsRowFunction="sum" totalsRowDxfId="484" dataCellStyle="桁区切り" totalsRowCellStyle="桁区切り"/>
    <tableColumn id="15" xr3:uid="{DB11EA18-93A5-4AF1-804D-D1A8E4A30DF8}" name="法人／構成比" dataDxfId="483"/>
    <tableColumn id="16" xr3:uid="{E1B0F695-B33B-4FE4-ACCE-38ECC473F66D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BE679153-26BE-4DCE-8BC3-5A2BAE42FE30}" name="M_TABLE_20407" displayName="M_TABLE_20407" ref="B23:I43" totalsRowShown="0">
  <autoFilter ref="B23:I43" xr:uid="{BE679153-26BE-4DCE-8BC3-5A2BAE42FE30}"/>
  <tableColumns count="8">
    <tableColumn id="9" xr3:uid="{C8124D3F-3D1B-4F37-BCDD-92DE77095B5E}" name="産業中分類上位２０"/>
    <tableColumn id="10" xr3:uid="{A8217A33-2B9B-4CCB-A893-39BF383F9721}" name="総数／事業所数" dataCellStyle="桁区切り"/>
    <tableColumn id="11" xr3:uid="{DF6D7BA9-358F-4366-953F-429106CAFCDF}" name="総数／構成比" dataDxfId="481"/>
    <tableColumn id="12" xr3:uid="{9568BE07-987C-4732-AE60-994C143246AF}" name="個人／事業所数" dataCellStyle="桁区切り"/>
    <tableColumn id="13" xr3:uid="{FE94D83C-039A-40C4-9E06-C5191A1EE83B}" name="個人／構成比" dataDxfId="480"/>
    <tableColumn id="14" xr3:uid="{FE44B899-C767-4ADE-84EE-C84EAAD387B6}" name="法人／事業所数" dataCellStyle="桁区切り"/>
    <tableColumn id="15" xr3:uid="{88CD67F3-7195-454B-A92F-FE22D4658836}" name="法人／構成比" dataDxfId="479"/>
    <tableColumn id="16" xr3:uid="{3A3885F0-9D26-4DF3-96FE-01BA883014F9}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EC1E4978-D395-4B45-86A0-E598E362ED6A}" name="S_TABLE_20407" displayName="S_TABLE_20407" ref="B46:I66" totalsRowShown="0">
  <autoFilter ref="B46:I66" xr:uid="{EC1E4978-D395-4B45-86A0-E598E362ED6A}"/>
  <tableColumns count="8">
    <tableColumn id="9" xr3:uid="{9641410F-CE17-4CDC-870A-A55FE0CD6A45}" name="産業小分類上位２０"/>
    <tableColumn id="10" xr3:uid="{C450C9D9-C570-4D88-BA33-D75345C6EE5B}" name="総数／事業所数" dataCellStyle="桁区切り"/>
    <tableColumn id="11" xr3:uid="{FCF59D7B-39B1-4434-AE9E-4BB4981F8C5C}" name="総数／構成比" dataDxfId="478"/>
    <tableColumn id="12" xr3:uid="{A04FADF5-8398-4AEE-B3BC-ADA191025FA8}" name="個人／事業所数" dataCellStyle="桁区切り"/>
    <tableColumn id="13" xr3:uid="{B6FF01DC-9D49-4E82-95C7-E488242125DE}" name="個人／構成比" dataDxfId="477"/>
    <tableColumn id="14" xr3:uid="{2126E912-E317-4EEF-A5EE-AA0AB498DF22}" name="法人／事業所数" dataCellStyle="桁区切り"/>
    <tableColumn id="15" xr3:uid="{577F6997-1DC6-4904-9822-DF4455B6EC8E}" name="法人／構成比" dataDxfId="476"/>
    <tableColumn id="16" xr3:uid="{F50844F5-34AC-49BC-8BE7-EBD91F8D2A46}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F1A029CE-9878-447C-BBC9-08777D630ADE}" name="LTBL_20409" displayName="LTBL_20409" ref="B4:I20" totalsRowCount="1">
  <autoFilter ref="B4:I19" xr:uid="{F1A029CE-9878-447C-BBC9-08777D630ADE}"/>
  <tableColumns count="8">
    <tableColumn id="9" xr3:uid="{FD32361C-A2B9-4ADF-BC22-B2E908155E80}" name="産業大分類" totalsRowLabel="合計" totalsRowDxfId="475"/>
    <tableColumn id="10" xr3:uid="{69843E1A-FBA3-4342-8860-1426B1900B4B}" name="総数／事業所数" totalsRowFunction="custom" totalsRowDxfId="474" dataCellStyle="桁区切り" totalsRowCellStyle="桁区切り">
      <totalsRowFormula>SUM(LTBL_20409[総数／事業所数])</totalsRowFormula>
    </tableColumn>
    <tableColumn id="11" xr3:uid="{1E4FBEE5-3A0E-4AA7-A999-D49BDDD15F8F}" name="総数／構成比" dataDxfId="473"/>
    <tableColumn id="12" xr3:uid="{775CE823-D731-487E-984C-79B6DED03559}" name="個人／事業所数" totalsRowFunction="sum" totalsRowDxfId="472" dataCellStyle="桁区切り" totalsRowCellStyle="桁区切り"/>
    <tableColumn id="13" xr3:uid="{51F30970-BA40-4E7E-91B9-3D1B6AE0FC1E}" name="個人／構成比" dataDxfId="471"/>
    <tableColumn id="14" xr3:uid="{EACF97E0-2B21-44DE-8A29-B4590A4AF9D5}" name="法人／事業所数" totalsRowFunction="sum" totalsRowDxfId="470" dataCellStyle="桁区切り" totalsRowCellStyle="桁区切り"/>
    <tableColumn id="15" xr3:uid="{E6AAF29D-9432-44D7-AB37-EA49F98B2998}" name="法人／構成比" dataDxfId="469"/>
    <tableColumn id="16" xr3:uid="{8C563105-B5F5-494D-AB82-C3DF72EF70EC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23C59255-0635-4111-BBAB-309A1CBE7352}" name="M_TABLE_20409" displayName="M_TABLE_20409" ref="B23:I36" totalsRowShown="0">
  <autoFilter ref="B23:I36" xr:uid="{23C59255-0635-4111-BBAB-309A1CBE7352}"/>
  <tableColumns count="8">
    <tableColumn id="9" xr3:uid="{F34E002C-909E-45C1-A7E3-64880BCD7E64}" name="産業中分類上位２０"/>
    <tableColumn id="10" xr3:uid="{11A0BE81-7222-49DF-8B6A-CB9ECDDB106E}" name="総数／事業所数" dataCellStyle="桁区切り"/>
    <tableColumn id="11" xr3:uid="{48FCB1B6-5B75-4720-AE3D-961CB47FAE15}" name="総数／構成比" dataDxfId="467"/>
    <tableColumn id="12" xr3:uid="{5C318AF6-D8AB-4535-9A3B-EE85EC69D4E3}" name="個人／事業所数" dataCellStyle="桁区切り"/>
    <tableColumn id="13" xr3:uid="{E279F6C0-34C0-48DC-BC26-F27EAEF7501C}" name="個人／構成比" dataDxfId="466"/>
    <tableColumn id="14" xr3:uid="{F3796E44-50CB-4B5E-ACF2-6AF55F916737}" name="法人／事業所数" dataCellStyle="桁区切り"/>
    <tableColumn id="15" xr3:uid="{B6812838-9262-48DA-97CC-039F6EE82323}" name="法人／構成比" dataDxfId="465"/>
    <tableColumn id="16" xr3:uid="{D28EED34-BC50-461A-8BF3-982B4816A20C}" name="法人以外の団体／事業所数" dataCellStyle="桁区切り"/>
  </tableColumns>
  <tableStyleInfo name="TableStyleMedium9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A2A0CF75-2E8C-4EE5-981E-2F3A37FF378F}" name="S_TABLE_20409" displayName="S_TABLE_20409" ref="B39:I63" totalsRowShown="0">
  <autoFilter ref="B39:I63" xr:uid="{A2A0CF75-2E8C-4EE5-981E-2F3A37FF378F}"/>
  <tableColumns count="8">
    <tableColumn id="9" xr3:uid="{A26CC5BE-9A74-4F18-88E0-D7850B100F66}" name="産業小分類上位２０"/>
    <tableColumn id="10" xr3:uid="{22FB7002-D0EE-4100-A886-4FAB1C26AB9A}" name="総数／事業所数" dataCellStyle="桁区切り"/>
    <tableColumn id="11" xr3:uid="{F97661E9-E19E-4F33-AED3-4986CB06B750}" name="総数／構成比" dataDxfId="464"/>
    <tableColumn id="12" xr3:uid="{A0C8DC08-8ADA-43A8-A754-4A86861A2FE1}" name="個人／事業所数" dataCellStyle="桁区切り"/>
    <tableColumn id="13" xr3:uid="{A1C52870-8987-4544-86E3-606B625CA0AC}" name="個人／構成比" dataDxfId="463"/>
    <tableColumn id="14" xr3:uid="{6B624141-3652-4F49-8FD0-7FF353C1C71B}" name="法人／事業所数" dataCellStyle="桁区切り"/>
    <tableColumn id="15" xr3:uid="{97BDB1AE-A869-41FB-B869-E685BACBBA72}" name="法人／構成比" dataDxfId="462"/>
    <tableColumn id="16" xr3:uid="{654B74A5-2882-42AD-9A38-0A15C3F527FC}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25153C02-09DE-4962-8363-EA669594A956}" name="LTBL_20410" displayName="LTBL_20410" ref="B4:I20" totalsRowCount="1">
  <autoFilter ref="B4:I19" xr:uid="{25153C02-09DE-4962-8363-EA669594A956}"/>
  <tableColumns count="8">
    <tableColumn id="9" xr3:uid="{301AE24C-00A8-41C2-8A8A-6B221C775AB5}" name="産業大分類" totalsRowLabel="合計" totalsRowDxfId="461"/>
    <tableColumn id="10" xr3:uid="{A6B62863-170C-47BA-B490-36E78358C8B2}" name="総数／事業所数" totalsRowFunction="custom" totalsRowDxfId="460" dataCellStyle="桁区切り" totalsRowCellStyle="桁区切り">
      <totalsRowFormula>SUM(LTBL_20410[総数／事業所数])</totalsRowFormula>
    </tableColumn>
    <tableColumn id="11" xr3:uid="{7CD1F312-B101-4DB5-AABE-ACD4457DCAAA}" name="総数／構成比" dataDxfId="459"/>
    <tableColumn id="12" xr3:uid="{5958E16E-467C-4D01-97DC-C1174EC0E419}" name="個人／事業所数" totalsRowFunction="sum" totalsRowDxfId="458" dataCellStyle="桁区切り" totalsRowCellStyle="桁区切り"/>
    <tableColumn id="13" xr3:uid="{C47503A6-A51A-4E9E-AB88-3C12C29EAD84}" name="個人／構成比" dataDxfId="457"/>
    <tableColumn id="14" xr3:uid="{9097EAB0-33AE-4023-8312-29396DE5FC85}" name="法人／事業所数" totalsRowFunction="sum" totalsRowDxfId="456" dataCellStyle="桁区切り" totalsRowCellStyle="桁区切り"/>
    <tableColumn id="15" xr3:uid="{CF6DF437-2CF4-452E-91BC-333EE070C8F3}" name="法人／構成比" dataDxfId="455"/>
    <tableColumn id="16" xr3:uid="{1C88876C-3EF6-439E-8650-B52DB2158D61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5A6D4481-D59C-41F7-844D-C8F20DE49ED1}" name="M_TABLE_20410" displayName="M_TABLE_20410" ref="B23:I40" totalsRowShown="0">
  <autoFilter ref="B23:I40" xr:uid="{5A6D4481-D59C-41F7-844D-C8F20DE49ED1}"/>
  <tableColumns count="8">
    <tableColumn id="9" xr3:uid="{5D28C2DE-972D-4071-BE87-D201D84C3A14}" name="産業中分類上位２０"/>
    <tableColumn id="10" xr3:uid="{11861801-7435-44E7-A2FC-FD14156D49CB}" name="総数／事業所数" dataCellStyle="桁区切り"/>
    <tableColumn id="11" xr3:uid="{2B345691-B8D2-4282-98E4-2FF26069E319}" name="総数／構成比" dataDxfId="453"/>
    <tableColumn id="12" xr3:uid="{55FD1EBD-4126-4187-B060-A9EF9A825283}" name="個人／事業所数" dataCellStyle="桁区切り"/>
    <tableColumn id="13" xr3:uid="{AA3FD52F-DCDC-4968-9344-8CD89451E0DC}" name="個人／構成比" dataDxfId="452"/>
    <tableColumn id="14" xr3:uid="{2C8F1022-6640-4AA4-A434-E838E89AC283}" name="法人／事業所数" dataCellStyle="桁区切り"/>
    <tableColumn id="15" xr3:uid="{6F1C8DC7-C798-42DF-9D13-1424DB019CCB}" name="法人／構成比" dataDxfId="451"/>
    <tableColumn id="16" xr3:uid="{330C7A00-2AFD-4008-B51D-842D9D3E18B7}" name="法人以外の団体／事業所数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B1D14C8D-7E78-4E90-A996-6B072352EB6D}" name="S_TABLE_20410" displayName="S_TABLE_20410" ref="B43:I71" totalsRowShown="0">
  <autoFilter ref="B43:I71" xr:uid="{B1D14C8D-7E78-4E90-A996-6B072352EB6D}"/>
  <tableColumns count="8">
    <tableColumn id="9" xr3:uid="{EF06F155-5553-4E4B-8D02-B6D923ABCC7F}" name="産業小分類上位２０"/>
    <tableColumn id="10" xr3:uid="{9BECBFDD-E410-41E8-8D55-D9DB77134AA9}" name="総数／事業所数" dataCellStyle="桁区切り"/>
    <tableColumn id="11" xr3:uid="{9225EE1F-6507-43E2-A00D-DC6044B806C6}" name="総数／構成比" dataDxfId="450"/>
    <tableColumn id="12" xr3:uid="{643D8DC3-CAB3-4DE6-9565-07C1EE8FCB75}" name="個人／事業所数" dataCellStyle="桁区切り"/>
    <tableColumn id="13" xr3:uid="{313523CA-F436-4979-8882-CE6214C398C9}" name="個人／構成比" dataDxfId="449"/>
    <tableColumn id="14" xr3:uid="{C567E267-BC71-442D-9793-0FF14BC115BB}" name="法人／事業所数" dataCellStyle="桁区切り"/>
    <tableColumn id="15" xr3:uid="{B7E504FE-C2F1-46AB-8662-76E6721F0850}" name="法人／構成比" dataDxfId="448"/>
    <tableColumn id="16" xr3:uid="{42FDAA64-6354-4C71-95E8-382C2D457989}" name="法人以外の団体／事業所数" dataCellStyle="桁区切り"/>
  </tableColumns>
  <tableStyleInfo name="TableStyleMedium9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B2D34FC1-2D47-4016-A51F-01A85B7987CC}" name="LTBL_20411" displayName="LTBL_20411" ref="B4:I20" totalsRowCount="1">
  <autoFilter ref="B4:I19" xr:uid="{B2D34FC1-2D47-4016-A51F-01A85B7987CC}"/>
  <tableColumns count="8">
    <tableColumn id="9" xr3:uid="{8399023D-E940-4C5C-A63E-57B36690C0BE}" name="産業大分類" totalsRowLabel="合計" totalsRowDxfId="447"/>
    <tableColumn id="10" xr3:uid="{9A94E33C-91E2-4CF9-99A6-37EC7D48B682}" name="総数／事業所数" totalsRowFunction="custom" totalsRowDxfId="446" dataCellStyle="桁区切り" totalsRowCellStyle="桁区切り">
      <totalsRowFormula>SUM(LTBL_20411[総数／事業所数])</totalsRowFormula>
    </tableColumn>
    <tableColumn id="11" xr3:uid="{AC5FDAF0-44A3-49A7-8F18-66A9922D5EB6}" name="総数／構成比" dataDxfId="445"/>
    <tableColumn id="12" xr3:uid="{4BEFBF1E-88CD-4655-882A-C42204202EC1}" name="個人／事業所数" totalsRowFunction="sum" totalsRowDxfId="444" dataCellStyle="桁区切り" totalsRowCellStyle="桁区切り"/>
    <tableColumn id="13" xr3:uid="{910F9E76-B449-4AFC-8270-449CAA958D91}" name="個人／構成比" dataDxfId="443"/>
    <tableColumn id="14" xr3:uid="{1D5406ED-D467-450D-AD96-D2579CA84C14}" name="法人／事業所数" totalsRowFunction="sum" totalsRowDxfId="442" dataCellStyle="桁区切り" totalsRowCellStyle="桁区切り"/>
    <tableColumn id="15" xr3:uid="{EF8EB91D-261F-46B5-991B-CFC96DAB69B3}" name="法人／構成比" dataDxfId="441"/>
    <tableColumn id="16" xr3:uid="{1D13F09B-99A4-4A39-B1D0-63C647548EBD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342E62F-C986-45AD-A52A-38365F2D367B}" name="M_TABLE_20204" displayName="M_TABLE_20204" ref="B23:I43" totalsRowShown="0">
  <autoFilter ref="B23:I43" xr:uid="{4342E62F-C986-45AD-A52A-38365F2D367B}"/>
  <tableColumns count="8">
    <tableColumn id="9" xr3:uid="{D059CB50-B0AD-403F-A32B-37E767B77AAD}" name="産業中分類上位２０"/>
    <tableColumn id="10" xr3:uid="{374BFAFC-AAFC-4C8F-A4DC-1C5754393FB2}" name="総数／事業所数" dataCellStyle="桁区切り"/>
    <tableColumn id="11" xr3:uid="{6BBEA78D-BE9B-473B-9949-E5455DF0C60C}" name="総数／構成比" dataDxfId="1027"/>
    <tableColumn id="12" xr3:uid="{E483DB04-8EE0-4C87-8D2A-6A98154C770C}" name="個人／事業所数" dataCellStyle="桁区切り"/>
    <tableColumn id="13" xr3:uid="{183C504F-AB9C-4596-AD3A-DB27BF506F49}" name="個人／構成比" dataDxfId="1026"/>
    <tableColumn id="14" xr3:uid="{401502F1-C51A-489F-BF50-FEB28CFF3AE3}" name="法人／事業所数" dataCellStyle="桁区切り"/>
    <tableColumn id="15" xr3:uid="{59C304C7-8514-46CF-BC03-67A4ED5FA61B}" name="法人／構成比" dataDxfId="1025"/>
    <tableColumn id="16" xr3:uid="{A5082EAE-359D-48A5-9772-4C7523BB08AA}" name="法人以外の団体／事業所数" dataCellStyle="桁区切り"/>
  </tableColumns>
  <tableStyleInfo name="TableStyleMedium9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36032615-3E5C-47C7-AA8D-FE522C36C64A}" name="M_TABLE_20411" displayName="M_TABLE_20411" ref="B23:I55" totalsRowShown="0">
  <autoFilter ref="B23:I55" xr:uid="{36032615-3E5C-47C7-AA8D-FE522C36C64A}"/>
  <tableColumns count="8">
    <tableColumn id="9" xr3:uid="{177DBCA4-06F2-4773-ADE9-4A6A63FF84AE}" name="産業中分類上位２０"/>
    <tableColumn id="10" xr3:uid="{0F7D02AA-0692-4237-A119-63F90C053CBC}" name="総数／事業所数" dataCellStyle="桁区切り"/>
    <tableColumn id="11" xr3:uid="{EE656713-4A86-4E38-B1A2-B40F70C7196D}" name="総数／構成比" dataDxfId="439"/>
    <tableColumn id="12" xr3:uid="{F5421365-D88A-46D2-8D7E-F418673B3F8D}" name="個人／事業所数" dataCellStyle="桁区切り"/>
    <tableColumn id="13" xr3:uid="{76DB1AB6-D433-4DB5-B969-D20374687309}" name="個人／構成比" dataDxfId="438"/>
    <tableColumn id="14" xr3:uid="{BAA4BE33-D2C3-4A1A-96FC-4D9354FCD7CA}" name="法人／事業所数" dataCellStyle="桁区切り"/>
    <tableColumn id="15" xr3:uid="{CCC98667-11FB-49E3-8E34-12AFEDCC9DB2}" name="法人／構成比" dataDxfId="437"/>
    <tableColumn id="16" xr3:uid="{12E8F8F5-D4AF-40EB-BAF1-5E6D4A8BD619}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5968CDEF-777B-452E-B19B-462D81B68E68}" name="S_TABLE_20411" displayName="S_TABLE_20411" ref="B58:I81" totalsRowShown="0">
  <autoFilter ref="B58:I81" xr:uid="{5968CDEF-777B-452E-B19B-462D81B68E68}"/>
  <tableColumns count="8">
    <tableColumn id="9" xr3:uid="{04CE4735-8614-41B6-800A-4358C88C181B}" name="産業小分類上位２０"/>
    <tableColumn id="10" xr3:uid="{7DC90329-414B-41AB-9925-784FD52DD952}" name="総数／事業所数" dataCellStyle="桁区切り"/>
    <tableColumn id="11" xr3:uid="{738CD55A-8EAF-4282-B9B8-34B07D86F565}" name="総数／構成比" dataDxfId="436"/>
    <tableColumn id="12" xr3:uid="{53BF09BA-6E49-462F-8357-8EC670CB8747}" name="個人／事業所数" dataCellStyle="桁区切り"/>
    <tableColumn id="13" xr3:uid="{39D5B572-91D1-4D8B-80FF-F693D8A047E8}" name="個人／構成比" dataDxfId="435"/>
    <tableColumn id="14" xr3:uid="{697EE3EF-EDF0-4A10-886B-F445854B75F8}" name="法人／事業所数" dataCellStyle="桁区切り"/>
    <tableColumn id="15" xr3:uid="{1D962586-C903-4178-B670-EC18506F3E81}" name="法人／構成比" dataDxfId="434"/>
    <tableColumn id="16" xr3:uid="{84F5D344-085D-4164-A07B-DFC4E4DE53ED}" name="法人以外の団体／事業所数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2E874D96-96D1-4762-9A02-80195F2A3785}" name="LTBL_20412" displayName="LTBL_20412" ref="B4:I20" totalsRowCount="1">
  <autoFilter ref="B4:I19" xr:uid="{2E874D96-96D1-4762-9A02-80195F2A3785}"/>
  <tableColumns count="8">
    <tableColumn id="9" xr3:uid="{97CC2FEF-06CD-4E35-AA4C-C6EAA112B2D8}" name="産業大分類" totalsRowLabel="合計" totalsRowDxfId="433"/>
    <tableColumn id="10" xr3:uid="{8CB031CD-64B7-41AA-998D-D2BA955DBA31}" name="総数／事業所数" totalsRowFunction="custom" totalsRowDxfId="432" dataCellStyle="桁区切り" totalsRowCellStyle="桁区切り">
      <totalsRowFormula>SUM(LTBL_20412[総数／事業所数])</totalsRowFormula>
    </tableColumn>
    <tableColumn id="11" xr3:uid="{8E2C7A1D-DD55-42BC-8333-03E2D01E7C96}" name="総数／構成比" dataDxfId="431"/>
    <tableColumn id="12" xr3:uid="{834F7AB9-6576-4C93-8C57-64AD32C324BE}" name="個人／事業所数" totalsRowFunction="sum" totalsRowDxfId="430" dataCellStyle="桁区切り" totalsRowCellStyle="桁区切り"/>
    <tableColumn id="13" xr3:uid="{54B339F1-630E-4984-81A7-9F71D0FE8E00}" name="個人／構成比" dataDxfId="429"/>
    <tableColumn id="14" xr3:uid="{552AB494-9FC9-4D79-B9EA-96E819A1E3B7}" name="法人／事業所数" totalsRowFunction="sum" totalsRowDxfId="428" dataCellStyle="桁区切り" totalsRowCellStyle="桁区切り"/>
    <tableColumn id="15" xr3:uid="{AED75722-AA26-4161-9BB0-7A6797AC61D5}" name="法人／構成比" dataDxfId="427"/>
    <tableColumn id="16" xr3:uid="{DB7427DC-F93C-452D-8FBC-27BA25AFC17D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E7A88778-07D6-406B-8A66-F59DAAD2FEDC}" name="M_TABLE_20412" displayName="M_TABLE_20412" ref="B23:I39" totalsRowShown="0">
  <autoFilter ref="B23:I39" xr:uid="{E7A88778-07D6-406B-8A66-F59DAAD2FEDC}"/>
  <tableColumns count="8">
    <tableColumn id="9" xr3:uid="{27ACBC42-66AD-4D0F-B448-40F507196296}" name="産業中分類上位２０"/>
    <tableColumn id="10" xr3:uid="{F1E92B05-5A99-42C8-A3FA-7F2F8D91A742}" name="総数／事業所数" dataCellStyle="桁区切り"/>
    <tableColumn id="11" xr3:uid="{B0F295FC-6644-40E0-BA8A-A2EE593CC581}" name="総数／構成比" dataDxfId="425"/>
    <tableColumn id="12" xr3:uid="{696EF0E8-9D05-4529-AF4D-0900445FB65E}" name="個人／事業所数" dataCellStyle="桁区切り"/>
    <tableColumn id="13" xr3:uid="{07134F61-94A2-4396-A2B2-EB5408DF43FA}" name="個人／構成比" dataDxfId="424"/>
    <tableColumn id="14" xr3:uid="{A7581A24-BED8-428A-9749-CF0BD002BD5C}" name="法人／事業所数" dataCellStyle="桁区切り"/>
    <tableColumn id="15" xr3:uid="{A0427CAE-3856-4368-B262-A16D97C00EBD}" name="法人／構成比" dataDxfId="423"/>
    <tableColumn id="16" xr3:uid="{848C62EA-E87C-4E0E-BAC1-6F125963B4C7}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B4714B69-7CF2-4B2B-8E66-69D8BDA7E431}" name="S_TABLE_20412" displayName="S_TABLE_20412" ref="B42:I63" totalsRowShown="0">
  <autoFilter ref="B42:I63" xr:uid="{B4714B69-7CF2-4B2B-8E66-69D8BDA7E431}"/>
  <tableColumns count="8">
    <tableColumn id="9" xr3:uid="{F30A41A3-1076-4428-A2C2-EDCEF9229F1C}" name="産業小分類上位２０"/>
    <tableColumn id="10" xr3:uid="{1756F6D4-9A5C-4EC2-A425-2D1AF9BAA966}" name="総数／事業所数" dataCellStyle="桁区切り"/>
    <tableColumn id="11" xr3:uid="{22E4395E-B3DF-403C-AE27-56323D2B1B75}" name="総数／構成比" dataDxfId="422"/>
    <tableColumn id="12" xr3:uid="{684FB66E-FD0C-4719-B002-7A6065B5FFD0}" name="個人／事業所数" dataCellStyle="桁区切り"/>
    <tableColumn id="13" xr3:uid="{129DD2DC-161E-49F7-A0CA-A3D7EF65B96F}" name="個人／構成比" dataDxfId="421"/>
    <tableColumn id="14" xr3:uid="{9EE6BAA0-9090-4269-A871-E22A4481330B}" name="法人／事業所数" dataCellStyle="桁区切り"/>
    <tableColumn id="15" xr3:uid="{074D8C35-B956-4A21-8311-0F49EF9443C0}" name="法人／構成比" dataDxfId="420"/>
    <tableColumn id="16" xr3:uid="{CEEAADDA-53D5-4D79-A46E-F3F0162246B0}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39B1F681-7654-4920-A582-A60BE673E71E}" name="LTBL_20413" displayName="LTBL_20413" ref="B4:I20" totalsRowCount="1">
  <autoFilter ref="B4:I19" xr:uid="{39B1F681-7654-4920-A582-A60BE673E71E}"/>
  <tableColumns count="8">
    <tableColumn id="9" xr3:uid="{A746695A-FE45-446B-86CB-B8DAB91F0326}" name="産業大分類" totalsRowLabel="合計" totalsRowDxfId="419"/>
    <tableColumn id="10" xr3:uid="{CB154C31-42AE-49C1-8F0D-2486FB54A54F}" name="総数／事業所数" totalsRowFunction="custom" totalsRowDxfId="418" dataCellStyle="桁区切り" totalsRowCellStyle="桁区切り">
      <totalsRowFormula>SUM(LTBL_20413[総数／事業所数])</totalsRowFormula>
    </tableColumn>
    <tableColumn id="11" xr3:uid="{74D03B01-19F4-4A2A-BCAC-1BA1111B2107}" name="総数／構成比" dataDxfId="417"/>
    <tableColumn id="12" xr3:uid="{A10383C5-5F85-4390-BF9E-FFF426115236}" name="個人／事業所数" totalsRowFunction="sum" totalsRowDxfId="416" dataCellStyle="桁区切り" totalsRowCellStyle="桁区切り"/>
    <tableColumn id="13" xr3:uid="{1C168A90-C7A2-4C9F-AC11-5B89CE21861E}" name="個人／構成比" dataDxfId="415"/>
    <tableColumn id="14" xr3:uid="{85236924-85B2-4881-8331-F6A1539A086E}" name="法人／事業所数" totalsRowFunction="sum" totalsRowDxfId="414" dataCellStyle="桁区切り" totalsRowCellStyle="桁区切り"/>
    <tableColumn id="15" xr3:uid="{0177DFDE-5E2A-4223-BDA0-7C67EF607133}" name="法人／構成比" dataDxfId="413"/>
    <tableColumn id="16" xr3:uid="{092EF942-F0D6-464C-AFCC-47237F141519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807C0D6E-69B6-460B-A2CA-B50FB55EA846}" name="M_TABLE_20413" displayName="M_TABLE_20413" ref="B23:I42" totalsRowShown="0">
  <autoFilter ref="B23:I42" xr:uid="{807C0D6E-69B6-460B-A2CA-B50FB55EA846}"/>
  <tableColumns count="8">
    <tableColumn id="9" xr3:uid="{69B8EAB6-833B-45A0-BE09-446F4B223330}" name="産業中分類上位２０"/>
    <tableColumn id="10" xr3:uid="{A350E237-8569-487F-9E40-929B654D36AD}" name="総数／事業所数" dataCellStyle="桁区切り"/>
    <tableColumn id="11" xr3:uid="{8113E106-925B-4A72-BF69-2DAC47D18B43}" name="総数／構成比" dataDxfId="411"/>
    <tableColumn id="12" xr3:uid="{4E040F32-F75C-4B54-9D69-F4874F1A0DA1}" name="個人／事業所数" dataCellStyle="桁区切り"/>
    <tableColumn id="13" xr3:uid="{EDE12548-06CE-406A-89C2-646549887445}" name="個人／構成比" dataDxfId="410"/>
    <tableColumn id="14" xr3:uid="{8E9A44B1-A453-4BB1-8927-2E7776421F7F}" name="法人／事業所数" dataCellStyle="桁区切り"/>
    <tableColumn id="15" xr3:uid="{EF765537-7AE9-4859-9BD2-85EF610A5449}" name="法人／構成比" dataDxfId="409"/>
    <tableColumn id="16" xr3:uid="{41C7FBD1-5257-44F8-B100-3B34B3003241}" name="法人以外の団体／事業所数" dataCellStyle="桁区切り"/>
  </tableColumns>
  <tableStyleInfo name="TableStyleMedium9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CF701A6F-4E1B-4F00-A997-D74C3541B92F}" name="S_TABLE_20413" displayName="S_TABLE_20413" ref="B45:I80" totalsRowShown="0">
  <autoFilter ref="B45:I80" xr:uid="{CF701A6F-4E1B-4F00-A997-D74C3541B92F}"/>
  <tableColumns count="8">
    <tableColumn id="9" xr3:uid="{D57F7903-34DE-41F6-8B4A-C662CD3E1CA5}" name="産業小分類上位２０"/>
    <tableColumn id="10" xr3:uid="{78834695-37D1-4C00-9C19-98D405F2635A}" name="総数／事業所数" dataCellStyle="桁区切り"/>
    <tableColumn id="11" xr3:uid="{DC2A2589-174C-4D80-B85E-5B71DEEFE606}" name="総数／構成比" dataDxfId="408"/>
    <tableColumn id="12" xr3:uid="{2CDE2E82-A17B-461B-80FB-2D0B230FF6F8}" name="個人／事業所数" dataCellStyle="桁区切り"/>
    <tableColumn id="13" xr3:uid="{F31C36BE-8947-49E7-94B6-97204C6D1709}" name="個人／構成比" dataDxfId="407"/>
    <tableColumn id="14" xr3:uid="{8F7B6219-1F1E-4F1C-B88E-12098671B1EC}" name="法人／事業所数" dataCellStyle="桁区切り"/>
    <tableColumn id="15" xr3:uid="{632C55A1-3CD7-44CF-9B70-940653691AC4}" name="法人／構成比" dataDxfId="406"/>
    <tableColumn id="16" xr3:uid="{FB5F6783-4470-424A-BDE7-92F90099F7EF}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84692F6C-48CB-4D50-BE02-883652827C76}" name="LTBL_20414" displayName="LTBL_20414" ref="B4:I20" totalsRowCount="1">
  <autoFilter ref="B4:I19" xr:uid="{84692F6C-48CB-4D50-BE02-883652827C76}"/>
  <tableColumns count="8">
    <tableColumn id="9" xr3:uid="{31D9D35C-7699-4F90-B19B-7C3CBA85BDF9}" name="産業大分類" totalsRowLabel="合計" totalsRowDxfId="405"/>
    <tableColumn id="10" xr3:uid="{1CC8D008-DABC-43FC-89AB-735600061BE6}" name="総数／事業所数" totalsRowFunction="custom" totalsRowDxfId="404" dataCellStyle="桁区切り" totalsRowCellStyle="桁区切り">
      <totalsRowFormula>SUM(LTBL_20414[総数／事業所数])</totalsRowFormula>
    </tableColumn>
    <tableColumn id="11" xr3:uid="{5D5784E4-0D9B-4186-9E52-5E2D4B6EB97E}" name="総数／構成比" dataDxfId="403"/>
    <tableColumn id="12" xr3:uid="{5182B108-73BC-4A69-932A-7B1523923363}" name="個人／事業所数" totalsRowFunction="sum" totalsRowDxfId="402" dataCellStyle="桁区切り" totalsRowCellStyle="桁区切り"/>
    <tableColumn id="13" xr3:uid="{0ECFDECB-AE90-4BA8-A7A9-208FD5315075}" name="個人／構成比" dataDxfId="401"/>
    <tableColumn id="14" xr3:uid="{9DB11BA1-1528-4C65-96AD-15CCFA9C811A}" name="法人／事業所数" totalsRowFunction="sum" totalsRowDxfId="400" dataCellStyle="桁区切り" totalsRowCellStyle="桁区切り"/>
    <tableColumn id="15" xr3:uid="{1C9CDAD7-AF9F-40A8-BBAD-AFBCF910481C}" name="法人／構成比" dataDxfId="399"/>
    <tableColumn id="16" xr3:uid="{755357F4-A3A1-4920-9DA0-F9BEA83105EA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08B0584F-26C8-49FA-905A-81AB6E514E58}" name="M_TABLE_20414" displayName="M_TABLE_20414" ref="B23:I44" totalsRowShown="0">
  <autoFilter ref="B23:I44" xr:uid="{08B0584F-26C8-49FA-905A-81AB6E514E58}"/>
  <tableColumns count="8">
    <tableColumn id="9" xr3:uid="{AED39095-14C1-4D22-96BA-BED282E597CB}" name="産業中分類上位２０"/>
    <tableColumn id="10" xr3:uid="{C88A7A3C-A582-4608-88A1-AF1C11E20E14}" name="総数／事業所数" dataCellStyle="桁区切り"/>
    <tableColumn id="11" xr3:uid="{702B2873-8714-4A2D-9585-D4D127C78F35}" name="総数／構成比" dataDxfId="397"/>
    <tableColumn id="12" xr3:uid="{45D235D5-3E0D-4A26-B86B-9F08F0DC1E93}" name="個人／事業所数" dataCellStyle="桁区切り"/>
    <tableColumn id="13" xr3:uid="{45A5B41C-8186-4E3D-8C25-C7E56C6BF182}" name="個人／構成比" dataDxfId="396"/>
    <tableColumn id="14" xr3:uid="{C521B4C0-8555-44F2-AECE-348C15C3E7E1}" name="法人／事業所数" dataCellStyle="桁区切り"/>
    <tableColumn id="15" xr3:uid="{A2A7B43B-9D2C-46A0-9017-2EC3B6EDF633}" name="法人／構成比" dataDxfId="395"/>
    <tableColumn id="16" xr3:uid="{915E3159-F13E-4F62-B3C4-7BEE673526F8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77DE758-8022-4333-A168-02CD8A329319}" name="S_TABLE_20204" displayName="S_TABLE_20204" ref="B46:I67" totalsRowShown="0">
  <autoFilter ref="B46:I67" xr:uid="{477DE758-8022-4333-A168-02CD8A329319}"/>
  <tableColumns count="8">
    <tableColumn id="9" xr3:uid="{ACD9997B-B8CB-4CC8-9096-63F1D0BB8E59}" name="産業小分類上位２０"/>
    <tableColumn id="10" xr3:uid="{AA6710B9-F1F3-4686-876D-A9D08731EDE8}" name="総数／事業所数" dataCellStyle="桁区切り"/>
    <tableColumn id="11" xr3:uid="{E0B31686-CC31-4437-9319-4EE6ACA6FD3A}" name="総数／構成比" dataDxfId="1024"/>
    <tableColumn id="12" xr3:uid="{BECD4A58-407A-45A9-B7CC-0029BA1007AE}" name="個人／事業所数" dataCellStyle="桁区切り"/>
    <tableColumn id="13" xr3:uid="{5343FE98-FC69-480A-BC38-CE3C8514DAE6}" name="個人／構成比" dataDxfId="1023"/>
    <tableColumn id="14" xr3:uid="{9A5D5ADB-D907-4B57-B6C4-51F84B641487}" name="法人／事業所数" dataCellStyle="桁区切り"/>
    <tableColumn id="15" xr3:uid="{3E246CA6-659F-4FF9-8550-2F2073B2175A}" name="法人／構成比" dataDxfId="1022"/>
    <tableColumn id="16" xr3:uid="{F6D3410E-6831-41EF-B07B-9373BAEC296E}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74442446-E912-4000-809C-FF014CA0DBE6}" name="S_TABLE_20414" displayName="S_TABLE_20414" ref="B47:I89" totalsRowShown="0">
  <autoFilter ref="B47:I89" xr:uid="{74442446-E912-4000-809C-FF014CA0DBE6}"/>
  <tableColumns count="8">
    <tableColumn id="9" xr3:uid="{88DBFE8B-E9D1-4B3E-B652-C1F7F6A71827}" name="産業小分類上位２０"/>
    <tableColumn id="10" xr3:uid="{98FB0694-CD2A-431E-ABAF-845931D1C036}" name="総数／事業所数" dataCellStyle="桁区切り"/>
    <tableColumn id="11" xr3:uid="{13EF7370-0D76-4BBD-BA12-2D1B28C7D6BF}" name="総数／構成比" dataDxfId="394"/>
    <tableColumn id="12" xr3:uid="{54104994-E51A-4001-9722-A508980BD281}" name="個人／事業所数" dataCellStyle="桁区切り"/>
    <tableColumn id="13" xr3:uid="{BD91749A-8315-47B8-B6E3-51EE500A1CE1}" name="個人／構成比" dataDxfId="393"/>
    <tableColumn id="14" xr3:uid="{5ACEDAD8-3CF0-4E1F-B1DF-E83E0451B293}" name="法人／事業所数" dataCellStyle="桁区切り"/>
    <tableColumn id="15" xr3:uid="{10B267CF-12E6-4528-955B-076C1E1034B4}" name="法人／構成比" dataDxfId="392"/>
    <tableColumn id="16" xr3:uid="{5BD1C4C9-986F-464C-A52A-7C0E0EA4D999}" name="法人以外の団体／事業所数" dataCellStyle="桁区切り"/>
  </tableColumns>
  <tableStyleInfo name="TableStyleMedium9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CFC9882A-44E5-4BE7-A617-904183A92D63}" name="LTBL_20415" displayName="LTBL_20415" ref="B4:I20" totalsRowCount="1">
  <autoFilter ref="B4:I19" xr:uid="{CFC9882A-44E5-4BE7-A617-904183A92D63}"/>
  <tableColumns count="8">
    <tableColumn id="9" xr3:uid="{0B6EFD0B-FF08-472B-988B-7AB1324F4EF3}" name="産業大分類" totalsRowLabel="合計" totalsRowDxfId="391"/>
    <tableColumn id="10" xr3:uid="{C721B51F-98E6-4092-AE54-1F0AD014E8F5}" name="総数／事業所数" totalsRowFunction="custom" totalsRowDxfId="390" dataCellStyle="桁区切り" totalsRowCellStyle="桁区切り">
      <totalsRowFormula>SUM(LTBL_20415[総数／事業所数])</totalsRowFormula>
    </tableColumn>
    <tableColumn id="11" xr3:uid="{FA5AA93C-2AB0-495C-9E90-4AA24824C3CC}" name="総数／構成比" dataDxfId="389"/>
    <tableColumn id="12" xr3:uid="{A8072531-0BFD-4CA3-8979-0F6C1DCCD3B2}" name="個人／事業所数" totalsRowFunction="sum" totalsRowDxfId="388" dataCellStyle="桁区切り" totalsRowCellStyle="桁区切り"/>
    <tableColumn id="13" xr3:uid="{28328A55-9A7B-4AD5-BCCE-088E95EFC2AE}" name="個人／構成比" dataDxfId="387"/>
    <tableColumn id="14" xr3:uid="{5634C11C-7303-4B11-A9D0-2A77AABD3CA8}" name="法人／事業所数" totalsRowFunction="sum" totalsRowDxfId="386" dataCellStyle="桁区切り" totalsRowCellStyle="桁区切り"/>
    <tableColumn id="15" xr3:uid="{C8F516A8-D9EE-440A-AF71-021CCCF0D5C1}" name="法人／構成比" dataDxfId="385"/>
    <tableColumn id="16" xr3:uid="{DFFB81F7-8CD8-4E09-86E6-861AECAC11D6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614D5482-9054-409B-B8F1-6C90E093F51E}" name="M_TABLE_20415" displayName="M_TABLE_20415" ref="B23:I49" totalsRowShown="0">
  <autoFilter ref="B23:I49" xr:uid="{614D5482-9054-409B-B8F1-6C90E093F51E}"/>
  <tableColumns count="8">
    <tableColumn id="9" xr3:uid="{61CE4F0A-3024-4860-8649-EE612EC30E8F}" name="産業中分類上位２０"/>
    <tableColumn id="10" xr3:uid="{5D3632AC-C796-4384-BD64-7D44F4AE0C0E}" name="総数／事業所数" dataCellStyle="桁区切り"/>
    <tableColumn id="11" xr3:uid="{308B76AC-387A-4DDD-9B3E-1AEC833168CD}" name="総数／構成比" dataDxfId="383"/>
    <tableColumn id="12" xr3:uid="{50CDC52C-E615-4141-BA2F-173A3496B8B6}" name="個人／事業所数" dataCellStyle="桁区切り"/>
    <tableColumn id="13" xr3:uid="{53E56294-309C-498A-92D9-15D39EC4C4C8}" name="個人／構成比" dataDxfId="382"/>
    <tableColumn id="14" xr3:uid="{3B812679-97F0-4098-AAF7-0B31AC17DE44}" name="法人／事業所数" dataCellStyle="桁区切り"/>
    <tableColumn id="15" xr3:uid="{5E5E4CC7-5EBF-4E9B-866E-07AE4E2ECCAC}" name="法人／構成比" dataDxfId="381"/>
    <tableColumn id="16" xr3:uid="{29B83B84-A713-43AA-BE8D-6F6B9A14BA2C}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B140D73F-471C-48D6-9EBF-AAC72217FFF6}" name="S_TABLE_20415" displayName="S_TABLE_20415" ref="B52:I76" totalsRowShown="0">
  <autoFilter ref="B52:I76" xr:uid="{B140D73F-471C-48D6-9EBF-AAC72217FFF6}"/>
  <tableColumns count="8">
    <tableColumn id="9" xr3:uid="{497DD7F8-32C4-4D48-BE92-3E972168A9B1}" name="産業小分類上位２０"/>
    <tableColumn id="10" xr3:uid="{5B885A8A-F740-42A8-B898-E62B0DD63404}" name="総数／事業所数" dataCellStyle="桁区切り"/>
    <tableColumn id="11" xr3:uid="{DAD71D03-38A6-4A82-8BEC-ABF3CB15FC6F}" name="総数／構成比" dataDxfId="380"/>
    <tableColumn id="12" xr3:uid="{25273C0F-9181-434D-BF5E-CC3AC3F76D85}" name="個人／事業所数" dataCellStyle="桁区切り"/>
    <tableColumn id="13" xr3:uid="{0C86FD52-7681-47F1-9C96-5A6D0245CD56}" name="個人／構成比" dataDxfId="379"/>
    <tableColumn id="14" xr3:uid="{B08F2A3D-DB9F-41FD-8A3D-8668EEB6BA7A}" name="法人／事業所数" dataCellStyle="桁区切り"/>
    <tableColumn id="15" xr3:uid="{686844DA-21A5-41CD-B81D-F488C21CE699}" name="法人／構成比" dataDxfId="378"/>
    <tableColumn id="16" xr3:uid="{34D8AB1C-F7D3-49AD-BB7E-8214A52DFBAE}" name="法人以外の団体／事業所数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1758FA18-6672-4B7C-A4CB-8E8FD6579B90}" name="LTBL_20416" displayName="LTBL_20416" ref="B4:I20" totalsRowCount="1">
  <autoFilter ref="B4:I19" xr:uid="{1758FA18-6672-4B7C-A4CB-8E8FD6579B90}"/>
  <tableColumns count="8">
    <tableColumn id="9" xr3:uid="{E56E4C6D-3EDB-4912-91EC-344592FE9F9D}" name="産業大分類" totalsRowLabel="合計" totalsRowDxfId="377"/>
    <tableColumn id="10" xr3:uid="{A8FEE392-4941-4850-9793-4BEC3AC11FC0}" name="総数／事業所数" totalsRowFunction="custom" totalsRowDxfId="376" dataCellStyle="桁区切り" totalsRowCellStyle="桁区切り">
      <totalsRowFormula>SUM(LTBL_20416[総数／事業所数])</totalsRowFormula>
    </tableColumn>
    <tableColumn id="11" xr3:uid="{D60933CB-CA2A-4745-87D5-378A9A4C9D1F}" name="総数／構成比" dataDxfId="375"/>
    <tableColumn id="12" xr3:uid="{3F583FE4-7169-452C-A093-21970C3AF4F5}" name="個人／事業所数" totalsRowFunction="sum" totalsRowDxfId="374" dataCellStyle="桁区切り" totalsRowCellStyle="桁区切り"/>
    <tableColumn id="13" xr3:uid="{62CB49C7-927D-474B-AF24-0B3F45BDBA8F}" name="個人／構成比" dataDxfId="373"/>
    <tableColumn id="14" xr3:uid="{ED87BB91-19B8-49D7-A25B-BBF2A6AEB3A6}" name="法人／事業所数" totalsRowFunction="sum" totalsRowDxfId="372" dataCellStyle="桁区切り" totalsRowCellStyle="桁区切り"/>
    <tableColumn id="15" xr3:uid="{70D0EFB7-FDF6-4BCF-B93E-CB65039D974E}" name="法人／構成比" dataDxfId="371"/>
    <tableColumn id="16" xr3:uid="{F69A5812-0C81-4691-A202-3245BBC6325A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6667057E-194F-4A97-9BA5-CF42718137F4}" name="M_TABLE_20416" displayName="M_TABLE_20416" ref="B23:I48" totalsRowShown="0">
  <autoFilter ref="B23:I48" xr:uid="{6667057E-194F-4A97-9BA5-CF42718137F4}"/>
  <tableColumns count="8">
    <tableColumn id="9" xr3:uid="{BEE50579-E8F5-4E60-8F94-ECFB80F96A20}" name="産業中分類上位２０"/>
    <tableColumn id="10" xr3:uid="{958AB739-68B7-4C20-9651-DE972A7DC659}" name="総数／事業所数" dataCellStyle="桁区切り"/>
    <tableColumn id="11" xr3:uid="{681BD7F4-9100-476B-BF89-E14D3B2716D8}" name="総数／構成比" dataDxfId="369"/>
    <tableColumn id="12" xr3:uid="{F6C93226-13A4-46D0-968D-7FB61373628E}" name="個人／事業所数" dataCellStyle="桁区切り"/>
    <tableColumn id="13" xr3:uid="{AF295C06-FD8E-4AE6-81BD-2D9DEE3E1249}" name="個人／構成比" dataDxfId="368"/>
    <tableColumn id="14" xr3:uid="{99A1D96A-7E94-4D23-A4FD-69F2CBFC7EFA}" name="法人／事業所数" dataCellStyle="桁区切り"/>
    <tableColumn id="15" xr3:uid="{5423F1CA-1F82-42AD-99C3-32DC42A88FB6}" name="法人／構成比" dataDxfId="367"/>
    <tableColumn id="16" xr3:uid="{73035E13-A7F6-4DAB-BF4C-C2E18E6C99B5}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53132DE4-7E37-457F-BE1F-55C5D60C5C9D}" name="S_TABLE_20416" displayName="S_TABLE_20416" ref="B51:I86" totalsRowShown="0">
  <autoFilter ref="B51:I86" xr:uid="{53132DE4-7E37-457F-BE1F-55C5D60C5C9D}"/>
  <tableColumns count="8">
    <tableColumn id="9" xr3:uid="{6B2CD773-1795-40C3-A4E4-8D9A5856C0B1}" name="産業小分類上位２０"/>
    <tableColumn id="10" xr3:uid="{EC4B0E07-410E-4D55-AAEC-88131159DB58}" name="総数／事業所数" dataCellStyle="桁区切り"/>
    <tableColumn id="11" xr3:uid="{B008C7A9-3D9B-4E8A-B7ED-842BAD824117}" name="総数／構成比" dataDxfId="366"/>
    <tableColumn id="12" xr3:uid="{9A8FCF03-A64A-4561-8BDC-698D8DB8E663}" name="個人／事業所数" dataCellStyle="桁区切り"/>
    <tableColumn id="13" xr3:uid="{5770C0F6-E0CA-4002-86E8-221F3AABD841}" name="個人／構成比" dataDxfId="365"/>
    <tableColumn id="14" xr3:uid="{767F1243-A768-4F97-91AB-BE68F70016A2}" name="法人／事業所数" dataCellStyle="桁区切り"/>
    <tableColumn id="15" xr3:uid="{8B80814D-C9F4-42FD-BAA3-C6E8BD8EFCFB}" name="法人／構成比" dataDxfId="364"/>
    <tableColumn id="16" xr3:uid="{3B9DC59E-1E04-406B-BFAA-F751846B46FB}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DF1FC24D-02CF-49D0-8B4E-D1EE67CFD9CD}" name="LTBL_20417" displayName="LTBL_20417" ref="B4:I20" totalsRowCount="1">
  <autoFilter ref="B4:I19" xr:uid="{DF1FC24D-02CF-49D0-8B4E-D1EE67CFD9CD}"/>
  <tableColumns count="8">
    <tableColumn id="9" xr3:uid="{7A453BE6-9354-407A-835E-4584742774E5}" name="産業大分類" totalsRowLabel="合計" totalsRowDxfId="363"/>
    <tableColumn id="10" xr3:uid="{15645662-E00C-4603-9834-2E32031666BC}" name="総数／事業所数" totalsRowFunction="custom" totalsRowDxfId="362" dataCellStyle="桁区切り" totalsRowCellStyle="桁区切り">
      <totalsRowFormula>SUM(LTBL_20417[総数／事業所数])</totalsRowFormula>
    </tableColumn>
    <tableColumn id="11" xr3:uid="{3E1C2B5F-A74A-4036-BBAD-7419EDAECED2}" name="総数／構成比" dataDxfId="361"/>
    <tableColumn id="12" xr3:uid="{1ADB3D9B-1BDF-4B46-AC85-786B62468C14}" name="個人／事業所数" totalsRowFunction="sum" totalsRowDxfId="360" dataCellStyle="桁区切り" totalsRowCellStyle="桁区切り"/>
    <tableColumn id="13" xr3:uid="{CE883362-FBF8-40F5-B878-9DC3A7E0B3EC}" name="個人／構成比" dataDxfId="359"/>
    <tableColumn id="14" xr3:uid="{F7B0F7D9-A0FE-42F7-8F1A-937C7ECFFCDD}" name="法人／事業所数" totalsRowFunction="sum" totalsRowDxfId="358" dataCellStyle="桁区切り" totalsRowCellStyle="桁区切り"/>
    <tableColumn id="15" xr3:uid="{0BE9C00C-A302-4019-9D88-31BE94C5C0BD}" name="法人／構成比" dataDxfId="357"/>
    <tableColumn id="16" xr3:uid="{27637DAE-77F9-4C0C-B155-A4EB2F5D539B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D30A0852-AD73-4936-92F7-66DC217D9360}" name="M_TABLE_20417" displayName="M_TABLE_20417" ref="B23:I43" totalsRowShown="0">
  <autoFilter ref="B23:I43" xr:uid="{D30A0852-AD73-4936-92F7-66DC217D9360}"/>
  <tableColumns count="8">
    <tableColumn id="9" xr3:uid="{C9BD87B2-270A-4A06-9678-ED52C626D067}" name="産業中分類上位２０"/>
    <tableColumn id="10" xr3:uid="{68750CC7-BA8A-472B-AD8E-18EC673CE125}" name="総数／事業所数" dataCellStyle="桁区切り"/>
    <tableColumn id="11" xr3:uid="{4EDAE938-7680-4593-B0F8-9243FA5A4412}" name="総数／構成比" dataDxfId="355"/>
    <tableColumn id="12" xr3:uid="{839A8BF7-3514-4A4C-A653-8E3787BEE2EE}" name="個人／事業所数" dataCellStyle="桁区切り"/>
    <tableColumn id="13" xr3:uid="{9F19628C-DAEA-40BD-98F2-DF0D07F670C2}" name="個人／構成比" dataDxfId="354"/>
    <tableColumn id="14" xr3:uid="{9F647468-3111-4964-B823-D9EC8ECF5477}" name="法人／事業所数" dataCellStyle="桁区切り"/>
    <tableColumn id="15" xr3:uid="{A0CE8918-31B8-4DCB-8AAB-B6C52A84B399}" name="法人／構成比" dataDxfId="353"/>
    <tableColumn id="16" xr3:uid="{F17B5F94-193D-4B46-9488-BDC5C8247740}" name="法人以外の団体／事業所数" dataCellStyle="桁区切り"/>
  </tableColumns>
  <tableStyleInfo name="TableStyleMedium9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A6108EF3-F14B-4BBF-B939-D13EDBAA6F8C}" name="S_TABLE_20417" displayName="S_TABLE_20417" ref="B46:I81" totalsRowShown="0">
  <autoFilter ref="B46:I81" xr:uid="{A6108EF3-F14B-4BBF-B939-D13EDBAA6F8C}"/>
  <tableColumns count="8">
    <tableColumn id="9" xr3:uid="{FF7C5C9D-B5F5-4C86-9667-CDCFEA8BFE75}" name="産業小分類上位２０"/>
    <tableColumn id="10" xr3:uid="{AA594E6A-08F9-4965-9284-7C941568DB6F}" name="総数／事業所数" dataCellStyle="桁区切り"/>
    <tableColumn id="11" xr3:uid="{79A68532-46EF-42C9-B224-C9F07B28C69F}" name="総数／構成比" dataDxfId="352"/>
    <tableColumn id="12" xr3:uid="{6A044F96-3085-4B4E-8086-B83068ABFCDD}" name="個人／事業所数" dataCellStyle="桁区切り"/>
    <tableColumn id="13" xr3:uid="{DA7806B4-A9B6-4F6E-B330-FACCD5ED71EB}" name="個人／構成比" dataDxfId="351"/>
    <tableColumn id="14" xr3:uid="{1462D6A4-3454-433E-B407-836D292051D4}" name="法人／事業所数" dataCellStyle="桁区切り"/>
    <tableColumn id="15" xr3:uid="{7AC5945C-9779-4A57-B79D-13EEF85E8973}" name="法人／構成比" dataDxfId="350"/>
    <tableColumn id="16" xr3:uid="{D2BE1FE7-D5A2-4F6F-B7BC-E28D7F2E710C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73025E0-AAF6-4F73-9CBD-3AA2E06B872C}" name="LTBL_20205" displayName="LTBL_20205" ref="B4:I20" totalsRowCount="1">
  <autoFilter ref="B4:I19" xr:uid="{C73025E0-AAF6-4F73-9CBD-3AA2E06B872C}"/>
  <tableColumns count="8">
    <tableColumn id="9" xr3:uid="{E33EDFEA-A0B3-43D4-BAC9-FAB389B50ABA}" name="産業大分類" totalsRowLabel="合計" totalsRowDxfId="1021"/>
    <tableColumn id="10" xr3:uid="{F10D49A2-9149-4028-9F4B-0FD427A2751B}" name="総数／事業所数" totalsRowFunction="custom" totalsRowDxfId="1020" dataCellStyle="桁区切り" totalsRowCellStyle="桁区切り">
      <totalsRowFormula>SUM(LTBL_20205[総数／事業所数])</totalsRowFormula>
    </tableColumn>
    <tableColumn id="11" xr3:uid="{7C05B538-ED96-4967-B498-3295E59A1DC1}" name="総数／構成比" dataDxfId="1019"/>
    <tableColumn id="12" xr3:uid="{83D76CEE-69D5-41F6-BE8D-53241AA09488}" name="個人／事業所数" totalsRowFunction="sum" totalsRowDxfId="1018" dataCellStyle="桁区切り" totalsRowCellStyle="桁区切り"/>
    <tableColumn id="13" xr3:uid="{1273693E-60FD-435E-8DB2-71D40F91050E}" name="個人／構成比" dataDxfId="1017"/>
    <tableColumn id="14" xr3:uid="{31E030FC-CD23-4F6A-B1E4-C6C9C7E90CB8}" name="法人／事業所数" totalsRowFunction="sum" totalsRowDxfId="1016" dataCellStyle="桁区切り" totalsRowCellStyle="桁区切り"/>
    <tableColumn id="15" xr3:uid="{E2CA105E-708E-44A2-8D84-30668CE13E2F}" name="法人／構成比" dataDxfId="1015"/>
    <tableColumn id="16" xr3:uid="{F99E9F85-475B-4086-853E-0E324EF58034}" name="法人以外の団体／事業所数" totalsRowFunction="sum" totalsRowDxfId="1014" dataCellStyle="桁区切り" totalsRow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F34A7C9F-48B8-41E1-8A70-491D6E3EA6B5}" name="LTBL_20422" displayName="LTBL_20422" ref="B4:I20" totalsRowCount="1">
  <autoFilter ref="B4:I19" xr:uid="{F34A7C9F-48B8-41E1-8A70-491D6E3EA6B5}"/>
  <tableColumns count="8">
    <tableColumn id="9" xr3:uid="{DBBEF372-A2C5-43ED-8D8F-C875D1DF82CF}" name="産業大分類" totalsRowLabel="合計" totalsRowDxfId="349"/>
    <tableColumn id="10" xr3:uid="{E9DBDA17-21BB-4A7D-B6BB-FC11ED6C3612}" name="総数／事業所数" totalsRowFunction="custom" totalsRowDxfId="348" dataCellStyle="桁区切り" totalsRowCellStyle="桁区切り">
      <totalsRowFormula>SUM(LTBL_20422[総数／事業所数])</totalsRowFormula>
    </tableColumn>
    <tableColumn id="11" xr3:uid="{C637299F-279B-40CA-84B0-D3B8E1E89E08}" name="総数／構成比" dataDxfId="347"/>
    <tableColumn id="12" xr3:uid="{CCE83854-55C9-432B-834E-CA1E52418ACE}" name="個人／事業所数" totalsRowFunction="sum" totalsRowDxfId="346" dataCellStyle="桁区切り" totalsRowCellStyle="桁区切り"/>
    <tableColumn id="13" xr3:uid="{74DBD2E0-FB1C-4B0E-BD9D-724F2F88441D}" name="個人／構成比" dataDxfId="345"/>
    <tableColumn id="14" xr3:uid="{945F4201-46F0-4A3D-A67A-0BFC91E115C1}" name="法人／事業所数" totalsRowFunction="sum" totalsRowDxfId="344" dataCellStyle="桁区切り" totalsRowCellStyle="桁区切り"/>
    <tableColumn id="15" xr3:uid="{E1FF21BC-C1B5-4C75-AF00-E2A116A904EF}" name="法人／構成比" dataDxfId="343"/>
    <tableColumn id="16" xr3:uid="{3E120893-16AE-42EE-B31C-1BC6C3E81036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DCE78AE0-A130-4C67-AF4D-87B542AB6107}" name="M_TABLE_20422" displayName="M_TABLE_20422" ref="B23:I48" totalsRowShown="0">
  <autoFilter ref="B23:I48" xr:uid="{DCE78AE0-A130-4C67-AF4D-87B542AB6107}"/>
  <tableColumns count="8">
    <tableColumn id="9" xr3:uid="{AA7AA0B8-1DBE-44D4-B32E-8EC45A21FF10}" name="産業中分類上位２０"/>
    <tableColumn id="10" xr3:uid="{970D0BFF-CC76-44D2-A1FA-39896D9A21CB}" name="総数／事業所数" dataCellStyle="桁区切り"/>
    <tableColumn id="11" xr3:uid="{35E081ED-C582-4253-82BC-6C893253FA67}" name="総数／構成比" dataDxfId="341"/>
    <tableColumn id="12" xr3:uid="{5D6619C5-E9FB-47D4-BAEB-EEE8B4AB4179}" name="個人／事業所数" dataCellStyle="桁区切り"/>
    <tableColumn id="13" xr3:uid="{9AACF627-5AF1-456D-B8A7-663DD83E9FBB}" name="個人／構成比" dataDxfId="340"/>
    <tableColumn id="14" xr3:uid="{7DB80DA4-9F92-4133-80AB-AD8CEDE9253D}" name="法人／事業所数" dataCellStyle="桁区切り"/>
    <tableColumn id="15" xr3:uid="{EAF2E706-4B56-4CF9-955B-866318F61B71}" name="法人／構成比" dataDxfId="339"/>
    <tableColumn id="16" xr3:uid="{97126B37-9494-48F3-A414-43756B6218CE}" name="法人以外の団体／事業所数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01F27AA8-0F4E-4621-A08B-168C7F4B9B03}" name="S_TABLE_20422" displayName="S_TABLE_20422" ref="B51:I71" totalsRowShown="0">
  <autoFilter ref="B51:I71" xr:uid="{01F27AA8-0F4E-4621-A08B-168C7F4B9B03}"/>
  <tableColumns count="8">
    <tableColumn id="9" xr3:uid="{A15D7042-5ABA-4782-8C1A-2DE2014893D3}" name="産業小分類上位２０"/>
    <tableColumn id="10" xr3:uid="{A58ED738-98D6-4563-982F-1EED35C39A6D}" name="総数／事業所数" dataCellStyle="桁区切り"/>
    <tableColumn id="11" xr3:uid="{4FCE1200-6BDB-48ED-BE03-A6D9F1BEF5E8}" name="総数／構成比" dataDxfId="338"/>
    <tableColumn id="12" xr3:uid="{2E3AB6EF-0AC7-462C-AFC3-BE3D897C4FF5}" name="個人／事業所数" dataCellStyle="桁区切り"/>
    <tableColumn id="13" xr3:uid="{5C5F922F-0CAC-4C0D-B89D-B1C3CA59FA6C}" name="個人／構成比" dataDxfId="337"/>
    <tableColumn id="14" xr3:uid="{E542DB83-6880-421B-9C09-85566A409438}" name="法人／事業所数" dataCellStyle="桁区切り"/>
    <tableColumn id="15" xr3:uid="{5BDEE546-6A19-46F9-AC64-2AB1DADB6933}" name="法人／構成比" dataDxfId="336"/>
    <tableColumn id="16" xr3:uid="{3634F08C-A25B-4C08-8664-0D22C8ECD2D1}" name="法人以外の団体／事業所数" dataCellStyle="桁区切り"/>
  </tableColumns>
  <tableStyleInfo name="TableStyleMedium9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A4D08B50-52F0-4436-A802-6DE2BF9FFD65}" name="LTBL_20423" displayName="LTBL_20423" ref="B4:I20" totalsRowCount="1">
  <autoFilter ref="B4:I19" xr:uid="{A4D08B50-52F0-4436-A802-6DE2BF9FFD65}"/>
  <tableColumns count="8">
    <tableColumn id="9" xr3:uid="{109F3188-DAC0-4512-99FE-25A3408DBE3E}" name="産業大分類" totalsRowLabel="合計" totalsRowDxfId="335"/>
    <tableColumn id="10" xr3:uid="{D91033EE-CA75-420A-A667-8430D5F3BE6A}" name="総数／事業所数" totalsRowFunction="custom" totalsRowDxfId="334" dataCellStyle="桁区切り" totalsRowCellStyle="桁区切り">
      <totalsRowFormula>SUM(LTBL_20423[総数／事業所数])</totalsRowFormula>
    </tableColumn>
    <tableColumn id="11" xr3:uid="{A011963F-B200-49ED-B0E7-8662D2580618}" name="総数／構成比" dataDxfId="333"/>
    <tableColumn id="12" xr3:uid="{00413A12-2CAF-4510-A91E-B7BD4488E0A7}" name="個人／事業所数" totalsRowFunction="sum" totalsRowDxfId="332" dataCellStyle="桁区切り" totalsRowCellStyle="桁区切り"/>
    <tableColumn id="13" xr3:uid="{B622C850-5900-4568-96AE-0DC69F53AFB2}" name="個人／構成比" dataDxfId="331"/>
    <tableColumn id="14" xr3:uid="{748B8555-7E6B-4024-A6C0-94F9ADB83562}" name="法人／事業所数" totalsRowFunction="sum" totalsRowDxfId="330" dataCellStyle="桁区切り" totalsRowCellStyle="桁区切り"/>
    <tableColumn id="15" xr3:uid="{E80F65BA-39C4-49CE-BF7A-A46B696DE341}" name="法人／構成比" dataDxfId="329"/>
    <tableColumn id="16" xr3:uid="{B1663A88-9DC4-433D-9289-7CF6DAD39BDF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FCEAFF70-05DF-4D11-9D36-05A53D4C0F53}" name="M_TABLE_20423" displayName="M_TABLE_20423" ref="B23:I44" totalsRowShown="0">
  <autoFilter ref="B23:I44" xr:uid="{FCEAFF70-05DF-4D11-9D36-05A53D4C0F53}"/>
  <tableColumns count="8">
    <tableColumn id="9" xr3:uid="{7F4D33E0-8DB1-472B-9607-CEF3FCE7C1CC}" name="産業中分類上位２０"/>
    <tableColumn id="10" xr3:uid="{AD6F44FB-FEE9-4AE5-A3D2-2A3C9CAF9244}" name="総数／事業所数" dataCellStyle="桁区切り"/>
    <tableColumn id="11" xr3:uid="{F6717BCB-B52C-4CE0-BE22-CEFF23AD94A4}" name="総数／構成比" dataDxfId="327"/>
    <tableColumn id="12" xr3:uid="{E0DEC007-76F6-4A96-9408-CD8500E28120}" name="個人／事業所数" dataCellStyle="桁区切り"/>
    <tableColumn id="13" xr3:uid="{30D39BCF-EFB2-4E43-AFA2-EEB30C9320B2}" name="個人／構成比" dataDxfId="326"/>
    <tableColumn id="14" xr3:uid="{BC75ED29-EEA4-48A4-81B5-5958A71CB843}" name="法人／事業所数" dataCellStyle="桁区切り"/>
    <tableColumn id="15" xr3:uid="{8BD58BCD-7D3B-475A-8294-3E7FA68D85D1}" name="法人／構成比" dataDxfId="325"/>
    <tableColumn id="16" xr3:uid="{E74D9C22-E929-49B2-99BC-C0C685AD3330}" name="法人以外の団体／事業所数" dataCellStyle="桁区切り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97B7D4D4-CCFE-408E-A325-1E4752A1A1FE}" name="S_TABLE_20423" displayName="S_TABLE_20423" ref="B47:I70" totalsRowShown="0">
  <autoFilter ref="B47:I70" xr:uid="{97B7D4D4-CCFE-408E-A325-1E4752A1A1FE}"/>
  <tableColumns count="8">
    <tableColumn id="9" xr3:uid="{E6AAA4D1-3C3B-49D0-9CA8-A84FFB06B160}" name="産業小分類上位２０"/>
    <tableColumn id="10" xr3:uid="{67F89F90-83D0-476D-9725-FBB0013DF067}" name="総数／事業所数" dataCellStyle="桁区切り"/>
    <tableColumn id="11" xr3:uid="{1DCD31CA-7EDE-4B8F-A34B-4DE3D075BCDF}" name="総数／構成比" dataDxfId="324"/>
    <tableColumn id="12" xr3:uid="{969D112E-4B1E-405C-823C-0B99163FC959}" name="個人／事業所数" dataCellStyle="桁区切り"/>
    <tableColumn id="13" xr3:uid="{7852C518-402C-4B16-87DB-FD33E86E241D}" name="個人／構成比" dataDxfId="323"/>
    <tableColumn id="14" xr3:uid="{B454C8DD-DF5D-49EB-AFB1-67551CE7AD46}" name="法人／事業所数" dataCellStyle="桁区切り"/>
    <tableColumn id="15" xr3:uid="{9ED528AB-E279-491F-ABB2-35F3DD19ECC5}" name="法人／構成比" dataDxfId="322"/>
    <tableColumn id="16" xr3:uid="{AEC047D8-5FF3-4BE8-9BF4-E9534D030F5F}" name="法人以外の団体／事業所数" dataCellStyle="桁区切り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240F24FA-CD60-488F-9147-ED9788BD718A}" name="LTBL_20425" displayName="LTBL_20425" ref="B4:I20" totalsRowCount="1">
  <autoFilter ref="B4:I19" xr:uid="{240F24FA-CD60-488F-9147-ED9788BD718A}"/>
  <tableColumns count="8">
    <tableColumn id="9" xr3:uid="{913F95B8-C69A-4ED8-BD7F-57CB8D88E8BE}" name="産業大分類" totalsRowLabel="合計" totalsRowDxfId="321"/>
    <tableColumn id="10" xr3:uid="{8C91E14D-C556-4FD8-AE35-CB12549B8C20}" name="総数／事業所数" totalsRowFunction="custom" totalsRowDxfId="320" dataCellStyle="桁区切り" totalsRowCellStyle="桁区切り">
      <totalsRowFormula>SUM(LTBL_20425[総数／事業所数])</totalsRowFormula>
    </tableColumn>
    <tableColumn id="11" xr3:uid="{10A6A75D-90F2-47BE-BD39-8774E91983C6}" name="総数／構成比" dataDxfId="319"/>
    <tableColumn id="12" xr3:uid="{C2F31DB6-CEC2-46D2-ACAA-5E9497238162}" name="個人／事業所数" totalsRowFunction="sum" totalsRowDxfId="318" dataCellStyle="桁区切り" totalsRowCellStyle="桁区切り"/>
    <tableColumn id="13" xr3:uid="{40DB1585-B3E3-43F5-8B4D-B24DA5629627}" name="個人／構成比" dataDxfId="317"/>
    <tableColumn id="14" xr3:uid="{B5A2BDE1-4CD8-448A-886D-5C161978C43F}" name="法人／事業所数" totalsRowFunction="sum" totalsRowDxfId="316" dataCellStyle="桁区切り" totalsRowCellStyle="桁区切り"/>
    <tableColumn id="15" xr3:uid="{FBA2A7DD-2577-4BBC-8713-42BBDAFD8F15}" name="法人／構成比" dataDxfId="315"/>
    <tableColumn id="16" xr3:uid="{3D71F571-AB93-416A-80B5-A3EDE9DD2D66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86B23F6C-8A0B-46CF-B2FE-CBD35D9AAC68}" name="M_TABLE_20425" displayName="M_TABLE_20425" ref="B23:I49" totalsRowShown="0">
  <autoFilter ref="B23:I49" xr:uid="{86B23F6C-8A0B-46CF-B2FE-CBD35D9AAC68}"/>
  <tableColumns count="8">
    <tableColumn id="9" xr3:uid="{9080EBEC-4FBF-499F-B658-AAC77C1659B4}" name="産業中分類上位２０"/>
    <tableColumn id="10" xr3:uid="{F0CF46D5-AEDB-452F-87E7-F414B2113EB8}" name="総数／事業所数" dataCellStyle="桁区切り"/>
    <tableColumn id="11" xr3:uid="{2790A1F3-F9F4-4276-857A-33FCF352CA3D}" name="総数／構成比" dataDxfId="313"/>
    <tableColumn id="12" xr3:uid="{D0A4BB6D-3BB6-4B5D-BEBE-1A9C141D287E}" name="個人／事業所数" dataCellStyle="桁区切り"/>
    <tableColumn id="13" xr3:uid="{203C2627-78AE-4906-A6E2-64B8C442DCBC}" name="個人／構成比" dataDxfId="312"/>
    <tableColumn id="14" xr3:uid="{05B17622-FAB1-4D45-863E-7841D744AC12}" name="法人／事業所数" dataCellStyle="桁区切り"/>
    <tableColumn id="15" xr3:uid="{EFB56602-7B0F-4DFE-B706-B8820EDF1DFD}" name="法人／構成比" dataDxfId="311"/>
    <tableColumn id="16" xr3:uid="{06943EB5-7F8B-4446-A368-5A8C0C390FBC}" name="法人以外の団体／事業所数" dataCellStyle="桁区切り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26AA6FD1-C253-407D-A30F-DCB88DBF1E0A}" name="S_TABLE_20425" displayName="S_TABLE_20425" ref="B52:I88" totalsRowShown="0">
  <autoFilter ref="B52:I88" xr:uid="{26AA6FD1-C253-407D-A30F-DCB88DBF1E0A}"/>
  <tableColumns count="8">
    <tableColumn id="9" xr3:uid="{D64E618B-8AC9-4F92-9136-A3CB66A0A714}" name="産業小分類上位２０"/>
    <tableColumn id="10" xr3:uid="{641B780C-427A-4BD6-90A5-6F77E99E9415}" name="総数／事業所数" dataCellStyle="桁区切り"/>
    <tableColumn id="11" xr3:uid="{65E6AD05-B498-4408-86C6-D6465CC34E5F}" name="総数／構成比" dataDxfId="310"/>
    <tableColumn id="12" xr3:uid="{8974EDCF-2D0A-4612-B97C-EDF2C2667B70}" name="個人／事業所数" dataCellStyle="桁区切り"/>
    <tableColumn id="13" xr3:uid="{EA2746D9-AA8F-4D4D-940B-8F906ACA84C8}" name="個人／構成比" dataDxfId="309"/>
    <tableColumn id="14" xr3:uid="{8B2FA026-2511-495E-8C03-D8D36E38B577}" name="法人／事業所数" dataCellStyle="桁区切り"/>
    <tableColumn id="15" xr3:uid="{AA4B7508-6B82-401B-8935-4ABF753CFB16}" name="法人／構成比" dataDxfId="308"/>
    <tableColumn id="16" xr3:uid="{F280B8F8-AD13-46BF-8362-89D637FEBE5D}" name="法人以外の団体／事業所数" dataCellStyle="桁区切り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F08E5DCD-A938-458B-B5D8-DAB6B51BBE97}" name="LTBL_20429" displayName="LTBL_20429" ref="B4:I20" totalsRowCount="1">
  <autoFilter ref="B4:I19" xr:uid="{F08E5DCD-A938-458B-B5D8-DAB6B51BBE97}"/>
  <tableColumns count="8">
    <tableColumn id="9" xr3:uid="{E20DFBF5-FAD3-458B-B136-B89A4C37AF2C}" name="産業大分類" totalsRowLabel="合計" totalsRowDxfId="307"/>
    <tableColumn id="10" xr3:uid="{2A049DBE-2290-47A8-B6C6-E147EF538EA6}" name="総数／事業所数" totalsRowFunction="custom" totalsRowDxfId="306" dataCellStyle="桁区切り" totalsRowCellStyle="桁区切り">
      <totalsRowFormula>SUM(LTBL_20429[総数／事業所数])</totalsRowFormula>
    </tableColumn>
    <tableColumn id="11" xr3:uid="{71D3C24B-8F4D-4AA6-959A-2D46616B056F}" name="総数／構成比" dataDxfId="305"/>
    <tableColumn id="12" xr3:uid="{77A39534-30BD-49C1-8029-38E28B0163D7}" name="個人／事業所数" totalsRowFunction="sum" totalsRowDxfId="304" dataCellStyle="桁区切り" totalsRowCellStyle="桁区切り"/>
    <tableColumn id="13" xr3:uid="{978EA272-7B95-496E-9B1B-B3792C014B55}" name="個人／構成比" dataDxfId="303"/>
    <tableColumn id="14" xr3:uid="{4569753B-4299-4D4F-93F5-26740D997258}" name="法人／事業所数" totalsRowFunction="sum" totalsRowDxfId="302" dataCellStyle="桁区切り" totalsRowCellStyle="桁区切り"/>
    <tableColumn id="15" xr3:uid="{05A0F957-BEEC-4879-8872-430BA93C0676}" name="法人／構成比" dataDxfId="301"/>
    <tableColumn id="16" xr3:uid="{C0CF8594-A358-4855-9827-50058D34C22A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8152518-95AC-44DC-8E19-8E6CF553023A}" name="M_TABLE_20205" displayName="M_TABLE_20205" ref="B23:I43" totalsRowShown="0">
  <autoFilter ref="B23:I43" xr:uid="{78152518-95AC-44DC-8E19-8E6CF553023A}"/>
  <tableColumns count="8">
    <tableColumn id="9" xr3:uid="{23EF01B5-12D3-4EB2-814C-6EDC5BDC6136}" name="産業中分類上位２０"/>
    <tableColumn id="10" xr3:uid="{F60BB912-3315-4F28-A28E-9A37126E2C9A}" name="総数／事業所数" dataCellStyle="桁区切り"/>
    <tableColumn id="11" xr3:uid="{F6B3190C-CD02-40C8-B245-26DE9C862DF9}" name="総数／構成比" dataDxfId="1013"/>
    <tableColumn id="12" xr3:uid="{464ED268-F7E8-4A21-BF3C-FA93BE1FA65C}" name="個人／事業所数" dataCellStyle="桁区切り"/>
    <tableColumn id="13" xr3:uid="{E1C50E7C-2B82-4110-A01E-A611D1A583AF}" name="個人／構成比" dataDxfId="1012"/>
    <tableColumn id="14" xr3:uid="{5CE9B0DE-5F91-4D27-BA32-50BF1FEA12FE}" name="法人／事業所数" dataCellStyle="桁区切り"/>
    <tableColumn id="15" xr3:uid="{B906AAFA-4E5D-4B39-8715-EB9016BAD751}" name="法人／構成比" dataDxfId="1011"/>
    <tableColumn id="16" xr3:uid="{907B8BA8-C3A7-4F8C-B443-12BB5AAA124A}" name="法人以外の団体／事業所数" dataCellStyle="桁区切り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B22B1398-2467-40A8-9463-5B863E953401}" name="M_TABLE_20429" displayName="M_TABLE_20429" ref="B23:I40" totalsRowShown="0">
  <autoFilter ref="B23:I40" xr:uid="{B22B1398-2467-40A8-9463-5B863E953401}"/>
  <tableColumns count="8">
    <tableColumn id="9" xr3:uid="{AA07A41C-1C19-4C97-97B1-63DE9FBCCA6D}" name="産業中分類上位２０"/>
    <tableColumn id="10" xr3:uid="{8B3329D2-B99E-4AAA-AE75-7A1F3F32DD6A}" name="総数／事業所数" dataCellStyle="桁区切り"/>
    <tableColumn id="11" xr3:uid="{E7F36B4D-B5E0-4707-92BF-09E028DF6560}" name="総数／構成比" dataDxfId="299"/>
    <tableColumn id="12" xr3:uid="{15F0CC6C-6937-4D30-A5E0-10ED47941789}" name="個人／事業所数" dataCellStyle="桁区切り"/>
    <tableColumn id="13" xr3:uid="{7479C8A5-94D4-4FA2-BE6D-8412DC6FF539}" name="個人／構成比" dataDxfId="298"/>
    <tableColumn id="14" xr3:uid="{A6493BEC-2A0E-468E-A492-5554349290A0}" name="法人／事業所数" dataCellStyle="桁区切り"/>
    <tableColumn id="15" xr3:uid="{AE672D32-D4AB-49A3-AB5E-EB2BA285260A}" name="法人／構成比" dataDxfId="297"/>
    <tableColumn id="16" xr3:uid="{7250225D-A371-4DDC-B34C-508561D93398}" name="法人以外の団体／事業所数" dataCellStyle="桁区切り"/>
  </tableColumns>
  <tableStyleInfo name="TableStyleMedium9" showFirstColumn="0" showLastColumn="0" showRowStripes="1" showColumnStripes="0"/>
</table>
</file>

<file path=xl/tables/table1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C9E6D425-9CF7-466B-B41F-E958CFE8818C}" name="S_TABLE_20429" displayName="S_TABLE_20429" ref="B43:I68" totalsRowShown="0">
  <autoFilter ref="B43:I68" xr:uid="{C9E6D425-9CF7-466B-B41F-E958CFE8818C}"/>
  <tableColumns count="8">
    <tableColumn id="9" xr3:uid="{FCED432F-A06C-4B4F-82DD-F827027ADC9D}" name="産業小分類上位２０"/>
    <tableColumn id="10" xr3:uid="{0DBF9991-3B1C-499B-9FF2-2AB3ADB9E91C}" name="総数／事業所数" dataCellStyle="桁区切り"/>
    <tableColumn id="11" xr3:uid="{2692A5A0-1425-4C63-8F9F-5959C022CE65}" name="総数／構成比" dataDxfId="296"/>
    <tableColumn id="12" xr3:uid="{D6307246-1BAC-4FA2-8479-BF8085F6F2C3}" name="個人／事業所数" dataCellStyle="桁区切り"/>
    <tableColumn id="13" xr3:uid="{E795E108-E97E-4260-924D-7EADF0D14F39}" name="個人／構成比" dataDxfId="295"/>
    <tableColumn id="14" xr3:uid="{6F87B158-5C3D-4A9B-A710-021A51ED1FCE}" name="法人／事業所数" dataCellStyle="桁区切り"/>
    <tableColumn id="15" xr3:uid="{38C61B02-09F1-42CA-9028-69443A217702}" name="法人／構成比" dataDxfId="294"/>
    <tableColumn id="16" xr3:uid="{1D32A23A-8727-419D-9928-B6C673ADC1A2}" name="法人以外の団体／事業所数" dataCellStyle="桁区切り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088A2388-F77A-468C-867A-775DABB83E39}" name="LTBL_20430" displayName="LTBL_20430" ref="B4:I20" totalsRowCount="1">
  <autoFilter ref="B4:I19" xr:uid="{088A2388-F77A-468C-867A-775DABB83E39}"/>
  <tableColumns count="8">
    <tableColumn id="9" xr3:uid="{8742269D-A4E7-4C9E-AC60-A6B9D71B3AE1}" name="産業大分類" totalsRowLabel="合計" totalsRowDxfId="293"/>
    <tableColumn id="10" xr3:uid="{008364E2-1957-4CD2-9D2B-757E16363949}" name="総数／事業所数" totalsRowFunction="custom" totalsRowDxfId="292" dataCellStyle="桁区切り" totalsRowCellStyle="桁区切り">
      <totalsRowFormula>SUM(LTBL_20430[総数／事業所数])</totalsRowFormula>
    </tableColumn>
    <tableColumn id="11" xr3:uid="{3222B016-0CCC-4FC8-AFAF-125436C9E6E7}" name="総数／構成比" dataDxfId="291"/>
    <tableColumn id="12" xr3:uid="{D37B2577-5988-443E-B2A4-66C3995E83B0}" name="個人／事業所数" totalsRowFunction="sum" totalsRowDxfId="290" dataCellStyle="桁区切り" totalsRowCellStyle="桁区切り"/>
    <tableColumn id="13" xr3:uid="{18B7F5C9-26F6-43FC-89DA-716419733C7A}" name="個人／構成比" dataDxfId="289"/>
    <tableColumn id="14" xr3:uid="{E69884D4-2087-4CA1-A83A-6009BC6439EC}" name="法人／事業所数" totalsRowFunction="sum" totalsRowDxfId="288" dataCellStyle="桁区切り" totalsRowCellStyle="桁区切り"/>
    <tableColumn id="15" xr3:uid="{D9E384C9-F569-41EC-96D2-6EB9F38B8992}" name="法人／構成比" dataDxfId="287"/>
    <tableColumn id="16" xr3:uid="{ABDE4043-325E-4CCF-9A85-1AFE22E70B3F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C525FD0E-A1A5-4EFB-BC48-94E5990E344D}" name="M_TABLE_20430" displayName="M_TABLE_20430" ref="B23:I44" totalsRowShown="0">
  <autoFilter ref="B23:I44" xr:uid="{C525FD0E-A1A5-4EFB-BC48-94E5990E344D}"/>
  <tableColumns count="8">
    <tableColumn id="9" xr3:uid="{027AE55C-912A-4CB0-A59E-3E7087C47C59}" name="産業中分類上位２０"/>
    <tableColumn id="10" xr3:uid="{462B9CAF-2590-4C7B-A712-C34EACD7F8D3}" name="総数／事業所数" dataCellStyle="桁区切り"/>
    <tableColumn id="11" xr3:uid="{3F33A30D-855C-463A-B7D2-B9E0FB0EA7A9}" name="総数／構成比" dataDxfId="285"/>
    <tableColumn id="12" xr3:uid="{392D5C6A-C2E9-416E-9998-27CDCB5A27A7}" name="個人／事業所数" dataCellStyle="桁区切り"/>
    <tableColumn id="13" xr3:uid="{46CEF0C8-1C8D-4DDE-8745-F1663FFD1755}" name="個人／構成比" dataDxfId="284"/>
    <tableColumn id="14" xr3:uid="{83F86008-A564-4F81-8993-F365031292C7}" name="法人／事業所数" dataCellStyle="桁区切り"/>
    <tableColumn id="15" xr3:uid="{3F58E456-195A-433A-AEBF-CEF31E1AD999}" name="法人／構成比" dataDxfId="283"/>
    <tableColumn id="16" xr3:uid="{AB45AD14-2CBE-465B-BC7D-A254D644FA5E}" name="法人以外の団体／事業所数" dataCellStyle="桁区切り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DA4FB4D2-2158-4C4C-9391-9D6472DF6C89}" name="S_TABLE_20430" displayName="S_TABLE_20430" ref="B47:I81" totalsRowShown="0">
  <autoFilter ref="B47:I81" xr:uid="{DA4FB4D2-2158-4C4C-9391-9D6472DF6C89}"/>
  <tableColumns count="8">
    <tableColumn id="9" xr3:uid="{D21FF6E9-5ECF-471F-8CDD-DD74453EDD12}" name="産業小分類上位２０"/>
    <tableColumn id="10" xr3:uid="{9C9E3D3B-F34C-40A0-99D3-6C7AB8189DF7}" name="総数／事業所数" dataCellStyle="桁区切り"/>
    <tableColumn id="11" xr3:uid="{67D1323F-5F6B-4930-9A15-C2568B6BE749}" name="総数／構成比" dataDxfId="282"/>
    <tableColumn id="12" xr3:uid="{B28E7B06-A1E9-46C2-807F-56EFD63CD773}" name="個人／事業所数" dataCellStyle="桁区切り"/>
    <tableColumn id="13" xr3:uid="{176130F0-B5C4-4C89-A96A-4FF67C5667DB}" name="個人／構成比" dataDxfId="281"/>
    <tableColumn id="14" xr3:uid="{25ABD6E3-233C-4248-875F-31FD5BFB1384}" name="法人／事業所数" dataCellStyle="桁区切り"/>
    <tableColumn id="15" xr3:uid="{FB0C74B1-9007-4F17-90AE-F5040200F07E}" name="法人／構成比" dataDxfId="280"/>
    <tableColumn id="16" xr3:uid="{D5CF7B15-D4AA-4881-BB42-5478E95AA16E}" name="法人以外の団体／事業所数" dataCellStyle="桁区切り"/>
  </tableColumns>
  <tableStyleInfo name="TableStyleMedium9" showFirstColumn="0" showLastColumn="0" showRowStripes="1" showColumnStripes="0"/>
</table>
</file>

<file path=xl/tables/table1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817BB12D-46C9-4312-B53C-437232E96280}" name="LTBL_20432" displayName="LTBL_20432" ref="B4:I20" totalsRowCount="1">
  <autoFilter ref="B4:I19" xr:uid="{817BB12D-46C9-4312-B53C-437232E96280}"/>
  <tableColumns count="8">
    <tableColumn id="9" xr3:uid="{621521BF-76AC-4709-BC42-1A25678055A1}" name="産業大分類" totalsRowLabel="合計" totalsRowDxfId="279"/>
    <tableColumn id="10" xr3:uid="{198F33D8-1A9B-4A04-BA4C-F45A0C2BBEE1}" name="総数／事業所数" totalsRowFunction="custom" totalsRowDxfId="278" dataCellStyle="桁区切り" totalsRowCellStyle="桁区切り">
      <totalsRowFormula>SUM(LTBL_20432[総数／事業所数])</totalsRowFormula>
    </tableColumn>
    <tableColumn id="11" xr3:uid="{DAC41D53-04B6-464D-9BD8-89E93DBF9A95}" name="総数／構成比" dataDxfId="277"/>
    <tableColumn id="12" xr3:uid="{0428A6DE-F3AF-46F7-B822-55019DB0EDBC}" name="個人／事業所数" totalsRowFunction="sum" totalsRowDxfId="276" dataCellStyle="桁区切り" totalsRowCellStyle="桁区切り"/>
    <tableColumn id="13" xr3:uid="{5BF5941D-E9EC-44D9-BE9F-5CB48721E5CD}" name="個人／構成比" dataDxfId="275"/>
    <tableColumn id="14" xr3:uid="{96072088-2AFC-43AF-A283-81A61C78B7BA}" name="法人／事業所数" totalsRowFunction="sum" totalsRowDxfId="274" dataCellStyle="桁区切り" totalsRowCellStyle="桁区切り"/>
    <tableColumn id="15" xr3:uid="{EFEB0DFB-3EAC-46E0-AABB-FD3AC483A20D}" name="法人／構成比" dataDxfId="273"/>
    <tableColumn id="16" xr3:uid="{A614C5F8-D88E-4879-B837-6539C385AD2D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B4B5D9D0-2E56-4997-BCF7-5A3B7C3A1525}" name="M_TABLE_20432" displayName="M_TABLE_20432" ref="B23:I46" totalsRowShown="0">
  <autoFilter ref="B23:I46" xr:uid="{B4B5D9D0-2E56-4997-BCF7-5A3B7C3A1525}"/>
  <tableColumns count="8">
    <tableColumn id="9" xr3:uid="{66BF2179-143D-4C33-B559-7592761EC6C1}" name="産業中分類上位２０"/>
    <tableColumn id="10" xr3:uid="{BEF96440-D6B1-47A3-A283-7CAA5933E5B9}" name="総数／事業所数" dataCellStyle="桁区切り"/>
    <tableColumn id="11" xr3:uid="{D83E9EDC-5654-49DD-8217-A1DAEDB23FCF}" name="総数／構成比" dataDxfId="271"/>
    <tableColumn id="12" xr3:uid="{B60C9AD8-A985-487E-AA3E-AB9071BA07EC}" name="個人／事業所数" dataCellStyle="桁区切り"/>
    <tableColumn id="13" xr3:uid="{515C5F22-3D3E-4DF5-8128-827B6D75BEED}" name="個人／構成比" dataDxfId="270"/>
    <tableColumn id="14" xr3:uid="{51380901-8FB5-4FE3-ABB3-10FB7F5811C5}" name="法人／事業所数" dataCellStyle="桁区切り"/>
    <tableColumn id="15" xr3:uid="{CE9893BA-D3E7-4DE2-A32B-3795FF87D4B5}" name="法人／構成比" dataDxfId="269"/>
    <tableColumn id="16" xr3:uid="{E16383B1-649F-48B1-89FA-D54D062AFD63}" name="法人以外の団体／事業所数" dataCellStyle="桁区切り"/>
  </tableColumns>
  <tableStyleInfo name="TableStyleMedium9" showFirstColumn="0" showLastColumn="0" showRowStripes="1" showColumnStripes="0"/>
</table>
</file>

<file path=xl/tables/table1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8BA52BFA-2AB6-4465-AFFE-BD3237FC6BAE}" name="S_TABLE_20432" displayName="S_TABLE_20432" ref="B49:I70" totalsRowShown="0">
  <autoFilter ref="B49:I70" xr:uid="{8BA52BFA-2AB6-4465-AFFE-BD3237FC6BAE}"/>
  <tableColumns count="8">
    <tableColumn id="9" xr3:uid="{87B3641D-03B0-42D2-8D4D-0BFB3D729682}" name="産業小分類上位２０"/>
    <tableColumn id="10" xr3:uid="{A90F02AE-D833-467D-9BBB-E47523F1B932}" name="総数／事業所数" dataCellStyle="桁区切り"/>
    <tableColumn id="11" xr3:uid="{0AD65C26-8D1D-4DC7-81DE-9C9B2E98EF26}" name="総数／構成比" dataDxfId="268"/>
    <tableColumn id="12" xr3:uid="{0A8D0F52-D943-4C2D-9062-76BD580E5E72}" name="個人／事業所数" dataCellStyle="桁区切り"/>
    <tableColumn id="13" xr3:uid="{85248862-AF38-4DB2-9E1B-98306921845A}" name="個人／構成比" dataDxfId="267"/>
    <tableColumn id="14" xr3:uid="{35905EC2-3294-4319-93ED-823DC6BD2EBB}" name="法人／事業所数" dataCellStyle="桁区切り"/>
    <tableColumn id="15" xr3:uid="{3541A945-BF76-42AE-A9D3-C85D15F1E880}" name="法人／構成比" dataDxfId="266"/>
    <tableColumn id="16" xr3:uid="{DDC13E2D-9330-4A2F-97C0-0BF77071E5FC}" name="法人以外の団体／事業所数" dataCellStyle="桁区切り"/>
  </tableColumns>
  <tableStyleInfo name="TableStyleMedium9" showFirstColumn="0" showLastColumn="0" showRowStripes="1" showColumnStripes="0"/>
</table>
</file>

<file path=xl/tables/table1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F5C33C8B-F725-40EC-B2D5-B4F0467AA19B}" name="LTBL_20446" displayName="LTBL_20446" ref="B4:I20" totalsRowCount="1">
  <autoFilter ref="B4:I19" xr:uid="{F5C33C8B-F725-40EC-B2D5-B4F0467AA19B}"/>
  <tableColumns count="8">
    <tableColumn id="9" xr3:uid="{B6FF1A65-D51F-40ED-90D5-3F9F090A6C59}" name="産業大分類" totalsRowLabel="合計" totalsRowDxfId="265"/>
    <tableColumn id="10" xr3:uid="{110E7D6F-703D-4341-85D4-3286DCA141F6}" name="総数／事業所数" totalsRowFunction="custom" totalsRowDxfId="264" dataCellStyle="桁区切り" totalsRowCellStyle="桁区切り">
      <totalsRowFormula>SUM(LTBL_20446[総数／事業所数])</totalsRowFormula>
    </tableColumn>
    <tableColumn id="11" xr3:uid="{D025432B-1909-43C5-90C5-610D99B579C1}" name="総数／構成比" dataDxfId="263"/>
    <tableColumn id="12" xr3:uid="{5B68CDC2-4657-4407-8ACD-1ACDEA07546B}" name="個人／事業所数" totalsRowFunction="sum" totalsRowDxfId="262" dataCellStyle="桁区切り" totalsRowCellStyle="桁区切り"/>
    <tableColumn id="13" xr3:uid="{F6CC6FA9-94A5-4FED-B6E7-F9B39DC03B3D}" name="個人／構成比" dataDxfId="261"/>
    <tableColumn id="14" xr3:uid="{748F43E8-E836-4538-A200-BA9A6C2A2900}" name="法人／事業所数" totalsRowFunction="sum" totalsRowDxfId="260" dataCellStyle="桁区切り" totalsRowCellStyle="桁区切り"/>
    <tableColumn id="15" xr3:uid="{8729BE78-A45D-4258-8142-54E5EEE7D6A2}" name="法人／構成比" dataDxfId="259"/>
    <tableColumn id="16" xr3:uid="{6D558425-EF18-45A3-8429-83D54D71029C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1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0AFB300E-C727-4138-9BED-8AEEFE491205}" name="M_TABLE_20446" displayName="M_TABLE_20446" ref="B23:I54" totalsRowShown="0">
  <autoFilter ref="B23:I54" xr:uid="{0AFB300E-C727-4138-9BED-8AEEFE491205}"/>
  <tableColumns count="8">
    <tableColumn id="9" xr3:uid="{E2A351B0-7F4F-4E7D-B765-9B4722490797}" name="産業中分類上位２０"/>
    <tableColumn id="10" xr3:uid="{D148CCBD-E06B-4CE8-A5BA-F8C3457467AD}" name="総数／事業所数" dataCellStyle="桁区切り"/>
    <tableColumn id="11" xr3:uid="{BA818ACB-014B-4CD5-8ADA-2D8928543C10}" name="総数／構成比" dataDxfId="257"/>
    <tableColumn id="12" xr3:uid="{D95497AB-25B1-4482-A17F-2AC1F2F51EF5}" name="個人／事業所数" dataCellStyle="桁区切り"/>
    <tableColumn id="13" xr3:uid="{1BE64764-A889-4B2B-8642-D0F619AA3A94}" name="個人／構成比" dataDxfId="256"/>
    <tableColumn id="14" xr3:uid="{B2D2F09E-1A85-4745-BD25-4E04DB82D193}" name="法人／事業所数" dataCellStyle="桁区切り"/>
    <tableColumn id="15" xr3:uid="{77464307-859C-44C9-B717-1DA08C6BE59A}" name="法人／構成比" dataDxfId="255"/>
    <tableColumn id="16" xr3:uid="{270E427A-04A2-48C3-BA9A-36C38178CC33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CEEE3D5-8E75-4060-82E4-2B8A4FCDEB6C}" name="S_TABLE_20205" displayName="S_TABLE_20205" ref="B46:I66" totalsRowShown="0">
  <autoFilter ref="B46:I66" xr:uid="{FCEEE3D5-8E75-4060-82E4-2B8A4FCDEB6C}"/>
  <tableColumns count="8">
    <tableColumn id="9" xr3:uid="{83E18BC4-9082-4999-BA05-B72394DA97D5}" name="産業小分類上位２０"/>
    <tableColumn id="10" xr3:uid="{33E99EDE-D2BA-4AED-A196-13B269750A58}" name="総数／事業所数" dataCellStyle="桁区切り"/>
    <tableColumn id="11" xr3:uid="{5B55144E-14B8-4816-861C-590F7BB3826F}" name="総数／構成比" dataDxfId="1010"/>
    <tableColumn id="12" xr3:uid="{A781C9DF-AF71-4E0A-881A-5083CC71A493}" name="個人／事業所数" dataCellStyle="桁区切り"/>
    <tableColumn id="13" xr3:uid="{54761F63-F5BF-48E5-B1E2-38DCC663C5CC}" name="個人／構成比" dataDxfId="1009"/>
    <tableColumn id="14" xr3:uid="{F8E86F9B-8EA5-4F06-9BD4-B8C19FD216E2}" name="法人／事業所数" dataCellStyle="桁区切り"/>
    <tableColumn id="15" xr3:uid="{B7D2588E-08AF-402C-A608-4ADB0EE8B756}" name="法人／構成比" dataDxfId="1008"/>
    <tableColumn id="16" xr3:uid="{7998C92A-5022-4C0B-A98D-84878E71766E}" name="法人以外の団体／事業所数" dataCellStyle="桁区切り"/>
  </tableColumns>
  <tableStyleInfo name="TableStyleMedium9" showFirstColumn="0" showLastColumn="0" showRowStripes="1" showColumnStripes="0"/>
</table>
</file>

<file path=xl/tables/table1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9FBE8750-6041-40BF-9692-5BF7A2537C0C}" name="S_TABLE_20446" displayName="S_TABLE_20446" ref="B57:I113" totalsRowShown="0">
  <autoFilter ref="B57:I113" xr:uid="{9FBE8750-6041-40BF-9692-5BF7A2537C0C}"/>
  <tableColumns count="8">
    <tableColumn id="9" xr3:uid="{A36E0676-7ECE-4A06-8C4F-D5E9310FE148}" name="産業小分類上位２０"/>
    <tableColumn id="10" xr3:uid="{DD769F13-800F-47BD-9EA4-92D32C8CB494}" name="総数／事業所数" dataCellStyle="桁区切り"/>
    <tableColumn id="11" xr3:uid="{39BFF473-E1BC-46B1-A226-0BEAB1098610}" name="総数／構成比" dataDxfId="254"/>
    <tableColumn id="12" xr3:uid="{413F9A2E-3D3D-445C-B6CF-4643E5CDEC19}" name="個人／事業所数" dataCellStyle="桁区切り"/>
    <tableColumn id="13" xr3:uid="{0C13F7D3-77AE-4917-9028-70BD05E5520E}" name="個人／構成比" dataDxfId="253"/>
    <tableColumn id="14" xr3:uid="{250EA59C-C24A-447D-81E0-AECB2D42511D}" name="法人／事業所数" dataCellStyle="桁区切り"/>
    <tableColumn id="15" xr3:uid="{A8076D68-936B-496D-88AB-CDD82F80EC5B}" name="法人／構成比" dataDxfId="252"/>
    <tableColumn id="16" xr3:uid="{AF1219F6-FF20-4F03-BAA8-DF1DBC4E3048}" name="法人以外の団体／事業所数" dataCellStyle="桁区切り"/>
  </tableColumns>
  <tableStyleInfo name="TableStyleMedium9" showFirstColumn="0" showLastColumn="0" showRowStripes="1" showColumnStripes="0"/>
</table>
</file>

<file path=xl/tables/table1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7D581BE7-0DA9-4FB8-81BD-5D1524D5E4D1}" name="LTBL_20448" displayName="LTBL_20448" ref="B4:I20" totalsRowCount="1">
  <autoFilter ref="B4:I19" xr:uid="{7D581BE7-0DA9-4FB8-81BD-5D1524D5E4D1}"/>
  <tableColumns count="8">
    <tableColumn id="9" xr3:uid="{6B675BCE-8043-45DB-9A21-3896CFDA3D2C}" name="産業大分類" totalsRowLabel="合計" totalsRowDxfId="251"/>
    <tableColumn id="10" xr3:uid="{C0922D45-A47E-4B37-AA13-160857C8DC50}" name="総数／事業所数" totalsRowFunction="custom" totalsRowDxfId="250" dataCellStyle="桁区切り" totalsRowCellStyle="桁区切り">
      <totalsRowFormula>SUM(LTBL_20448[総数／事業所数])</totalsRowFormula>
    </tableColumn>
    <tableColumn id="11" xr3:uid="{755EEFDB-C5C7-4FB8-BEBF-03B7A77D9B4B}" name="総数／構成比" dataDxfId="249"/>
    <tableColumn id="12" xr3:uid="{855F9D56-73EA-4A4F-91E9-11285EB4C3E9}" name="個人／事業所数" totalsRowFunction="sum" totalsRowDxfId="248" dataCellStyle="桁区切り" totalsRowCellStyle="桁区切り"/>
    <tableColumn id="13" xr3:uid="{CF5BE235-C232-4CAA-AE92-2CADB643E74F}" name="個人／構成比" dataDxfId="247"/>
    <tableColumn id="14" xr3:uid="{89C349C0-0938-42E3-9571-3D17A4057235}" name="法人／事業所数" totalsRowFunction="sum" totalsRowDxfId="246" dataCellStyle="桁区切り" totalsRowCellStyle="桁区切り"/>
    <tableColumn id="15" xr3:uid="{942516C0-691A-4884-A0DD-53A28328F522}" name="法人／構成比" dataDxfId="245"/>
    <tableColumn id="16" xr3:uid="{336E4060-5134-486D-B1E1-BE8DB843C803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1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355E2EDF-ED4E-4585-82A3-1BBA4FC30E81}" name="M_TABLE_20448" displayName="M_TABLE_20448" ref="B23:I45" totalsRowShown="0">
  <autoFilter ref="B23:I45" xr:uid="{355E2EDF-ED4E-4585-82A3-1BBA4FC30E81}"/>
  <tableColumns count="8">
    <tableColumn id="9" xr3:uid="{91EE0642-7B40-4F5B-891C-82F043A66E12}" name="産業中分類上位２０"/>
    <tableColumn id="10" xr3:uid="{652B0B41-FEAB-4821-9420-C1E9C5F3F2EC}" name="総数／事業所数" dataCellStyle="桁区切り"/>
    <tableColumn id="11" xr3:uid="{C742A9D9-EE43-40F8-BF32-FCE5C364459F}" name="総数／構成比" dataDxfId="243"/>
    <tableColumn id="12" xr3:uid="{C10184C5-FD2A-41A0-A67E-1A3E22FAD7EE}" name="個人／事業所数" dataCellStyle="桁区切り"/>
    <tableColumn id="13" xr3:uid="{4A23CBD6-A306-4605-B55B-2D8E21C4A0FC}" name="個人／構成比" dataDxfId="242"/>
    <tableColumn id="14" xr3:uid="{90AD677E-49DD-414F-9AEE-80046974F8E5}" name="法人／事業所数" dataCellStyle="桁区切り"/>
    <tableColumn id="15" xr3:uid="{6CE46BCE-EAC5-42EE-AC5E-F9AEA02BCD93}" name="法人／構成比" dataDxfId="241"/>
    <tableColumn id="16" xr3:uid="{4C051564-3223-490C-9A2E-2935A2095CB6}" name="法人以外の団体／事業所数" dataCellStyle="桁区切り"/>
  </tableColumns>
  <tableStyleInfo name="TableStyleMedium9" showFirstColumn="0" showLastColumn="0" showRowStripes="1" showColumnStripes="0"/>
</table>
</file>

<file path=xl/tables/table1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CF9C1964-E323-440B-A48D-F42A2231E9D4}" name="S_TABLE_20448" displayName="S_TABLE_20448" ref="B48:I83" totalsRowShown="0">
  <autoFilter ref="B48:I83" xr:uid="{CF9C1964-E323-440B-A48D-F42A2231E9D4}"/>
  <tableColumns count="8">
    <tableColumn id="9" xr3:uid="{3A9CCA68-B656-47A5-8F23-1BB491816373}" name="産業小分類上位２０"/>
    <tableColumn id="10" xr3:uid="{A0BD58F1-057D-4888-83CC-0EEAD60633F9}" name="総数／事業所数" dataCellStyle="桁区切り"/>
    <tableColumn id="11" xr3:uid="{FA6431D0-665D-44D4-84B5-E00F488166D5}" name="総数／構成比" dataDxfId="240"/>
    <tableColumn id="12" xr3:uid="{EACC59DA-ECC3-4598-B736-12329B38E4EB}" name="個人／事業所数" dataCellStyle="桁区切り"/>
    <tableColumn id="13" xr3:uid="{8F7D7990-6332-4C92-AD49-DCF73A762660}" name="個人／構成比" dataDxfId="239"/>
    <tableColumn id="14" xr3:uid="{6172C8DA-54B3-4335-8EAE-526F1885A84B}" name="法人／事業所数" dataCellStyle="桁区切り"/>
    <tableColumn id="15" xr3:uid="{BAE8EE9B-8122-4183-906B-DF255BDB3D49}" name="法人／構成比" dataDxfId="238"/>
    <tableColumn id="16" xr3:uid="{B9124A47-DA64-435B-9F39-01D8297548D6}" name="法人以外の団体／事業所数" dataCellStyle="桁区切り"/>
  </tableColumns>
  <tableStyleInfo name="TableStyleMedium9" showFirstColumn="0" showLastColumn="0" showRowStripes="1" showColumnStripes="0"/>
</table>
</file>

<file path=xl/tables/table1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195981FE-A37D-4D5A-BAB2-5D39820B4665}" name="LTBL_20450" displayName="LTBL_20450" ref="B4:I20" totalsRowCount="1">
  <autoFilter ref="B4:I19" xr:uid="{195981FE-A37D-4D5A-BAB2-5D39820B4665}"/>
  <tableColumns count="8">
    <tableColumn id="9" xr3:uid="{284236B5-D1D2-4201-83A1-12C11F283177}" name="産業大分類" totalsRowLabel="合計" totalsRowDxfId="237"/>
    <tableColumn id="10" xr3:uid="{E1D24595-FF98-40A3-885C-6C4F48EE8670}" name="総数／事業所数" totalsRowFunction="custom" totalsRowDxfId="236" dataCellStyle="桁区切り" totalsRowCellStyle="桁区切り">
      <totalsRowFormula>SUM(LTBL_20450[総数／事業所数])</totalsRowFormula>
    </tableColumn>
    <tableColumn id="11" xr3:uid="{D045A662-FBEE-4D36-B0CA-18A4AFB6D1DB}" name="総数／構成比" dataDxfId="235"/>
    <tableColumn id="12" xr3:uid="{E256E94D-E480-41D8-82A4-E99A46B0396A}" name="個人／事業所数" totalsRowFunction="sum" totalsRowDxfId="234" dataCellStyle="桁区切り" totalsRowCellStyle="桁区切り"/>
    <tableColumn id="13" xr3:uid="{7B6F05D2-F406-4F40-852C-C88B772027D9}" name="個人／構成比" dataDxfId="233"/>
    <tableColumn id="14" xr3:uid="{9AB42A70-45A7-49B2-80D5-877DE6AD4A61}" name="法人／事業所数" totalsRowFunction="sum" totalsRowDxfId="232" dataCellStyle="桁区切り" totalsRowCellStyle="桁区切り"/>
    <tableColumn id="15" xr3:uid="{DEEEC29A-7BEB-4953-B9E8-DF2AEA8E7E07}" name="法人／構成比" dataDxfId="231"/>
    <tableColumn id="16" xr3:uid="{1CC51A87-3917-4BF8-BE12-5952ADF2CA3D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1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14534DC2-1790-420B-9AE4-2CA767C472D0}" name="M_TABLE_20450" displayName="M_TABLE_20450" ref="B23:I45" totalsRowShown="0">
  <autoFilter ref="B23:I45" xr:uid="{14534DC2-1790-420B-9AE4-2CA767C472D0}"/>
  <tableColumns count="8">
    <tableColumn id="9" xr3:uid="{29D934C3-CFA0-4AB8-804D-0075E1C8EC1A}" name="産業中分類上位２０"/>
    <tableColumn id="10" xr3:uid="{6C372E9E-7974-4BD6-BF2B-CE6ECFD6637B}" name="総数／事業所数" dataCellStyle="桁区切り"/>
    <tableColumn id="11" xr3:uid="{12FDB969-5924-4AAA-BDD3-1200E50D6074}" name="総数／構成比" dataDxfId="229"/>
    <tableColumn id="12" xr3:uid="{0E4EAA61-8116-402D-9DAC-7FA8AE09B4A5}" name="個人／事業所数" dataCellStyle="桁区切り"/>
    <tableColumn id="13" xr3:uid="{ADF5FDBE-97FB-4B77-9B96-7540BA55A9FE}" name="個人／構成比" dataDxfId="228"/>
    <tableColumn id="14" xr3:uid="{7E1A7DB8-7FE4-46CC-904B-5E2062DFF326}" name="法人／事業所数" dataCellStyle="桁区切り"/>
    <tableColumn id="15" xr3:uid="{B16F344B-035D-4338-926C-324E143F1F53}" name="法人／構成比" dataDxfId="227"/>
    <tableColumn id="16" xr3:uid="{95CFF86E-F1E3-42FF-BFEF-5F0263538E8B}" name="法人以外の団体／事業所数" dataCellStyle="桁区切り"/>
  </tableColumns>
  <tableStyleInfo name="TableStyleMedium9" showFirstColumn="0" showLastColumn="0" showRowStripes="1" showColumnStripes="0"/>
</table>
</file>

<file path=xl/tables/table1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F5939FB8-F06E-4B70-9A79-2D0EFE802642}" name="S_TABLE_20450" displayName="S_TABLE_20450" ref="B48:I72" totalsRowShown="0">
  <autoFilter ref="B48:I72" xr:uid="{F5939FB8-F06E-4B70-9A79-2D0EFE802642}"/>
  <tableColumns count="8">
    <tableColumn id="9" xr3:uid="{5808E1EA-9E49-4BE6-B1C7-2FAD52A46C09}" name="産業小分類上位２０"/>
    <tableColumn id="10" xr3:uid="{532EE449-C707-4332-8621-141A2981B5AB}" name="総数／事業所数" dataCellStyle="桁区切り"/>
    <tableColumn id="11" xr3:uid="{54EC9C65-B00D-40D9-9FD0-C78531B9540C}" name="総数／構成比" dataDxfId="226"/>
    <tableColumn id="12" xr3:uid="{30DA5F06-28F1-43F3-ACA4-344AC2113C22}" name="個人／事業所数" dataCellStyle="桁区切り"/>
    <tableColumn id="13" xr3:uid="{FC3E1242-F0AD-4E0F-BA27-12B5A049D0DC}" name="個人／構成比" dataDxfId="225"/>
    <tableColumn id="14" xr3:uid="{EE913EF9-E745-46AD-A2CC-8CC1174D3E1B}" name="法人／事業所数" dataCellStyle="桁区切り"/>
    <tableColumn id="15" xr3:uid="{780777A8-82B5-4B74-9537-CBE8124444CE}" name="法人／構成比" dataDxfId="224"/>
    <tableColumn id="16" xr3:uid="{B8A644C3-D2E9-495E-B8F7-CD8D39FFA96E}" name="法人以外の団体／事業所数" dataCellStyle="桁区切り"/>
  </tableColumns>
  <tableStyleInfo name="TableStyleMedium9" showFirstColumn="0" showLastColumn="0" showRowStripes="1" showColumnStripes="0"/>
</table>
</file>

<file path=xl/tables/table1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DA50DEFB-0F89-4D18-8CB1-8347F9E0FF18}" name="LTBL_20451" displayName="LTBL_20451" ref="B4:I20" totalsRowCount="1">
  <autoFilter ref="B4:I19" xr:uid="{DA50DEFB-0F89-4D18-8CB1-8347F9E0FF18}"/>
  <tableColumns count="8">
    <tableColumn id="9" xr3:uid="{AF307B39-9290-45CE-9C1E-4CB8DBA3664B}" name="産業大分類" totalsRowLabel="合計" totalsRowDxfId="223"/>
    <tableColumn id="10" xr3:uid="{2D03DCEE-B004-4D88-9FE3-7AB872580CD4}" name="総数／事業所数" totalsRowFunction="custom" totalsRowDxfId="222" dataCellStyle="桁区切り" totalsRowCellStyle="桁区切り">
      <totalsRowFormula>SUM(LTBL_20451[総数／事業所数])</totalsRowFormula>
    </tableColumn>
    <tableColumn id="11" xr3:uid="{752ABFF3-C294-4D87-871F-AC0BEDD05581}" name="総数／構成比" dataDxfId="221"/>
    <tableColumn id="12" xr3:uid="{5E42DECB-608D-4DD0-A28F-E8725A481D44}" name="個人／事業所数" totalsRowFunction="sum" totalsRowDxfId="220" dataCellStyle="桁区切り" totalsRowCellStyle="桁区切り"/>
    <tableColumn id="13" xr3:uid="{64CE5DEB-7442-4EFC-A3F0-10FD6D6AD539}" name="個人／構成比" dataDxfId="219"/>
    <tableColumn id="14" xr3:uid="{5C512D6E-1476-4925-8582-F2B8100EFB09}" name="法人／事業所数" totalsRowFunction="sum" totalsRowDxfId="218" dataCellStyle="桁区切り" totalsRowCellStyle="桁区切り"/>
    <tableColumn id="15" xr3:uid="{8E7EA6DF-FDAD-430B-B6EF-A5307E143218}" name="法人／構成比" dataDxfId="217"/>
    <tableColumn id="16" xr3:uid="{05C31511-6FB6-4690-AA2A-02DBC91A5F32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1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8" xr:uid="{F2DE2981-8DEB-4EC3-8605-29AC1BDC9E91}" name="M_TABLE_20451" displayName="M_TABLE_20451" ref="B23:I55" totalsRowShown="0">
  <autoFilter ref="B23:I55" xr:uid="{F2DE2981-8DEB-4EC3-8605-29AC1BDC9E91}"/>
  <tableColumns count="8">
    <tableColumn id="9" xr3:uid="{81DBD323-8412-4294-A2C8-B331E7CF411E}" name="産業中分類上位２０"/>
    <tableColumn id="10" xr3:uid="{9563E986-7FCB-4F21-8699-AA4A3CC87AC3}" name="総数／事業所数" dataCellStyle="桁区切り"/>
    <tableColumn id="11" xr3:uid="{2791BA57-AAAD-4A71-A355-20E9E7E683C2}" name="総数／構成比" dataDxfId="215"/>
    <tableColumn id="12" xr3:uid="{E5A5AA36-0DA4-4A0D-99A6-D8F3C85C642F}" name="個人／事業所数" dataCellStyle="桁区切り"/>
    <tableColumn id="13" xr3:uid="{B4FABE39-44E1-49F5-A27B-20AC3C6521F4}" name="個人／構成比" dataDxfId="214"/>
    <tableColumn id="14" xr3:uid="{99FBA7FE-FFE6-4C46-9821-5B7492CDBED9}" name="法人／事業所数" dataCellStyle="桁区切り"/>
    <tableColumn id="15" xr3:uid="{9A4B997C-3CB3-491B-A114-72E9FDBE4A68}" name="法人／構成比" dataDxfId="213"/>
    <tableColumn id="16" xr3:uid="{431979F4-102E-401E-933E-1D40F772D1A3}" name="法人以外の団体／事業所数" dataCellStyle="桁区切り"/>
  </tableColumns>
  <tableStyleInfo name="TableStyleMedium9" showFirstColumn="0" showLastColumn="0" showRowStripes="1" showColumnStripes="0"/>
</table>
</file>

<file path=xl/tables/table1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9" xr:uid="{6F89E8FE-51DB-406F-AA74-0DBD43364375}" name="S_TABLE_20451" displayName="S_TABLE_20451" ref="B58:I110" totalsRowShown="0">
  <autoFilter ref="B58:I110" xr:uid="{6F89E8FE-51DB-406F-AA74-0DBD43364375}"/>
  <tableColumns count="8">
    <tableColumn id="9" xr3:uid="{21C0A45F-D6E0-4A84-BA4B-70798966267C}" name="産業小分類上位２０"/>
    <tableColumn id="10" xr3:uid="{55143A00-EAB3-4382-A092-23A198798695}" name="総数／事業所数" dataCellStyle="桁区切り"/>
    <tableColumn id="11" xr3:uid="{82BD12B9-CCA0-4CCE-8CB6-1BCA438728B0}" name="総数／構成比" dataDxfId="212"/>
    <tableColumn id="12" xr3:uid="{54D2FBCD-E1D1-453D-8233-7E266A7AFD69}" name="個人／事業所数" dataCellStyle="桁区切り"/>
    <tableColumn id="13" xr3:uid="{F3664997-22B3-4FA8-82AB-2EEF904C1CFB}" name="個人／構成比" dataDxfId="211"/>
    <tableColumn id="14" xr3:uid="{82D171A6-704E-439B-A79A-109415BC89A7}" name="法人／事業所数" dataCellStyle="桁区切り"/>
    <tableColumn id="15" xr3:uid="{C03A8ABD-A51C-4ED7-84CB-CB5F403B1DA5}" name="法人／構成比" dataDxfId="210"/>
    <tableColumn id="16" xr3:uid="{525D34BB-61B8-44C6-89FA-9D8384E30F83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ED0FC00-972B-43EB-9590-CF4C3369012D}" name="LTBL_20206" displayName="LTBL_20206" ref="B4:I20" totalsRowCount="1">
  <autoFilter ref="B4:I19" xr:uid="{0ED0FC00-972B-43EB-9590-CF4C3369012D}"/>
  <tableColumns count="8">
    <tableColumn id="9" xr3:uid="{5AA4D301-F494-45CE-8B4B-A0469B3637A0}" name="産業大分類" totalsRowLabel="合計" totalsRowDxfId="1007"/>
    <tableColumn id="10" xr3:uid="{BDDEDB7E-480F-4064-BE3C-F0BFEDF4A2F5}" name="総数／事業所数" totalsRowFunction="custom" totalsRowDxfId="1006" dataCellStyle="桁区切り" totalsRowCellStyle="桁区切り">
      <totalsRowFormula>SUM(LTBL_20206[総数／事業所数])</totalsRowFormula>
    </tableColumn>
    <tableColumn id="11" xr3:uid="{3EC3A37D-BF97-4203-A9EC-C90A61BC5C76}" name="総数／構成比" dataDxfId="1005"/>
    <tableColumn id="12" xr3:uid="{6AB29DD4-5F1F-4827-BC1A-8E9F2ADC4EE8}" name="個人／事業所数" totalsRowFunction="sum" totalsRowDxfId="1004" dataCellStyle="桁区切り" totalsRowCellStyle="桁区切り"/>
    <tableColumn id="13" xr3:uid="{67DE5C98-A559-4328-AC8C-D4616A865FF9}" name="個人／構成比" dataDxfId="1003"/>
    <tableColumn id="14" xr3:uid="{6E78A929-356B-45BB-B1A4-00F3F5D412D0}" name="法人／事業所数" totalsRowFunction="sum" totalsRowDxfId="1002" dataCellStyle="桁区切り" totalsRowCellStyle="桁区切り"/>
    <tableColumn id="15" xr3:uid="{589E4708-9ADB-4B51-A903-89A0C0B81A31}" name="法人／構成比" dataDxfId="1001"/>
    <tableColumn id="16" xr3:uid="{0E95E6C4-04AD-4819-A416-3793311CC34B}" name="法人以外の団体／事業所数" totalsRowFunction="sum" totalsRowDxfId="1000" dataCellStyle="桁区切り" totalsRowCellStyle="桁区切り"/>
  </tableColumns>
  <tableStyleInfo name="TableStyleMedium9" showFirstColumn="0" showLastColumn="0" showRowStripes="1" showColumnStripes="0"/>
</table>
</file>

<file path=xl/tables/table1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0" xr:uid="{5FA13E6F-2B91-4B95-8DDE-7D8453D346EB}" name="LTBL_20452" displayName="LTBL_20452" ref="B4:I20" totalsRowCount="1">
  <autoFilter ref="B4:I19" xr:uid="{5FA13E6F-2B91-4B95-8DDE-7D8453D346EB}"/>
  <tableColumns count="8">
    <tableColumn id="9" xr3:uid="{E80BBCEA-0C6B-4CA3-9DA4-2C8B9FDB754D}" name="産業大分類" totalsRowLabel="合計" totalsRowDxfId="209"/>
    <tableColumn id="10" xr3:uid="{4B9A6858-5EA6-4BA4-96CC-38BA0489AC77}" name="総数／事業所数" totalsRowFunction="custom" totalsRowDxfId="208" dataCellStyle="桁区切り" totalsRowCellStyle="桁区切り">
      <totalsRowFormula>SUM(LTBL_20452[総数／事業所数])</totalsRowFormula>
    </tableColumn>
    <tableColumn id="11" xr3:uid="{84AF8F56-D7D6-41DA-AD08-CB2A70EACBBD}" name="総数／構成比" dataDxfId="207"/>
    <tableColumn id="12" xr3:uid="{E3A4DDEC-D685-40CC-B727-B32B51FEBCF1}" name="個人／事業所数" totalsRowFunction="sum" totalsRowDxfId="206" dataCellStyle="桁区切り" totalsRowCellStyle="桁区切り"/>
    <tableColumn id="13" xr3:uid="{626B5389-9D41-4065-8368-A147DB6E51FC}" name="個人／構成比" dataDxfId="205"/>
    <tableColumn id="14" xr3:uid="{36F44311-F40F-4980-A08D-4A547D1C123B}" name="法人／事業所数" totalsRowFunction="sum" totalsRowDxfId="204" dataCellStyle="桁区切り" totalsRowCellStyle="桁区切り"/>
    <tableColumn id="15" xr3:uid="{90D6530A-98A0-4136-881D-CA5387C8CCC8}" name="法人／構成比" dataDxfId="203"/>
    <tableColumn id="16" xr3:uid="{9986115F-3834-462B-9FC3-CF004436B361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1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1" xr:uid="{1B6E3FB6-54DF-45B5-BFEC-742A8BEB45BC}" name="M_TABLE_20452" displayName="M_TABLE_20452" ref="B23:I44" totalsRowShown="0">
  <autoFilter ref="B23:I44" xr:uid="{1B6E3FB6-54DF-45B5-BFEC-742A8BEB45BC}"/>
  <tableColumns count="8">
    <tableColumn id="9" xr3:uid="{48E8401E-F143-47AE-811F-8FDA00582549}" name="産業中分類上位２０"/>
    <tableColumn id="10" xr3:uid="{8BB2CBB9-CAFF-456F-8077-C393D462DB2E}" name="総数／事業所数" dataCellStyle="桁区切り"/>
    <tableColumn id="11" xr3:uid="{12259C62-A8BA-451E-8E68-285BA7636B7E}" name="総数／構成比" dataDxfId="201"/>
    <tableColumn id="12" xr3:uid="{65A55B6A-F868-41B3-9EC2-DE8810B05016}" name="個人／事業所数" dataCellStyle="桁区切り"/>
    <tableColumn id="13" xr3:uid="{FEBB1457-D79D-468C-8188-23837E2ADCCF}" name="個人／構成比" dataDxfId="200"/>
    <tableColumn id="14" xr3:uid="{1FDCF040-2CF3-40D2-BB10-492C5CD550BC}" name="法人／事業所数" dataCellStyle="桁区切り"/>
    <tableColumn id="15" xr3:uid="{F10788A3-F381-4A43-899D-D3B4AECE60D2}" name="法人／構成比" dataDxfId="199"/>
    <tableColumn id="16" xr3:uid="{4A7C7F37-663F-4A17-B424-F430EFD3D924}" name="法人以外の団体／事業所数" dataCellStyle="桁区切り"/>
  </tableColumns>
  <tableStyleInfo name="TableStyleMedium9" showFirstColumn="0" showLastColumn="0" showRowStripes="1" showColumnStripes="0"/>
</table>
</file>

<file path=xl/tables/table1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2" xr:uid="{20ECCC8F-665A-4D6E-B868-FA62563F7DAA}" name="S_TABLE_20452" displayName="S_TABLE_20452" ref="B47:I77" totalsRowShown="0">
  <autoFilter ref="B47:I77" xr:uid="{20ECCC8F-665A-4D6E-B868-FA62563F7DAA}"/>
  <tableColumns count="8">
    <tableColumn id="9" xr3:uid="{12C09DC3-006F-418A-9112-72A4FCA770AF}" name="産業小分類上位２０"/>
    <tableColumn id="10" xr3:uid="{C158E96C-D84B-4679-A4A9-625EFD49384D}" name="総数／事業所数" dataCellStyle="桁区切り"/>
    <tableColumn id="11" xr3:uid="{CFC467B3-3221-46FA-A63C-5A1DED968622}" name="総数／構成比" dataDxfId="198"/>
    <tableColumn id="12" xr3:uid="{3595EE38-BDF3-4E78-A933-37311B42715A}" name="個人／事業所数" dataCellStyle="桁区切り"/>
    <tableColumn id="13" xr3:uid="{CF31C179-EC26-467D-9BAD-2C18CD99EDF7}" name="個人／構成比" dataDxfId="197"/>
    <tableColumn id="14" xr3:uid="{0744DAFF-B054-4850-9D3A-B7D361C014B1}" name="法人／事業所数" dataCellStyle="桁区切り"/>
    <tableColumn id="15" xr3:uid="{8DC99AB2-B09D-401E-ABE4-C9A766A041A1}" name="法人／構成比" dataDxfId="196"/>
    <tableColumn id="16" xr3:uid="{84880995-17DA-4898-8999-496BDC1D032B}" name="法人以外の団体／事業所数" dataCellStyle="桁区切り"/>
  </tableColumns>
  <tableStyleInfo name="TableStyleMedium9" showFirstColumn="0" showLastColumn="0" showRowStripes="1" showColumnStripes="0"/>
</table>
</file>

<file path=xl/tables/table1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3" xr:uid="{4ED31422-B7F3-422E-9CBC-DAE0D8CE546C}" name="LTBL_20481" displayName="LTBL_20481" ref="B4:I20" totalsRowCount="1">
  <autoFilter ref="B4:I19" xr:uid="{4ED31422-B7F3-422E-9CBC-DAE0D8CE546C}"/>
  <tableColumns count="8">
    <tableColumn id="9" xr3:uid="{0DC2389B-8A88-4BA0-9B9A-2577FCBD4391}" name="産業大分類" totalsRowLabel="合計" totalsRowDxfId="195"/>
    <tableColumn id="10" xr3:uid="{676F80A5-1D46-4BF6-A60B-E17DE50AC8F1}" name="総数／事業所数" totalsRowFunction="custom" totalsRowDxfId="194" dataCellStyle="桁区切り" totalsRowCellStyle="桁区切り">
      <totalsRowFormula>SUM(LTBL_20481[総数／事業所数])</totalsRowFormula>
    </tableColumn>
    <tableColumn id="11" xr3:uid="{9AE2AE2E-ED6F-4069-9739-5CC97E03E8B8}" name="総数／構成比" dataDxfId="193"/>
    <tableColumn id="12" xr3:uid="{20B339E4-C02F-41FF-AD44-52C657D7C45E}" name="個人／事業所数" totalsRowFunction="sum" totalsRowDxfId="192" dataCellStyle="桁区切り" totalsRowCellStyle="桁区切り"/>
    <tableColumn id="13" xr3:uid="{95CF3DB4-C294-48E7-9988-B1D42CB140FF}" name="個人／構成比" dataDxfId="191"/>
    <tableColumn id="14" xr3:uid="{EA95A88C-2A4F-42B5-889E-BFF58083AECD}" name="法人／事業所数" totalsRowFunction="sum" totalsRowDxfId="190" dataCellStyle="桁区切り" totalsRowCellStyle="桁区切り"/>
    <tableColumn id="15" xr3:uid="{B6C438D0-DB2B-4005-894A-756DE010BD66}" name="法人／構成比" dataDxfId="189"/>
    <tableColumn id="16" xr3:uid="{DC226245-8DA7-413A-BC6D-97F4895C42B5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1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4" xr:uid="{F9DBF63D-E1BE-4C05-91EA-0C15C2859937}" name="M_TABLE_20481" displayName="M_TABLE_20481" ref="B23:I45" totalsRowShown="0">
  <autoFilter ref="B23:I45" xr:uid="{F9DBF63D-E1BE-4C05-91EA-0C15C2859937}"/>
  <tableColumns count="8">
    <tableColumn id="9" xr3:uid="{E4E18FC5-2FB2-40F1-8AF9-7D0FA8CBC41A}" name="産業中分類上位２０"/>
    <tableColumn id="10" xr3:uid="{FA8D9559-FDED-4C0C-8452-FCB3004339C5}" name="総数／事業所数" dataCellStyle="桁区切り"/>
    <tableColumn id="11" xr3:uid="{119530E9-62D6-40B3-B08C-0BA6181AD075}" name="総数／構成比" dataDxfId="187"/>
    <tableColumn id="12" xr3:uid="{F62C02A7-5935-462F-AAE1-3DB5CA275B4E}" name="個人／事業所数" dataCellStyle="桁区切り"/>
    <tableColumn id="13" xr3:uid="{0EE67615-A7AB-417E-A32D-80662FDFA064}" name="個人／構成比" dataDxfId="186"/>
    <tableColumn id="14" xr3:uid="{F31336A5-9FE6-4464-90F5-071CCD78FBB9}" name="法人／事業所数" dataCellStyle="桁区切り"/>
    <tableColumn id="15" xr3:uid="{57D246EC-54A5-40A5-B238-CF874D5324F4}" name="法人／構成比" dataDxfId="185"/>
    <tableColumn id="16" xr3:uid="{6F1626C8-3634-42DE-A2EC-7FE0AFCECBDE}" name="法人以外の団体／事業所数" dataCellStyle="桁区切り"/>
  </tableColumns>
  <tableStyleInfo name="TableStyleMedium9" showFirstColumn="0" showLastColumn="0" showRowStripes="1" showColumnStripes="0"/>
</table>
</file>

<file path=xl/tables/table1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5" xr:uid="{05661EA4-0EDB-459A-98A8-2CCDCC077131}" name="S_TABLE_20481" displayName="S_TABLE_20481" ref="B48:I73" totalsRowShown="0">
  <autoFilter ref="B48:I73" xr:uid="{05661EA4-0EDB-459A-98A8-2CCDCC077131}"/>
  <tableColumns count="8">
    <tableColumn id="9" xr3:uid="{1AA17AF3-81EC-405E-9DC3-40FCD609D592}" name="産業小分類上位２０"/>
    <tableColumn id="10" xr3:uid="{CD1828DB-4623-451B-9857-86F42CD71D06}" name="総数／事業所数" dataCellStyle="桁区切り"/>
    <tableColumn id="11" xr3:uid="{6A06F6A0-2FA6-4DF0-92C0-623E0BD81F39}" name="総数／構成比" dataDxfId="184"/>
    <tableColumn id="12" xr3:uid="{CA0FC3E4-80DF-4C8A-8CDD-765B8B16F45A}" name="個人／事業所数" dataCellStyle="桁区切り"/>
    <tableColumn id="13" xr3:uid="{80B8BD9D-FB10-43C0-84E8-63AC48422682}" name="個人／構成比" dataDxfId="183"/>
    <tableColumn id="14" xr3:uid="{0BAAEE2E-3EAF-4D74-9063-1C7639891D5B}" name="法人／事業所数" dataCellStyle="桁区切り"/>
    <tableColumn id="15" xr3:uid="{62D9F5DF-8903-49A1-865C-95FB1B5D2C1B}" name="法人／構成比" dataDxfId="182"/>
    <tableColumn id="16" xr3:uid="{8F26F0A8-5A30-4B8E-9024-71B62BB01C5C}" name="法人以外の団体／事業所数" dataCellStyle="桁区切り"/>
  </tableColumns>
  <tableStyleInfo name="TableStyleMedium9" showFirstColumn="0" showLastColumn="0" showRowStripes="1" showColumnStripes="0"/>
</table>
</file>

<file path=xl/tables/table1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6" xr:uid="{1B232869-D42C-4208-96D9-BC10903E316E}" name="LTBL_20482" displayName="LTBL_20482" ref="B4:I20" totalsRowCount="1">
  <autoFilter ref="B4:I19" xr:uid="{1B232869-D42C-4208-96D9-BC10903E316E}"/>
  <tableColumns count="8">
    <tableColumn id="9" xr3:uid="{161F8E14-7ED6-4841-AA32-3FF833CC5BBF}" name="産業大分類" totalsRowLabel="合計" totalsRowDxfId="181"/>
    <tableColumn id="10" xr3:uid="{6F8DF1C2-7BB8-491E-9945-67FE39F8035C}" name="総数／事業所数" totalsRowFunction="custom" totalsRowDxfId="180" dataCellStyle="桁区切り" totalsRowCellStyle="桁区切り">
      <totalsRowFormula>SUM(LTBL_20482[総数／事業所数])</totalsRowFormula>
    </tableColumn>
    <tableColumn id="11" xr3:uid="{2AD113BB-121A-4889-882B-7C2E6B64B37B}" name="総数／構成比" dataDxfId="179"/>
    <tableColumn id="12" xr3:uid="{9472A489-7C6E-47C2-A292-4E2B23B74F44}" name="個人／事業所数" totalsRowFunction="sum" totalsRowDxfId="178" dataCellStyle="桁区切り" totalsRowCellStyle="桁区切り"/>
    <tableColumn id="13" xr3:uid="{B868291B-D2FF-4E63-BF49-ED3452C5E12A}" name="個人／構成比" dataDxfId="177"/>
    <tableColumn id="14" xr3:uid="{24F33C71-76E8-479B-AD47-BBA62A3F276F}" name="法人／事業所数" totalsRowFunction="sum" totalsRowDxfId="176" dataCellStyle="桁区切り" totalsRowCellStyle="桁区切り"/>
    <tableColumn id="15" xr3:uid="{0D841418-D34D-4A61-AFC2-E99CCCBB6277}" name="法人／構成比" dataDxfId="175"/>
    <tableColumn id="16" xr3:uid="{B11FDE8D-D162-4622-A9C8-0E73E421B1A5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1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7" xr:uid="{9D5F6F40-179D-4590-9D84-137A634A79D4}" name="M_TABLE_20482" displayName="M_TABLE_20482" ref="B23:I46" totalsRowShown="0">
  <autoFilter ref="B23:I46" xr:uid="{9D5F6F40-179D-4590-9D84-137A634A79D4}"/>
  <tableColumns count="8">
    <tableColumn id="9" xr3:uid="{6B0D7988-ECB0-4491-B2D0-74B83C406D53}" name="産業中分類上位２０"/>
    <tableColumn id="10" xr3:uid="{1BC53115-6D9C-4C6D-8853-64C739312723}" name="総数／事業所数" dataCellStyle="桁区切り"/>
    <tableColumn id="11" xr3:uid="{81D7C6C9-66E5-4AEB-A90D-9179928F4022}" name="総数／構成比" dataDxfId="173"/>
    <tableColumn id="12" xr3:uid="{FB0102AF-8D7A-4E87-BEA5-43E9B92454ED}" name="個人／事業所数" dataCellStyle="桁区切り"/>
    <tableColumn id="13" xr3:uid="{8DA447A0-0556-4884-9C10-46196CF60FB4}" name="個人／構成比" dataDxfId="172"/>
    <tableColumn id="14" xr3:uid="{8041FFAA-497C-4441-B5BB-FB3DB715BC29}" name="法人／事業所数" dataCellStyle="桁区切り"/>
    <tableColumn id="15" xr3:uid="{7C46B7E0-FAD5-4C14-BF10-C326097BE905}" name="法人／構成比" dataDxfId="171"/>
    <tableColumn id="16" xr3:uid="{ECEA0202-5069-4A3D-89BC-1B74EDD3B99E}" name="法人以外の団体／事業所数" dataCellStyle="桁区切り"/>
  </tableColumns>
  <tableStyleInfo name="TableStyleMedium9" showFirstColumn="0" showLastColumn="0" showRowStripes="1" showColumnStripes="0"/>
</table>
</file>

<file path=xl/tables/table1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8" xr:uid="{7E4C193F-4702-4FFC-B8AA-5B2DF89E8CB4}" name="S_TABLE_20482" displayName="S_TABLE_20482" ref="B49:I71" totalsRowShown="0">
  <autoFilter ref="B49:I71" xr:uid="{7E4C193F-4702-4FFC-B8AA-5B2DF89E8CB4}"/>
  <tableColumns count="8">
    <tableColumn id="9" xr3:uid="{D312ECE7-0312-434B-AE96-7C54A655CFAE}" name="産業小分類上位２０"/>
    <tableColumn id="10" xr3:uid="{B3CEA3D3-7ACB-4778-93C4-1DF4B93D0787}" name="総数／事業所数" dataCellStyle="桁区切り"/>
    <tableColumn id="11" xr3:uid="{903DD4BA-CE6C-4464-8918-1133D79E9A07}" name="総数／構成比" dataDxfId="170"/>
    <tableColumn id="12" xr3:uid="{6D46FD15-33A1-46DB-8F2F-EB9CC29C4EC0}" name="個人／事業所数" dataCellStyle="桁区切り"/>
    <tableColumn id="13" xr3:uid="{C9EA1859-FD2C-498E-AAC5-027C720585A9}" name="個人／構成比" dataDxfId="169"/>
    <tableColumn id="14" xr3:uid="{21ABFB20-C73B-415D-9207-653C191A6BBB}" name="法人／事業所数" dataCellStyle="桁区切り"/>
    <tableColumn id="15" xr3:uid="{1E68316E-5C14-4A07-A92D-37E1337CD03C}" name="法人／構成比" dataDxfId="168"/>
    <tableColumn id="16" xr3:uid="{A59C1678-0631-4F11-925E-882E1403E0D7}" name="法人以外の団体／事業所数" dataCellStyle="桁区切り"/>
  </tableColumns>
  <tableStyleInfo name="TableStyleMedium9" showFirstColumn="0" showLastColumn="0" showRowStripes="1" showColumnStripes="0"/>
</table>
</file>

<file path=xl/tables/table1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9" xr:uid="{2E4175AC-CC91-48ED-B5BA-A5E7CD6CC60B}" name="LTBL_20485" displayName="LTBL_20485" ref="B4:I20" totalsRowCount="1">
  <autoFilter ref="B4:I19" xr:uid="{2E4175AC-CC91-48ED-B5BA-A5E7CD6CC60B}"/>
  <tableColumns count="8">
    <tableColumn id="9" xr3:uid="{B027DC04-9648-4FE0-8C88-067D9A0E8917}" name="産業大分類" totalsRowLabel="合計" totalsRowDxfId="167"/>
    <tableColumn id="10" xr3:uid="{E55C955E-FCA9-477C-9D60-4BAEE44D9EF6}" name="総数／事業所数" totalsRowFunction="custom" totalsRowDxfId="166" dataCellStyle="桁区切り" totalsRowCellStyle="桁区切り">
      <totalsRowFormula>SUM(LTBL_20485[総数／事業所数])</totalsRowFormula>
    </tableColumn>
    <tableColumn id="11" xr3:uid="{B5E6739F-EA18-42A8-967F-CB74072D2954}" name="総数／構成比" dataDxfId="165"/>
    <tableColumn id="12" xr3:uid="{8177A98B-33F6-4515-95AF-903D3C59251C}" name="個人／事業所数" totalsRowFunction="sum" totalsRowDxfId="164" dataCellStyle="桁区切り" totalsRowCellStyle="桁区切り"/>
    <tableColumn id="13" xr3:uid="{8F1EF020-C4E1-4ED0-8FE3-0072532C2537}" name="個人／構成比" dataDxfId="163"/>
    <tableColumn id="14" xr3:uid="{CE0BA81E-796B-49FB-BD3C-106C3300B022}" name="法人／事業所数" totalsRowFunction="sum" totalsRowDxfId="162" dataCellStyle="桁区切り" totalsRowCellStyle="桁区切り"/>
    <tableColumn id="15" xr3:uid="{F3685CA3-FEF5-4405-8F58-43EA532CB9FE}" name="法人／構成比" dataDxfId="161"/>
    <tableColumn id="16" xr3:uid="{7BF7B380-5684-449C-9D36-9EEECBD7B2CA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CB8D0D-428B-4A0E-9B71-438A4EEC6988}" name="M_TABLE_20000" displayName="M_TABLE_20000" ref="B23:I43" totalsRowShown="0">
  <autoFilter ref="B23:I43" xr:uid="{32CB8D0D-428B-4A0E-9B71-438A4EEC6988}"/>
  <tableColumns count="8">
    <tableColumn id="9" xr3:uid="{AD5D8954-2964-46F7-8267-E18E4DEDEF7C}" name="産業中分類上位２０"/>
    <tableColumn id="10" xr3:uid="{A2A0E1E8-3547-4690-9BDD-3616670152DB}" name="総数／事業所数" dataCellStyle="桁区切り"/>
    <tableColumn id="11" xr3:uid="{F243E9B6-0F5D-47C6-A5FA-C1FD642275CC}" name="総数／構成比" dataDxfId="1083"/>
    <tableColumn id="12" xr3:uid="{75D413F0-5237-4D41-85AC-38EDAE4CCE45}" name="個人／事業所数" dataCellStyle="桁区切り"/>
    <tableColumn id="13" xr3:uid="{E216E311-865A-4D23-B266-75F1127E49F8}" name="個人／構成比" dataDxfId="1082"/>
    <tableColumn id="14" xr3:uid="{AD1C7B4A-2204-4098-BA50-6A6249F8D0F4}" name="法人／事業所数" dataCellStyle="桁区切り"/>
    <tableColumn id="15" xr3:uid="{57BE780A-14B8-4B44-A32E-92E958A14008}" name="法人／構成比" dataDxfId="1081"/>
    <tableColumn id="16" xr3:uid="{8FA0D4AE-E19F-4FF6-B31B-446B1506E717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FF781CA-72E8-4FC3-BD38-BC901C893290}" name="M_TABLE_20206" displayName="M_TABLE_20206" ref="B23:I43" totalsRowShown="0">
  <autoFilter ref="B23:I43" xr:uid="{4FF781CA-72E8-4FC3-BD38-BC901C893290}"/>
  <tableColumns count="8">
    <tableColumn id="9" xr3:uid="{3526CA1C-5047-4358-821B-E3F95D60ABB6}" name="産業中分類上位２０"/>
    <tableColumn id="10" xr3:uid="{20781023-7997-48D2-ABB0-7EE7FE63C913}" name="総数／事業所数" dataCellStyle="桁区切り"/>
    <tableColumn id="11" xr3:uid="{8830B582-7252-417F-99B7-C5FE0CF97753}" name="総数／構成比" dataDxfId="999"/>
    <tableColumn id="12" xr3:uid="{68479DF0-FEAA-4A23-BA08-60882C660D4D}" name="個人／事業所数" dataCellStyle="桁区切り"/>
    <tableColumn id="13" xr3:uid="{0F63A2A5-45FE-422E-8B11-1665E87CAD90}" name="個人／構成比" dataDxfId="998"/>
    <tableColumn id="14" xr3:uid="{815BC4A3-C885-4911-BAD8-27E04EEE36BB}" name="法人／事業所数" dataCellStyle="桁区切り"/>
    <tableColumn id="15" xr3:uid="{5620DE20-A9A2-4FB9-B050-583F26A0BD36}" name="法人／構成比" dataDxfId="997"/>
    <tableColumn id="16" xr3:uid="{F364AD53-A7A7-4B82-8542-6934BFE40E1D}" name="法人以外の団体／事業所数" dataCellStyle="桁区切り"/>
  </tableColumns>
  <tableStyleInfo name="TableStyleMedium9" showFirstColumn="0" showLastColumn="0" showRowStripes="1" showColumnStripes="0"/>
</table>
</file>

<file path=xl/tables/table2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0" xr:uid="{15FA8B05-3CC6-4B93-B8BE-62EFCD0DFE70}" name="M_TABLE_20485" displayName="M_TABLE_20485" ref="B23:I44" totalsRowShown="0">
  <autoFilter ref="B23:I44" xr:uid="{15FA8B05-3CC6-4B93-B8BE-62EFCD0DFE70}"/>
  <tableColumns count="8">
    <tableColumn id="9" xr3:uid="{47BD24A6-203E-46C8-AA31-9A1F52704470}" name="産業中分類上位２０"/>
    <tableColumn id="10" xr3:uid="{0FA69417-EFD9-4E63-82D8-D32108C8062D}" name="総数／事業所数" dataCellStyle="桁区切り"/>
    <tableColumn id="11" xr3:uid="{84A222A7-F359-455C-A06E-5ED481ACB213}" name="総数／構成比" dataDxfId="159"/>
    <tableColumn id="12" xr3:uid="{9770646B-C278-40F3-ACDD-96C9F5ED5982}" name="個人／事業所数" dataCellStyle="桁区切り"/>
    <tableColumn id="13" xr3:uid="{7EDD8BE1-A8ED-4C62-9A7C-A8EC6CD3E652}" name="個人／構成比" dataDxfId="158"/>
    <tableColumn id="14" xr3:uid="{57BF88A3-98A5-4106-A794-E5D07AF77B09}" name="法人／事業所数" dataCellStyle="桁区切り"/>
    <tableColumn id="15" xr3:uid="{725C224C-EFC7-488B-9546-6B55C60B15B4}" name="法人／構成比" dataDxfId="157"/>
    <tableColumn id="16" xr3:uid="{E2355792-510D-4F69-82A4-A707C1E718F3}" name="法人以外の団体／事業所数" dataCellStyle="桁区切り"/>
  </tableColumns>
  <tableStyleInfo name="TableStyleMedium9" showFirstColumn="0" showLastColumn="0" showRowStripes="1" showColumnStripes="0"/>
</table>
</file>

<file path=xl/tables/table2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1" xr:uid="{D13A94B5-893C-49B6-8129-796BAA8360DB}" name="S_TABLE_20485" displayName="S_TABLE_20485" ref="B47:I71" totalsRowShown="0">
  <autoFilter ref="B47:I71" xr:uid="{D13A94B5-893C-49B6-8129-796BAA8360DB}"/>
  <tableColumns count="8">
    <tableColumn id="9" xr3:uid="{87952863-F652-42C6-83FC-C53BAFC657D5}" name="産業小分類上位２０"/>
    <tableColumn id="10" xr3:uid="{3C9E4B0A-9564-465A-8D2F-FA1E788A558E}" name="総数／事業所数" dataCellStyle="桁区切り"/>
    <tableColumn id="11" xr3:uid="{9735A2FC-CA43-49F9-9D33-48558CDEA149}" name="総数／構成比" dataDxfId="156"/>
    <tableColumn id="12" xr3:uid="{147CE5AA-7C66-4E8D-8B1B-A13EC66C96E1}" name="個人／事業所数" dataCellStyle="桁区切り"/>
    <tableColumn id="13" xr3:uid="{1CCEEDB3-F317-470A-8889-50DFE2D26883}" name="個人／構成比" dataDxfId="155"/>
    <tableColumn id="14" xr3:uid="{B8E476A9-7A1E-447C-AB30-E76CB3979A5E}" name="法人／事業所数" dataCellStyle="桁区切り"/>
    <tableColumn id="15" xr3:uid="{0E3FB05F-0C42-417F-B8F6-E7710DF7F7AB}" name="法人／構成比" dataDxfId="154"/>
    <tableColumn id="16" xr3:uid="{7CC24DC4-3DBD-4128-ACBF-A4E631FC4FF8}" name="法人以外の団体／事業所数" dataCellStyle="桁区切り"/>
  </tableColumns>
  <tableStyleInfo name="TableStyleMedium9" showFirstColumn="0" showLastColumn="0" showRowStripes="1" showColumnStripes="0"/>
</table>
</file>

<file path=xl/tables/table2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2" xr:uid="{E1F3CD53-4808-4C4D-89FD-186580728FCA}" name="LTBL_20486" displayName="LTBL_20486" ref="B4:I20" totalsRowCount="1">
  <autoFilter ref="B4:I19" xr:uid="{E1F3CD53-4808-4C4D-89FD-186580728FCA}"/>
  <tableColumns count="8">
    <tableColumn id="9" xr3:uid="{B22395ED-9136-47DC-A4E1-268054564773}" name="産業大分類" totalsRowLabel="合計" totalsRowDxfId="153"/>
    <tableColumn id="10" xr3:uid="{9A143D63-8881-463E-971D-3CCBC631ACBF}" name="総数／事業所数" totalsRowFunction="custom" totalsRowDxfId="152" dataCellStyle="桁区切り" totalsRowCellStyle="桁区切り">
      <totalsRowFormula>SUM(LTBL_20486[総数／事業所数])</totalsRowFormula>
    </tableColumn>
    <tableColumn id="11" xr3:uid="{57DD67E9-6F74-4CF8-86A4-B8D03183F174}" name="総数／構成比" dataDxfId="151"/>
    <tableColumn id="12" xr3:uid="{34CDCC98-04B9-4EED-B7DA-ABE34AAF34F4}" name="個人／事業所数" totalsRowFunction="sum" totalsRowDxfId="150" dataCellStyle="桁区切り" totalsRowCellStyle="桁区切り"/>
    <tableColumn id="13" xr3:uid="{2FF00DB6-A588-4EE7-8D35-6260B947A518}" name="個人／構成比" dataDxfId="149"/>
    <tableColumn id="14" xr3:uid="{DB04A169-54A1-448A-BC00-47E9FBA02017}" name="法人／事業所数" totalsRowFunction="sum" totalsRowDxfId="148" dataCellStyle="桁区切り" totalsRowCellStyle="桁区切り"/>
    <tableColumn id="15" xr3:uid="{B6598E41-D79D-4C04-B3DC-86D8C223EA55}" name="法人／構成比" dataDxfId="147"/>
    <tableColumn id="16" xr3:uid="{47337514-3DC0-4260-A746-025CBB41922F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2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3" xr:uid="{C0A9A08A-B024-47BE-AD41-7EC8CB87E202}" name="M_TABLE_20486" displayName="M_TABLE_20486" ref="B23:I55" totalsRowShown="0">
  <autoFilter ref="B23:I55" xr:uid="{C0A9A08A-B024-47BE-AD41-7EC8CB87E202}"/>
  <tableColumns count="8">
    <tableColumn id="9" xr3:uid="{A71A8050-26A7-458B-90B2-1A04EBB209CE}" name="産業中分類上位２０"/>
    <tableColumn id="10" xr3:uid="{E4946C1D-E5EF-412B-BD7C-466854E87839}" name="総数／事業所数" dataCellStyle="桁区切り"/>
    <tableColumn id="11" xr3:uid="{4EFFF0A1-1BD5-4ED5-A73B-0AB97ECF40BB}" name="総数／構成比" dataDxfId="145"/>
    <tableColumn id="12" xr3:uid="{F66EA1DE-326A-4DCD-BACC-B19BFBFB4E4C}" name="個人／事業所数" dataCellStyle="桁区切り"/>
    <tableColumn id="13" xr3:uid="{77CA8A55-4D5A-44D6-8406-164BBC3F071E}" name="個人／構成比" dataDxfId="144"/>
    <tableColumn id="14" xr3:uid="{334D3AE7-B761-45CA-9599-882B90718617}" name="法人／事業所数" dataCellStyle="桁区切り"/>
    <tableColumn id="15" xr3:uid="{EF608A96-193D-4E88-B008-5B685C50830A}" name="法人／構成比" dataDxfId="143"/>
    <tableColumn id="16" xr3:uid="{F1798433-D55C-44D5-AB64-E640635B1BB1}" name="法人以外の団体／事業所数" dataCellStyle="桁区切り"/>
  </tableColumns>
  <tableStyleInfo name="TableStyleMedium9" showFirstColumn="0" showLastColumn="0" showRowStripes="1" showColumnStripes="0"/>
</table>
</file>

<file path=xl/tables/table2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4" xr:uid="{4245A21D-E490-4B41-84FB-7C9C023CE02D}" name="S_TABLE_20486" displayName="S_TABLE_20486" ref="B58:I89" totalsRowShown="0">
  <autoFilter ref="B58:I89" xr:uid="{4245A21D-E490-4B41-84FB-7C9C023CE02D}"/>
  <tableColumns count="8">
    <tableColumn id="9" xr3:uid="{E4F2070A-9F72-4E7C-A83E-6A85874A0A4F}" name="産業小分類上位２０"/>
    <tableColumn id="10" xr3:uid="{07880320-8052-4469-89F2-94F9CD12B980}" name="総数／事業所数" dataCellStyle="桁区切り"/>
    <tableColumn id="11" xr3:uid="{D96F3985-6CC6-4D5A-9A50-F34C32913FC5}" name="総数／構成比" dataDxfId="142"/>
    <tableColumn id="12" xr3:uid="{4B79EE5E-4F7F-4D61-BE6F-0A8B35FF7130}" name="個人／事業所数" dataCellStyle="桁区切り"/>
    <tableColumn id="13" xr3:uid="{67475D88-F055-41AA-A114-6F5EA149A370}" name="個人／構成比" dataDxfId="141"/>
    <tableColumn id="14" xr3:uid="{DE4EA638-9B3D-4B3D-9B9A-468F3DB292A4}" name="法人／事業所数" dataCellStyle="桁区切り"/>
    <tableColumn id="15" xr3:uid="{846FB499-71C5-4783-AB3F-F00AF857101B}" name="法人／構成比" dataDxfId="140"/>
    <tableColumn id="16" xr3:uid="{64E5B151-0BE5-4407-BD8D-212F8E8192A7}" name="法人以外の団体／事業所数" dataCellStyle="桁区切り"/>
  </tableColumns>
  <tableStyleInfo name="TableStyleMedium9" showFirstColumn="0" showLastColumn="0" showRowStripes="1" showColumnStripes="0"/>
</table>
</file>

<file path=xl/tables/table2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5" xr:uid="{BD6AB179-71ED-4120-A824-8AFAF21DA19F}" name="LTBL_20521" displayName="LTBL_20521" ref="B4:I20" totalsRowCount="1">
  <autoFilter ref="B4:I19" xr:uid="{BD6AB179-71ED-4120-A824-8AFAF21DA19F}"/>
  <tableColumns count="8">
    <tableColumn id="9" xr3:uid="{8A47B193-60A6-4068-8A52-14398192390E}" name="産業大分類" totalsRowLabel="合計" totalsRowDxfId="139"/>
    <tableColumn id="10" xr3:uid="{2566BFCC-AEA9-4819-A602-CEC0CFEE48D8}" name="総数／事業所数" totalsRowFunction="custom" totalsRowDxfId="138" dataCellStyle="桁区切り" totalsRowCellStyle="桁区切り">
      <totalsRowFormula>SUM(LTBL_20521[総数／事業所数])</totalsRowFormula>
    </tableColumn>
    <tableColumn id="11" xr3:uid="{6B6850F4-C926-4E94-A571-9FFF1D38C80C}" name="総数／構成比" dataDxfId="137"/>
    <tableColumn id="12" xr3:uid="{CB67E894-30E7-49E7-B214-14A88902B44A}" name="個人／事業所数" totalsRowFunction="sum" totalsRowDxfId="136" dataCellStyle="桁区切り" totalsRowCellStyle="桁区切り"/>
    <tableColumn id="13" xr3:uid="{60565821-F496-4C99-AC37-5249D157A636}" name="個人／構成比" dataDxfId="135"/>
    <tableColumn id="14" xr3:uid="{9513AF33-AB69-4FE3-A599-6FB53907BCD9}" name="法人／事業所数" totalsRowFunction="sum" totalsRowDxfId="134" dataCellStyle="桁区切り" totalsRowCellStyle="桁区切り"/>
    <tableColumn id="15" xr3:uid="{883BE950-68E9-49D2-ADDA-E52ACF5FC543}" name="法人／構成比" dataDxfId="133"/>
    <tableColumn id="16" xr3:uid="{C950E488-68CA-4E5E-A08A-27AC5910822D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2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6" xr:uid="{CB463A03-C4B2-439B-A8B9-92DF27395B1F}" name="M_TABLE_20521" displayName="M_TABLE_20521" ref="B23:I44" totalsRowShown="0">
  <autoFilter ref="B23:I44" xr:uid="{CB463A03-C4B2-439B-A8B9-92DF27395B1F}"/>
  <tableColumns count="8">
    <tableColumn id="9" xr3:uid="{301E9837-0A90-4567-AA23-2DBDBD782481}" name="産業中分類上位２０"/>
    <tableColumn id="10" xr3:uid="{CFD22464-100C-4B1B-95B7-B8BE5E6BA703}" name="総数／事業所数" dataCellStyle="桁区切り"/>
    <tableColumn id="11" xr3:uid="{EE4829AD-1F78-47DB-9A32-4BD7D020137A}" name="総数／構成比" dataDxfId="131"/>
    <tableColumn id="12" xr3:uid="{BA486FDE-DFC9-49C9-B44D-6D3C373D7EA8}" name="個人／事業所数" dataCellStyle="桁区切り"/>
    <tableColumn id="13" xr3:uid="{BC406861-6B4A-48F1-8D23-ECCE8CB4BC1B}" name="個人／構成比" dataDxfId="130"/>
    <tableColumn id="14" xr3:uid="{21561883-6B1D-4EFD-A143-5FC08413D4E0}" name="法人／事業所数" dataCellStyle="桁区切り"/>
    <tableColumn id="15" xr3:uid="{E03A7F58-BBEE-471D-8603-4810893473B4}" name="法人／構成比" dataDxfId="129"/>
    <tableColumn id="16" xr3:uid="{11B58435-A4B1-449B-9D89-4CD555110E9A}" name="法人以外の団体／事業所数" dataCellStyle="桁区切り"/>
  </tableColumns>
  <tableStyleInfo name="TableStyleMedium9" showFirstColumn="0" showLastColumn="0" showRowStripes="1" showColumnStripes="0"/>
</table>
</file>

<file path=xl/tables/table2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7" xr:uid="{D4C2FF9A-4295-4C74-B6BF-86741F08636A}" name="S_TABLE_20521" displayName="S_TABLE_20521" ref="B47:I69" totalsRowShown="0">
  <autoFilter ref="B47:I69" xr:uid="{D4C2FF9A-4295-4C74-B6BF-86741F08636A}"/>
  <tableColumns count="8">
    <tableColumn id="9" xr3:uid="{D1522502-EDFD-4AC2-9908-C34314C69E3A}" name="産業小分類上位２０"/>
    <tableColumn id="10" xr3:uid="{6D4B7AB7-ACAF-49DF-A657-CD1ABAE42150}" name="総数／事業所数" dataCellStyle="桁区切り"/>
    <tableColumn id="11" xr3:uid="{FF1CC459-6420-4686-9B57-00F62C9473C4}" name="総数／構成比" dataDxfId="128"/>
    <tableColumn id="12" xr3:uid="{095B18D9-2E54-41C8-ACED-6B797D36220D}" name="個人／事業所数" dataCellStyle="桁区切り"/>
    <tableColumn id="13" xr3:uid="{22710934-DD60-4173-AA40-3BD0884A8A60}" name="個人／構成比" dataDxfId="127"/>
    <tableColumn id="14" xr3:uid="{BDF59E7D-88A7-47AD-9293-05E0E23BB913}" name="法人／事業所数" dataCellStyle="桁区切り"/>
    <tableColumn id="15" xr3:uid="{7139652A-0DA6-490B-B6FD-7423FDDB3B49}" name="法人／構成比" dataDxfId="126"/>
    <tableColumn id="16" xr3:uid="{203604FA-535C-4B20-8D58-C410A6BB7D61}" name="法人以外の団体／事業所数" dataCellStyle="桁区切り"/>
  </tableColumns>
  <tableStyleInfo name="TableStyleMedium9" showFirstColumn="0" showLastColumn="0" showRowStripes="1" showColumnStripes="0"/>
</table>
</file>

<file path=xl/tables/table2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8" xr:uid="{396F921A-24AD-43F9-89A9-A75FB7D83C8F}" name="LTBL_20541" displayName="LTBL_20541" ref="B4:I20" totalsRowCount="1">
  <autoFilter ref="B4:I19" xr:uid="{396F921A-24AD-43F9-89A9-A75FB7D83C8F}"/>
  <tableColumns count="8">
    <tableColumn id="9" xr3:uid="{F7292247-6FEB-46B2-8BDA-00390525A2AB}" name="産業大分類" totalsRowLabel="合計" totalsRowDxfId="125"/>
    <tableColumn id="10" xr3:uid="{FA8BC696-6A01-4220-AA86-316179C23E43}" name="総数／事業所数" totalsRowFunction="custom" totalsRowDxfId="124" dataCellStyle="桁区切り" totalsRowCellStyle="桁区切り">
      <totalsRowFormula>SUM(LTBL_20541[総数／事業所数])</totalsRowFormula>
    </tableColumn>
    <tableColumn id="11" xr3:uid="{FBE81563-2A36-4E49-B94B-07BB58063034}" name="総数／構成比" dataDxfId="123"/>
    <tableColumn id="12" xr3:uid="{134C4437-292A-43CA-86C6-A10E36C82E6A}" name="個人／事業所数" totalsRowFunction="sum" totalsRowDxfId="122" dataCellStyle="桁区切り" totalsRowCellStyle="桁区切り"/>
    <tableColumn id="13" xr3:uid="{EA4DC5BE-8424-480D-BF86-099C8A47F14F}" name="個人／構成比" dataDxfId="121"/>
    <tableColumn id="14" xr3:uid="{162E7C89-3E0E-4AF8-BF54-D20C559C0F38}" name="法人／事業所数" totalsRowFunction="sum" totalsRowDxfId="120" dataCellStyle="桁区切り" totalsRowCellStyle="桁区切り"/>
    <tableColumn id="15" xr3:uid="{B5E44372-38F9-47BC-9082-84C55BEDD4C4}" name="法人／構成比" dataDxfId="119"/>
    <tableColumn id="16" xr3:uid="{C53A87FB-4506-49E5-B10A-A580A94543C0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2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9" xr:uid="{289E83FF-6B09-411A-A236-F9E96DF28D9F}" name="M_TABLE_20541" displayName="M_TABLE_20541" ref="B23:I49" totalsRowShown="0">
  <autoFilter ref="B23:I49" xr:uid="{289E83FF-6B09-411A-A236-F9E96DF28D9F}"/>
  <tableColumns count="8">
    <tableColumn id="9" xr3:uid="{D80CA282-5F49-49AC-9EAD-915CE402B121}" name="産業中分類上位２０"/>
    <tableColumn id="10" xr3:uid="{FDB9E2E7-69BE-446F-BFFB-362CB859A55D}" name="総数／事業所数" dataCellStyle="桁区切り"/>
    <tableColumn id="11" xr3:uid="{0EA784D2-2B76-4B8C-8CA3-108355FAC65F}" name="総数／構成比" dataDxfId="117"/>
    <tableColumn id="12" xr3:uid="{0CC0AF4E-8F05-44A1-AEA9-6AC433936C6D}" name="個人／事業所数" dataCellStyle="桁区切り"/>
    <tableColumn id="13" xr3:uid="{EFD5F2DA-6F13-4C9E-BAB2-F4A094CCC2A0}" name="個人／構成比" dataDxfId="116"/>
    <tableColumn id="14" xr3:uid="{182C3C92-3158-4C62-BEED-176EB8F314CA}" name="法人／事業所数" dataCellStyle="桁区切り"/>
    <tableColumn id="15" xr3:uid="{14647036-6A5C-4F82-AAF7-5541B0035780}" name="法人／構成比" dataDxfId="115"/>
    <tableColumn id="16" xr3:uid="{93239621-39A1-401C-8A21-C35F7E747393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3086798-BAAF-47AB-9309-BA135040761C}" name="S_TABLE_20206" displayName="S_TABLE_20206" ref="B46:I67" totalsRowShown="0">
  <autoFilter ref="B46:I67" xr:uid="{93086798-BAAF-47AB-9309-BA135040761C}"/>
  <tableColumns count="8">
    <tableColumn id="9" xr3:uid="{F28F1C5E-B443-4D92-A5C2-2A8B0B337714}" name="産業小分類上位２０"/>
    <tableColumn id="10" xr3:uid="{0321FFC0-3B5D-492B-826C-92CCD4F43DCD}" name="総数／事業所数" dataCellStyle="桁区切り"/>
    <tableColumn id="11" xr3:uid="{5923D0AD-448B-46D0-BACC-41134F18505F}" name="総数／構成比" dataDxfId="996"/>
    <tableColumn id="12" xr3:uid="{CE14DE62-B58C-4F37-9F6F-340446EF2B8D}" name="個人／事業所数" dataCellStyle="桁区切り"/>
    <tableColumn id="13" xr3:uid="{1FA36480-04E9-47D0-AE84-03532DDF552F}" name="個人／構成比" dataDxfId="995"/>
    <tableColumn id="14" xr3:uid="{7D203DDC-24EE-46FF-B3A0-6F4E29234A3C}" name="法人／事業所数" dataCellStyle="桁区切り"/>
    <tableColumn id="15" xr3:uid="{C29F116F-1250-4DBA-9490-AAE819D2B895}" name="法人／構成比" dataDxfId="994"/>
    <tableColumn id="16" xr3:uid="{8DBD7C1A-22BB-43A7-9E29-CB8EFEA3A36E}" name="法人以外の団体／事業所数" dataCellStyle="桁区切り"/>
  </tableColumns>
  <tableStyleInfo name="TableStyleMedium9" showFirstColumn="0" showLastColumn="0" showRowStripes="1" showColumnStripes="0"/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0" xr:uid="{C08CDDFC-B1BF-4496-B51F-0415C3C23A80}" name="S_TABLE_20541" displayName="S_TABLE_20541" ref="B52:I73" totalsRowShown="0">
  <autoFilter ref="B52:I73" xr:uid="{C08CDDFC-B1BF-4496-B51F-0415C3C23A80}"/>
  <tableColumns count="8">
    <tableColumn id="9" xr3:uid="{E8ED7222-5C9F-4E46-851D-F23F61CB2C31}" name="産業小分類上位２０"/>
    <tableColumn id="10" xr3:uid="{50F13693-83E7-487F-9539-67B528E46D94}" name="総数／事業所数" dataCellStyle="桁区切り"/>
    <tableColumn id="11" xr3:uid="{8172F6AD-7D5D-498D-807C-1AAE5527ACCD}" name="総数／構成比" dataDxfId="114"/>
    <tableColumn id="12" xr3:uid="{72F3848C-C6FF-43BA-ABE9-AD99FB99B3F0}" name="個人／事業所数" dataCellStyle="桁区切り"/>
    <tableColumn id="13" xr3:uid="{0E64783D-1622-43BC-9721-D2F5B8C0B8B3}" name="個人／構成比" dataDxfId="113"/>
    <tableColumn id="14" xr3:uid="{34C9FC69-72AB-4DB3-8360-047EA73218F6}" name="法人／事業所数" dataCellStyle="桁区切り"/>
    <tableColumn id="15" xr3:uid="{DD489DCD-B07E-46AC-A631-E9E3021BF91B}" name="法人／構成比" dataDxfId="112"/>
    <tableColumn id="16" xr3:uid="{E92EECB9-59E3-416D-A0F6-53F756106A39}" name="法人以外の団体／事業所数" dataCellStyle="桁区切り"/>
  </tableColumns>
  <tableStyleInfo name="TableStyleMedium9" showFirstColumn="0" showLastColumn="0" showRowStripes="1" showColumnStripes="0"/>
</table>
</file>

<file path=xl/tables/table2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1" xr:uid="{93E48A13-372D-40F1-8A1C-9B0210ADDE77}" name="LTBL_20543" displayName="LTBL_20543" ref="B4:I20" totalsRowCount="1">
  <autoFilter ref="B4:I19" xr:uid="{93E48A13-372D-40F1-8A1C-9B0210ADDE77}"/>
  <tableColumns count="8">
    <tableColumn id="9" xr3:uid="{5D4DD4BC-F49A-4E22-B56E-B6959D6BB64C}" name="産業大分類" totalsRowLabel="合計" totalsRowDxfId="111"/>
    <tableColumn id="10" xr3:uid="{0CACF2A8-2259-4199-8B27-4983B1E32B64}" name="総数／事業所数" totalsRowFunction="custom" totalsRowDxfId="110" dataCellStyle="桁区切り" totalsRowCellStyle="桁区切り">
      <totalsRowFormula>SUM(LTBL_20543[総数／事業所数])</totalsRowFormula>
    </tableColumn>
    <tableColumn id="11" xr3:uid="{00EEBE9D-1386-43CB-8C62-801CEAD6E6AB}" name="総数／構成比" dataDxfId="109"/>
    <tableColumn id="12" xr3:uid="{9086EC58-624F-4DF8-AA4B-6699397AABC4}" name="個人／事業所数" totalsRowFunction="sum" totalsRowDxfId="108" dataCellStyle="桁区切り" totalsRowCellStyle="桁区切り"/>
    <tableColumn id="13" xr3:uid="{625592B6-D12A-4728-99C3-C5933CA70BE9}" name="個人／構成比" dataDxfId="107"/>
    <tableColumn id="14" xr3:uid="{ED6D2AF8-FF18-4446-AD44-C4F837ED4882}" name="法人／事業所数" totalsRowFunction="sum" totalsRowDxfId="106" dataCellStyle="桁区切り" totalsRowCellStyle="桁区切り"/>
    <tableColumn id="15" xr3:uid="{32F45171-0B2C-474A-80B3-D7D60D1C630F}" name="法人／構成比" dataDxfId="105"/>
    <tableColumn id="16" xr3:uid="{9EF35FC9-8771-407F-8C79-5BE9703BBCCB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2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2" xr:uid="{45362461-9A92-4567-AF4A-23759E42D34D}" name="M_TABLE_20543" displayName="M_TABLE_20543" ref="B23:I50" totalsRowShown="0">
  <autoFilter ref="B23:I50" xr:uid="{45362461-9A92-4567-AF4A-23759E42D34D}"/>
  <tableColumns count="8">
    <tableColumn id="9" xr3:uid="{9CE82697-2B2B-4D63-964A-2DC3D921B3CC}" name="産業中分類上位２０"/>
    <tableColumn id="10" xr3:uid="{0CC6A7E8-14B4-4782-AB73-21C6645828B2}" name="総数／事業所数" dataCellStyle="桁区切り"/>
    <tableColumn id="11" xr3:uid="{7CD11D29-7AAF-4F22-91B9-C5856DD1A8C8}" name="総数／構成比" dataDxfId="103"/>
    <tableColumn id="12" xr3:uid="{36AAD0FC-8235-4C0B-B349-9293A088D79E}" name="個人／事業所数" dataCellStyle="桁区切り"/>
    <tableColumn id="13" xr3:uid="{705DE9AF-96A6-47C3-8EE9-E062F45B9E83}" name="個人／構成比" dataDxfId="102"/>
    <tableColumn id="14" xr3:uid="{EDEE1D77-4349-453A-9958-7AB64D4D62F6}" name="法人／事業所数" dataCellStyle="桁区切り"/>
    <tableColumn id="15" xr3:uid="{0C82B7FD-B855-4231-BD86-4E3D5B6AE42F}" name="法人／構成比" dataDxfId="101"/>
    <tableColumn id="16" xr3:uid="{49E75A9D-D6F5-43C7-8560-790A94BB673A}" name="法人以外の団体／事業所数" dataCellStyle="桁区切り"/>
  </tableColumns>
  <tableStyleInfo name="TableStyleMedium9" showFirstColumn="0" showLastColumn="0" showRowStripes="1" showColumnStripes="0"/>
</table>
</file>

<file path=xl/tables/table2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3" xr:uid="{F236B2BE-A440-4B06-AD2D-9B2B5134674C}" name="S_TABLE_20543" displayName="S_TABLE_20543" ref="B53:I73" totalsRowShown="0">
  <autoFilter ref="B53:I73" xr:uid="{F236B2BE-A440-4B06-AD2D-9B2B5134674C}"/>
  <tableColumns count="8">
    <tableColumn id="9" xr3:uid="{40169599-28C0-48ED-AA57-0B545661D11D}" name="産業小分類上位２０"/>
    <tableColumn id="10" xr3:uid="{02C36E0F-C6FB-45A6-85D6-49D5CAB7CA2E}" name="総数／事業所数" dataCellStyle="桁区切り"/>
    <tableColumn id="11" xr3:uid="{CE0A80A7-9BD5-44C0-9F54-7F23F7C44D86}" name="総数／構成比" dataDxfId="100"/>
    <tableColumn id="12" xr3:uid="{08569334-F1B3-43E0-A4D0-8C1E8610CDBF}" name="個人／事業所数" dataCellStyle="桁区切り"/>
    <tableColumn id="13" xr3:uid="{F2B81BDC-C865-4A7B-8617-6137B2AE307D}" name="個人／構成比" dataDxfId="99"/>
    <tableColumn id="14" xr3:uid="{C8DA939C-131F-4E29-A656-300F12928EB3}" name="法人／事業所数" dataCellStyle="桁区切り"/>
    <tableColumn id="15" xr3:uid="{4124CDCF-1CEB-4D36-9D21-1F1C0369B6A5}" name="法人／構成比" dataDxfId="98"/>
    <tableColumn id="16" xr3:uid="{565335CF-768C-4825-A05D-CAC79A81BF09}" name="法人以外の団体／事業所数" dataCellStyle="桁区切り"/>
  </tableColumns>
  <tableStyleInfo name="TableStyleMedium9" showFirstColumn="0" showLastColumn="0" showRowStripes="1" showColumnStripes="0"/>
</table>
</file>

<file path=xl/tables/table2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4" xr:uid="{0CD59995-1A2E-413A-8419-5E27E1EB8568}" name="LTBL_20561" displayName="LTBL_20561" ref="B4:I20" totalsRowCount="1">
  <autoFilter ref="B4:I19" xr:uid="{0CD59995-1A2E-413A-8419-5E27E1EB8568}"/>
  <tableColumns count="8">
    <tableColumn id="9" xr3:uid="{90744CBA-F26C-4C81-B84D-F2C70E0CE0C4}" name="産業大分類" totalsRowLabel="合計" totalsRowDxfId="97"/>
    <tableColumn id="10" xr3:uid="{A712DB62-C41C-4EB9-9672-20A2AF97530F}" name="総数／事業所数" totalsRowFunction="custom" totalsRowDxfId="96" dataCellStyle="桁区切り" totalsRowCellStyle="桁区切り">
      <totalsRowFormula>SUM(LTBL_20561[総数／事業所数])</totalsRowFormula>
    </tableColumn>
    <tableColumn id="11" xr3:uid="{0285BBFD-31F7-497B-A742-1C12CD1E0294}" name="総数／構成比" dataDxfId="95"/>
    <tableColumn id="12" xr3:uid="{2DBEB6B5-10AA-43CF-B374-1ABBE5521C28}" name="個人／事業所数" totalsRowFunction="sum" totalsRowDxfId="94" dataCellStyle="桁区切り" totalsRowCellStyle="桁区切り"/>
    <tableColumn id="13" xr3:uid="{379D7903-8E10-4622-B4D6-5DE20313724B}" name="個人／構成比" dataDxfId="93"/>
    <tableColumn id="14" xr3:uid="{CA6A9E92-36E3-4497-8E63-EEA641D247CD}" name="法人／事業所数" totalsRowFunction="sum" totalsRowDxfId="92" dataCellStyle="桁区切り" totalsRowCellStyle="桁区切り"/>
    <tableColumn id="15" xr3:uid="{731AF979-A14E-4EFA-827A-DD4BB3253122}" name="法人／構成比" dataDxfId="91"/>
    <tableColumn id="16" xr3:uid="{AADD830E-AC47-4841-A977-8F4000717EC2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2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5" xr:uid="{D61D0380-F105-49D1-9DE9-BB89A18ADEEA}" name="M_TABLE_20561" displayName="M_TABLE_20561" ref="B23:I49" totalsRowShown="0">
  <autoFilter ref="B23:I49" xr:uid="{D61D0380-F105-49D1-9DE9-BB89A18ADEEA}"/>
  <tableColumns count="8">
    <tableColumn id="9" xr3:uid="{A1EA771B-52EE-4EEC-B7FA-244568604736}" name="産業中分類上位２０"/>
    <tableColumn id="10" xr3:uid="{55C8858C-E5ED-4C51-943D-B2E97F9F3103}" name="総数／事業所数" dataCellStyle="桁区切り"/>
    <tableColumn id="11" xr3:uid="{0E8C156C-32DD-4FDC-91B4-F8AAF58F7D7A}" name="総数／構成比" dataDxfId="89"/>
    <tableColumn id="12" xr3:uid="{866FAF2B-7BF9-461C-A446-16D17DD6484B}" name="個人／事業所数" dataCellStyle="桁区切り"/>
    <tableColumn id="13" xr3:uid="{96A5E29C-D30E-4640-A9F4-7B958B9925E1}" name="個人／構成比" dataDxfId="88"/>
    <tableColumn id="14" xr3:uid="{5AE84922-625D-40B4-809A-53D85C4C7284}" name="法人／事業所数" dataCellStyle="桁区切り"/>
    <tableColumn id="15" xr3:uid="{34FFE57E-72C2-41EE-8F87-6EA2E866134A}" name="法人／構成比" dataDxfId="87"/>
    <tableColumn id="16" xr3:uid="{080511A2-2B0B-4CA7-B2ED-6FA079779715}" name="法人以外の団体／事業所数" dataCellStyle="桁区切り"/>
  </tableColumns>
  <tableStyleInfo name="TableStyleMedium9" showFirstColumn="0" showLastColumn="0" showRowStripes="1" showColumnStripes="0"/>
</table>
</file>

<file path=xl/tables/table2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6" xr:uid="{9739B877-849C-4753-BA64-7EEB61FAC440}" name="S_TABLE_20561" displayName="S_TABLE_20561" ref="B52:I74" totalsRowShown="0">
  <autoFilter ref="B52:I74" xr:uid="{9739B877-849C-4753-BA64-7EEB61FAC440}"/>
  <tableColumns count="8">
    <tableColumn id="9" xr3:uid="{3C5EE479-7503-42D9-AE0D-C88BC2B537AC}" name="産業小分類上位２０"/>
    <tableColumn id="10" xr3:uid="{7B5BCF04-D1BA-430C-8AB3-A841C0065CBB}" name="総数／事業所数" dataCellStyle="桁区切り"/>
    <tableColumn id="11" xr3:uid="{1D60815A-BE4A-4112-8891-C280E86C17B9}" name="総数／構成比" dataDxfId="86"/>
    <tableColumn id="12" xr3:uid="{4FC19EE0-FA87-48FB-ACC5-E4085FA73664}" name="個人／事業所数" dataCellStyle="桁区切り"/>
    <tableColumn id="13" xr3:uid="{A0FEF0FA-D74B-4194-A899-DF2CD83C9B06}" name="個人／構成比" dataDxfId="85"/>
    <tableColumn id="14" xr3:uid="{9F36A7B3-F328-4CF0-8563-1144822B0B2B}" name="法人／事業所数" dataCellStyle="桁区切り"/>
    <tableColumn id="15" xr3:uid="{A7DE2409-67C6-42CE-BFE2-2A947839A919}" name="法人／構成比" dataDxfId="84"/>
    <tableColumn id="16" xr3:uid="{DB111095-E431-4D75-BF23-CCABC1D62C53}" name="法人以外の団体／事業所数" dataCellStyle="桁区切り"/>
  </tableColumns>
  <tableStyleInfo name="TableStyleMedium9" showFirstColumn="0" showLastColumn="0" showRowStripes="1" showColumnStripes="0"/>
</table>
</file>

<file path=xl/tables/table2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7" xr:uid="{10183F5C-D123-48F7-91D5-BBD898EFC260}" name="LTBL_20562" displayName="LTBL_20562" ref="B4:I20" totalsRowCount="1">
  <autoFilter ref="B4:I19" xr:uid="{10183F5C-D123-48F7-91D5-BBD898EFC260}"/>
  <tableColumns count="8">
    <tableColumn id="9" xr3:uid="{C51FDF4E-9A00-4D01-BE4E-564437084A98}" name="産業大分類" totalsRowLabel="合計" totalsRowDxfId="83"/>
    <tableColumn id="10" xr3:uid="{5BCF5714-205F-40C4-8FAE-B3BF75706634}" name="総数／事業所数" totalsRowFunction="custom" totalsRowDxfId="82" dataCellStyle="桁区切り" totalsRowCellStyle="桁区切り">
      <totalsRowFormula>SUM(LTBL_20562[総数／事業所数])</totalsRowFormula>
    </tableColumn>
    <tableColumn id="11" xr3:uid="{FA6C8F99-0878-4CC2-8A6D-234CA14D2841}" name="総数／構成比" dataDxfId="81"/>
    <tableColumn id="12" xr3:uid="{5513D7EB-B91C-46C2-8029-91E12E3EF923}" name="個人／事業所数" totalsRowFunction="sum" totalsRowDxfId="80" dataCellStyle="桁区切り" totalsRowCellStyle="桁区切り"/>
    <tableColumn id="13" xr3:uid="{0C82B29F-7026-42B1-89BF-027441DFBC1A}" name="個人／構成比" dataDxfId="79"/>
    <tableColumn id="14" xr3:uid="{E959B8F8-7510-4E25-84DE-CB9A75F52886}" name="法人／事業所数" totalsRowFunction="sum" totalsRowDxfId="78" dataCellStyle="桁区切り" totalsRowCellStyle="桁区切り"/>
    <tableColumn id="15" xr3:uid="{9B1901C4-D295-40FF-BC39-157C9F8391A0}" name="法人／構成比" dataDxfId="77"/>
    <tableColumn id="16" xr3:uid="{A5785052-6FBE-4AE6-BBC8-9941340AE9B5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2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8" xr:uid="{5F811FC9-30FC-403E-8AB9-A5854B0D6CF3}" name="M_TABLE_20562" displayName="M_TABLE_20562" ref="B23:I50" totalsRowShown="0">
  <autoFilter ref="B23:I50" xr:uid="{5F811FC9-30FC-403E-8AB9-A5854B0D6CF3}"/>
  <tableColumns count="8">
    <tableColumn id="9" xr3:uid="{EAEAD7F1-4A6F-497C-BA75-C3A096CFB765}" name="産業中分類上位２０"/>
    <tableColumn id="10" xr3:uid="{93633EAC-948F-4210-A136-E6A8594ADE8B}" name="総数／事業所数" dataCellStyle="桁区切り"/>
    <tableColumn id="11" xr3:uid="{7A9DB26B-51EC-415E-ADA3-8D03664A6070}" name="総数／構成比" dataDxfId="75"/>
    <tableColumn id="12" xr3:uid="{7268B946-750E-4669-8DDD-97E184101D91}" name="個人／事業所数" dataCellStyle="桁区切り"/>
    <tableColumn id="13" xr3:uid="{F19D902D-EB56-4F35-83BE-D336F9C9B514}" name="個人／構成比" dataDxfId="74"/>
    <tableColumn id="14" xr3:uid="{77E7476C-CACA-4F4C-830E-4F15586ACC79}" name="法人／事業所数" dataCellStyle="桁区切り"/>
    <tableColumn id="15" xr3:uid="{61734500-CE21-4D69-9DBD-3009CD8B006A}" name="法人／構成比" dataDxfId="73"/>
    <tableColumn id="16" xr3:uid="{B61B4C97-E6BA-441B-90B7-599AE46D1C28}" name="法人以外の団体／事業所数" dataCellStyle="桁区切り"/>
  </tableColumns>
  <tableStyleInfo name="TableStyleMedium9" showFirstColumn="0" showLastColumn="0" showRowStripes="1" showColumnStripes="0"/>
</table>
</file>

<file path=xl/tables/table2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9" xr:uid="{EDA2FC5A-DC74-480A-A32D-10DB2443CABB}" name="S_TABLE_20562" displayName="S_TABLE_20562" ref="B53:I77" totalsRowShown="0">
  <autoFilter ref="B53:I77" xr:uid="{EDA2FC5A-DC74-480A-A32D-10DB2443CABB}"/>
  <tableColumns count="8">
    <tableColumn id="9" xr3:uid="{2F82382D-372F-468D-B369-F48D465D8CAC}" name="産業小分類上位２０"/>
    <tableColumn id="10" xr3:uid="{4DCAC0A1-E643-482A-A7C1-7E21615BDD58}" name="総数／事業所数" dataCellStyle="桁区切り"/>
    <tableColumn id="11" xr3:uid="{3938E4E7-4967-4ED8-97B0-1EA504F64EBD}" name="総数／構成比" dataDxfId="72"/>
    <tableColumn id="12" xr3:uid="{E0BCA4E0-A9E5-4A7A-A3C2-1D543377C33C}" name="個人／事業所数" dataCellStyle="桁区切り"/>
    <tableColumn id="13" xr3:uid="{1950AE12-0C8D-4607-AEDC-FFF8265C5276}" name="個人／構成比" dataDxfId="71"/>
    <tableColumn id="14" xr3:uid="{4BB2BA23-736A-479F-8110-0D1A4AC67772}" name="法人／事業所数" dataCellStyle="桁区切り"/>
    <tableColumn id="15" xr3:uid="{8727FB32-F4C9-456E-9AF0-911E90FFC1A2}" name="法人／構成比" dataDxfId="70"/>
    <tableColumn id="16" xr3:uid="{9B337FF7-CFD8-4052-8E5A-18018A214F32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6FAE231-C29E-4042-9EEF-515D00792B1D}" name="LTBL_20207" displayName="LTBL_20207" ref="B4:I20" totalsRowCount="1">
  <autoFilter ref="B4:I19" xr:uid="{56FAE231-C29E-4042-9EEF-515D00792B1D}"/>
  <tableColumns count="8">
    <tableColumn id="9" xr3:uid="{4A140410-BCA3-492F-80B0-BB01472B24CF}" name="産業大分類" totalsRowLabel="合計" totalsRowDxfId="993"/>
    <tableColumn id="10" xr3:uid="{2635133B-3E35-4A14-B106-79A440CB7C59}" name="総数／事業所数" totalsRowFunction="custom" totalsRowDxfId="992" dataCellStyle="桁区切り" totalsRowCellStyle="桁区切り">
      <totalsRowFormula>SUM(LTBL_20207[総数／事業所数])</totalsRowFormula>
    </tableColumn>
    <tableColumn id="11" xr3:uid="{25339860-2037-4C54-A737-CCB6F7827FB6}" name="総数／構成比" dataDxfId="991"/>
    <tableColumn id="12" xr3:uid="{F8D9F372-93BE-434D-AB2D-01F83F5EEB8D}" name="個人／事業所数" totalsRowFunction="sum" totalsRowDxfId="990" dataCellStyle="桁区切り" totalsRowCellStyle="桁区切り"/>
    <tableColumn id="13" xr3:uid="{53E14D1B-7AAB-40BD-BAFB-70AE61527E5A}" name="個人／構成比" dataDxfId="989"/>
    <tableColumn id="14" xr3:uid="{69E663C2-55BF-49A4-A5C7-1FDF524BA7E0}" name="法人／事業所数" totalsRowFunction="sum" totalsRowDxfId="988" dataCellStyle="桁区切り" totalsRowCellStyle="桁区切り"/>
    <tableColumn id="15" xr3:uid="{F57C837A-5C81-41AA-90F6-062BE0CF7EF2}" name="法人／構成比" dataDxfId="987"/>
    <tableColumn id="16" xr3:uid="{D72345B0-30A8-488D-91FC-42B0A6E79F35}" name="法人以外の団体／事業所数" totalsRowFunction="sum" totalsRowDxfId="986" dataCellStyle="桁区切り" totalsRowCellStyle="桁区切り"/>
  </tableColumns>
  <tableStyleInfo name="TableStyleMedium9" showFirstColumn="0" showLastColumn="0" showRowStripes="1" showColumnStripes="0"/>
</table>
</file>

<file path=xl/tables/table2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0" xr:uid="{39BF2908-FE9A-4807-8752-D27D1A254D8E}" name="LTBL_20563" displayName="LTBL_20563" ref="B4:I20" totalsRowCount="1">
  <autoFilter ref="B4:I19" xr:uid="{39BF2908-FE9A-4807-8752-D27D1A254D8E}"/>
  <tableColumns count="8">
    <tableColumn id="9" xr3:uid="{7534461A-3B5A-46B0-98E1-28E5573F666F}" name="産業大分類" totalsRowLabel="合計" totalsRowDxfId="69"/>
    <tableColumn id="10" xr3:uid="{6CC7154E-6B2A-42CA-8A06-1D043A8F427E}" name="総数／事業所数" totalsRowFunction="custom" totalsRowDxfId="68" dataCellStyle="桁区切り" totalsRowCellStyle="桁区切り">
      <totalsRowFormula>SUM(LTBL_20563[総数／事業所数])</totalsRowFormula>
    </tableColumn>
    <tableColumn id="11" xr3:uid="{6CCE9C8D-FD2E-47CC-A8E3-B7DFBCA1E7E0}" name="総数／構成比" dataDxfId="67"/>
    <tableColumn id="12" xr3:uid="{E73FAEE2-A31A-4696-9D40-66EE7C8E0849}" name="個人／事業所数" totalsRowFunction="sum" totalsRowDxfId="66" dataCellStyle="桁区切り" totalsRowCellStyle="桁区切り"/>
    <tableColumn id="13" xr3:uid="{A78E3E99-435E-4C2B-BD16-8F9A323FBF05}" name="個人／構成比" dataDxfId="65"/>
    <tableColumn id="14" xr3:uid="{39AA2DD4-1C67-4DEA-B576-F5E4DEA10299}" name="法人／事業所数" totalsRowFunction="sum" totalsRowDxfId="64" dataCellStyle="桁区切り" totalsRowCellStyle="桁区切り"/>
    <tableColumn id="15" xr3:uid="{68659E72-ADE6-4ED8-8562-A13314D374AA}" name="法人／構成比" dataDxfId="63"/>
    <tableColumn id="16" xr3:uid="{9C4424C5-86F4-404D-AD0E-9346894E0E8A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2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1" xr:uid="{BFF90049-25B0-46F7-8BD3-F64B1DEF4D87}" name="M_TABLE_20563" displayName="M_TABLE_20563" ref="B23:I46" totalsRowShown="0">
  <autoFilter ref="B23:I46" xr:uid="{BFF90049-25B0-46F7-8BD3-F64B1DEF4D87}"/>
  <tableColumns count="8">
    <tableColumn id="9" xr3:uid="{AB45D7A4-125B-41ED-90A5-5B3F1AD284BE}" name="産業中分類上位２０"/>
    <tableColumn id="10" xr3:uid="{05B8C55E-55CD-42D5-AC1E-F321BCD80A68}" name="総数／事業所数" dataCellStyle="桁区切り"/>
    <tableColumn id="11" xr3:uid="{5D4FA95B-A299-47FA-8695-7FACFE24CE09}" name="総数／構成比" dataDxfId="61"/>
    <tableColumn id="12" xr3:uid="{0CD6ABF7-7658-44FF-8272-C8CEEF0012F3}" name="個人／事業所数" dataCellStyle="桁区切り"/>
    <tableColumn id="13" xr3:uid="{C931BD00-9E4A-420B-A44B-45EF61EF8322}" name="個人／構成比" dataDxfId="60"/>
    <tableColumn id="14" xr3:uid="{6B93EF2D-E715-4212-AF03-5933BDACB21E}" name="法人／事業所数" dataCellStyle="桁区切り"/>
    <tableColumn id="15" xr3:uid="{7E35F91F-9E09-431B-ACDD-B5718B06CD74}" name="法人／構成比" dataDxfId="59"/>
    <tableColumn id="16" xr3:uid="{C5CC7C08-4213-418B-A47A-F79C452373DD}" name="法人以外の団体／事業所数" dataCellStyle="桁区切り"/>
  </tableColumns>
  <tableStyleInfo name="TableStyleMedium9" showFirstColumn="0" showLastColumn="0" showRowStripes="1" showColumnStripes="0"/>
</table>
</file>

<file path=xl/tables/table2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2" xr:uid="{4C0030BC-6627-4237-AB71-71BFE22DB4AD}" name="S_TABLE_20563" displayName="S_TABLE_20563" ref="B49:I70" totalsRowShown="0">
  <autoFilter ref="B49:I70" xr:uid="{4C0030BC-6627-4237-AB71-71BFE22DB4AD}"/>
  <tableColumns count="8">
    <tableColumn id="9" xr3:uid="{9CFC818A-977B-436B-9F58-F6B0D75617C3}" name="産業小分類上位２０"/>
    <tableColumn id="10" xr3:uid="{322A4849-ACD2-407E-9718-58CC9BD475E0}" name="総数／事業所数" dataCellStyle="桁区切り"/>
    <tableColumn id="11" xr3:uid="{93258463-2133-492E-8118-237145CD87CD}" name="総数／構成比" dataDxfId="58"/>
    <tableColumn id="12" xr3:uid="{150BB673-C79F-4C58-9D4A-0497E4ADDB51}" name="個人／事業所数" dataCellStyle="桁区切り"/>
    <tableColumn id="13" xr3:uid="{C90204AC-1DCE-4FE8-B57B-0DFA7184E16A}" name="個人／構成比" dataDxfId="57"/>
    <tableColumn id="14" xr3:uid="{F7017A86-283A-4B23-9379-81F6BB3DB599}" name="法人／事業所数" dataCellStyle="桁区切り"/>
    <tableColumn id="15" xr3:uid="{0B3224F0-03D3-4AD9-BD93-39199D82064C}" name="法人／構成比" dataDxfId="56"/>
    <tableColumn id="16" xr3:uid="{22A5F237-BC58-4393-8EF9-ED71F83A1EF8}" name="法人以外の団体／事業所数" dataCellStyle="桁区切り"/>
  </tableColumns>
  <tableStyleInfo name="TableStyleMedium9" showFirstColumn="0" showLastColumn="0" showRowStripes="1" showColumnStripes="0"/>
</table>
</file>

<file path=xl/tables/table2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3" xr:uid="{C3247535-7CB2-4143-B7AE-99089234F3F7}" name="LTBL_20583" displayName="LTBL_20583" ref="B4:I20" totalsRowCount="1">
  <autoFilter ref="B4:I19" xr:uid="{C3247535-7CB2-4143-B7AE-99089234F3F7}"/>
  <tableColumns count="8">
    <tableColumn id="9" xr3:uid="{1098D457-7A3D-4845-A557-68AE71690A7F}" name="産業大分類" totalsRowLabel="合計" totalsRowDxfId="55"/>
    <tableColumn id="10" xr3:uid="{C6D83610-72FE-4FFE-9983-414618C8D7FA}" name="総数／事業所数" totalsRowFunction="custom" totalsRowDxfId="54" dataCellStyle="桁区切り" totalsRowCellStyle="桁区切り">
      <totalsRowFormula>SUM(LTBL_20583[総数／事業所数])</totalsRowFormula>
    </tableColumn>
    <tableColumn id="11" xr3:uid="{74B8AD56-0B5A-40BB-B7EF-52B70706917F}" name="総数／構成比" dataDxfId="53"/>
    <tableColumn id="12" xr3:uid="{90F76BB3-43B5-4361-92F5-BB554711C772}" name="個人／事業所数" totalsRowFunction="sum" totalsRowDxfId="52" dataCellStyle="桁区切り" totalsRowCellStyle="桁区切り"/>
    <tableColumn id="13" xr3:uid="{4D1811F5-A71E-4FC8-9B1B-426FADBF766D}" name="個人／構成比" dataDxfId="51"/>
    <tableColumn id="14" xr3:uid="{6309A3FD-BF92-4A50-AB58-8FAC042FF4B2}" name="法人／事業所数" totalsRowFunction="sum" totalsRowDxfId="50" dataCellStyle="桁区切り" totalsRowCellStyle="桁区切り"/>
    <tableColumn id="15" xr3:uid="{89EEA847-6A4B-4D94-BDA4-1CCD88A334BF}" name="法人／構成比" dataDxfId="49"/>
    <tableColumn id="16" xr3:uid="{E7864087-5967-4B05-9A60-F30AE146DD9A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2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4" xr:uid="{CB5A0826-657C-46EB-9048-22B4E688F528}" name="M_TABLE_20583" displayName="M_TABLE_20583" ref="B23:I45" totalsRowShown="0">
  <autoFilter ref="B23:I45" xr:uid="{CB5A0826-657C-46EB-9048-22B4E688F528}"/>
  <tableColumns count="8">
    <tableColumn id="9" xr3:uid="{F9A346C1-C0B7-4A81-8EF3-9CDDF1440159}" name="産業中分類上位２０"/>
    <tableColumn id="10" xr3:uid="{7475C32B-9E15-49CF-9A21-64C9D7AC275B}" name="総数／事業所数" dataCellStyle="桁区切り"/>
    <tableColumn id="11" xr3:uid="{CF50B41A-76DE-454C-A79F-50DD3505E735}" name="総数／構成比" dataDxfId="47"/>
    <tableColumn id="12" xr3:uid="{ECB1CAE1-E1B8-4138-A08D-E12F5511D1BA}" name="個人／事業所数" dataCellStyle="桁区切り"/>
    <tableColumn id="13" xr3:uid="{1E47B171-A39A-476D-851F-24561F4B42FE}" name="個人／構成比" dataDxfId="46"/>
    <tableColumn id="14" xr3:uid="{14AC5D3A-9247-4773-8DDB-AD73FD1F3058}" name="法人／事業所数" dataCellStyle="桁区切り"/>
    <tableColumn id="15" xr3:uid="{6FCB67C8-187D-42B8-A98C-36FF10EA109C}" name="法人／構成比" dataDxfId="45"/>
    <tableColumn id="16" xr3:uid="{F7D219E3-74C2-4913-A35E-2247CED56F2C}" name="法人以外の団体／事業所数" dataCellStyle="桁区切り"/>
  </tableColumns>
  <tableStyleInfo name="TableStyleMedium9" showFirstColumn="0" showLastColumn="0" showRowStripes="1" showColumnStripes="0"/>
</table>
</file>

<file path=xl/tables/table2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5" xr:uid="{0AE19AC9-0230-4274-80D8-A8D9BEA590C9}" name="S_TABLE_20583" displayName="S_TABLE_20583" ref="B48:I69" totalsRowShown="0">
  <autoFilter ref="B48:I69" xr:uid="{0AE19AC9-0230-4274-80D8-A8D9BEA590C9}"/>
  <tableColumns count="8">
    <tableColumn id="9" xr3:uid="{434089D8-F63F-4CD0-A7D6-550FF8AD4F65}" name="産業小分類上位２０"/>
    <tableColumn id="10" xr3:uid="{F5C48B49-D960-485A-BD7C-B343DF841CEB}" name="総数／事業所数" dataCellStyle="桁区切り"/>
    <tableColumn id="11" xr3:uid="{CA02D620-2375-4EA0-8BDF-22AA87E660C2}" name="総数／構成比" dataDxfId="44"/>
    <tableColumn id="12" xr3:uid="{3B6C8FB1-A9DE-4479-85EB-934147CF446E}" name="個人／事業所数" dataCellStyle="桁区切り"/>
    <tableColumn id="13" xr3:uid="{E961BE6B-D7CE-4E14-8DDA-C4ADF381E0F6}" name="個人／構成比" dataDxfId="43"/>
    <tableColumn id="14" xr3:uid="{2DD687EB-8D2D-4FFB-8EF1-14DEE1C52B49}" name="法人／事業所数" dataCellStyle="桁区切り"/>
    <tableColumn id="15" xr3:uid="{067651D2-6E36-4B0F-8E06-9094260BED88}" name="法人／構成比" dataDxfId="42"/>
    <tableColumn id="16" xr3:uid="{1EF6110A-A71E-451A-A375-766E5A97D330}" name="法人以外の団体／事業所数" dataCellStyle="桁区切り"/>
  </tableColumns>
  <tableStyleInfo name="TableStyleMedium9" showFirstColumn="0" showLastColumn="0" showRowStripes="1" showColumnStripes="0"/>
</table>
</file>

<file path=xl/tables/table2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6" xr:uid="{B16E938C-6445-423E-9378-C1A6FC8AD4DF}" name="LTBL_20588" displayName="LTBL_20588" ref="B4:I20" totalsRowCount="1">
  <autoFilter ref="B4:I19" xr:uid="{B16E938C-6445-423E-9378-C1A6FC8AD4DF}"/>
  <tableColumns count="8">
    <tableColumn id="9" xr3:uid="{34D22961-D68B-4F0A-8F2B-B7E612F1CC01}" name="産業大分類" totalsRowLabel="合計" totalsRowDxfId="41"/>
    <tableColumn id="10" xr3:uid="{5FF652FB-3A2B-4B09-ACD9-4FEFCDC4AD3D}" name="総数／事業所数" totalsRowFunction="custom" totalsRowDxfId="40" dataCellStyle="桁区切り" totalsRowCellStyle="桁区切り">
      <totalsRowFormula>SUM(LTBL_20588[総数／事業所数])</totalsRowFormula>
    </tableColumn>
    <tableColumn id="11" xr3:uid="{EEC0D403-2C1F-4157-8604-5A6B4E3837A5}" name="総数／構成比" dataDxfId="39"/>
    <tableColumn id="12" xr3:uid="{3C67074A-AC1D-4EDB-A2C2-AD0EAB0950D7}" name="個人／事業所数" totalsRowFunction="sum" totalsRowDxfId="38" dataCellStyle="桁区切り" totalsRowCellStyle="桁区切り"/>
    <tableColumn id="13" xr3:uid="{ADEEE6B0-40CD-4BCC-9335-9AD85A6A79DF}" name="個人／構成比" dataDxfId="37"/>
    <tableColumn id="14" xr3:uid="{F70B404D-C50A-4657-A877-205399997BBC}" name="法人／事業所数" totalsRowFunction="sum" totalsRowDxfId="36" dataCellStyle="桁区切り" totalsRowCellStyle="桁区切り"/>
    <tableColumn id="15" xr3:uid="{E789D812-9C2F-448E-951F-1A475FA564E7}" name="法人／構成比" dataDxfId="35"/>
    <tableColumn id="16" xr3:uid="{6F2328CB-1730-4A32-8BF7-913B7EE09967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2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7" xr:uid="{DCDC1902-F1F2-47BE-BA4C-B9696CA34990}" name="M_TABLE_20588" displayName="M_TABLE_20588" ref="B23:I53" totalsRowShown="0">
  <autoFilter ref="B23:I53" xr:uid="{DCDC1902-F1F2-47BE-BA4C-B9696CA34990}"/>
  <tableColumns count="8">
    <tableColumn id="9" xr3:uid="{EE5FF0D5-3EA2-4DCE-B1B6-4BF21AF9C7AD}" name="産業中分類上位２０"/>
    <tableColumn id="10" xr3:uid="{10B5CB2F-4FFA-4A39-898F-2C979783EA9C}" name="総数／事業所数" dataCellStyle="桁区切り"/>
    <tableColumn id="11" xr3:uid="{4D69230C-2E26-4546-A2EE-E207244BC75C}" name="総数／構成比" dataDxfId="33"/>
    <tableColumn id="12" xr3:uid="{E66DECE5-6301-46F7-BF5B-F8B7E0351AE4}" name="個人／事業所数" dataCellStyle="桁区切り"/>
    <tableColumn id="13" xr3:uid="{A944704C-320E-4E9A-98EC-0658ECEE6B66}" name="個人／構成比" dataDxfId="32"/>
    <tableColumn id="14" xr3:uid="{87991083-7CEB-476F-9235-FFFBABB96D43}" name="法人／事業所数" dataCellStyle="桁区切り"/>
    <tableColumn id="15" xr3:uid="{6EB3B933-5D51-443D-B9B7-A6DCE3D74CD8}" name="法人／構成比" dataDxfId="31"/>
    <tableColumn id="16" xr3:uid="{4865DA96-A4C3-43D7-8DDF-2C261721DDF5}" name="法人以外の団体／事業所数" dataCellStyle="桁区切り"/>
  </tableColumns>
  <tableStyleInfo name="TableStyleMedium9" showFirstColumn="0" showLastColumn="0" showRowStripes="1" showColumnStripes="0"/>
</table>
</file>

<file path=xl/tables/table2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8" xr:uid="{5900452C-C99D-4F6F-809D-42B060419B30}" name="S_TABLE_20588" displayName="S_TABLE_20588" ref="B56:I111" totalsRowShown="0">
  <autoFilter ref="B56:I111" xr:uid="{5900452C-C99D-4F6F-809D-42B060419B30}"/>
  <tableColumns count="8">
    <tableColumn id="9" xr3:uid="{CDBAA7BA-2690-44ED-8DC5-0EAD7B5B3B0B}" name="産業小分類上位２０"/>
    <tableColumn id="10" xr3:uid="{23728626-F181-40A2-9D0C-46ED678FBB41}" name="総数／事業所数" dataCellStyle="桁区切り"/>
    <tableColumn id="11" xr3:uid="{8327C3B4-435B-49C3-9294-2C1FA0D8E6BD}" name="総数／構成比" dataDxfId="30"/>
    <tableColumn id="12" xr3:uid="{6A2470B8-6B7E-4E00-B015-9AD827FE4DFA}" name="個人／事業所数" dataCellStyle="桁区切り"/>
    <tableColumn id="13" xr3:uid="{62A64ECF-F19F-40C2-A950-22391331CC62}" name="個人／構成比" dataDxfId="29"/>
    <tableColumn id="14" xr3:uid="{2FFAD0E4-5883-40DF-866B-14C0DF1168F6}" name="法人／事業所数" dataCellStyle="桁区切り"/>
    <tableColumn id="15" xr3:uid="{4302B8D5-D85C-43E4-B19E-64ED1A404830}" name="法人／構成比" dataDxfId="28"/>
    <tableColumn id="16" xr3:uid="{B9AD4269-537A-4792-A4E1-BC02261C3E2D}" name="法人以外の団体／事業所数" dataCellStyle="桁区切り"/>
  </tableColumns>
  <tableStyleInfo name="TableStyleMedium9" showFirstColumn="0" showLastColumn="0" showRowStripes="1" showColumnStripes="0"/>
</table>
</file>

<file path=xl/tables/table2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9" xr:uid="{DD136FB9-3FBE-4FCE-8DB0-A1B18B971061}" name="LTBL_20590" displayName="LTBL_20590" ref="B4:I20" totalsRowCount="1">
  <autoFilter ref="B4:I19" xr:uid="{DD136FB9-3FBE-4FCE-8DB0-A1B18B971061}"/>
  <tableColumns count="8">
    <tableColumn id="9" xr3:uid="{9E9EE228-20B9-4DD2-A53E-56FE71566805}" name="産業大分類" totalsRowLabel="合計" totalsRowDxfId="27"/>
    <tableColumn id="10" xr3:uid="{956A493B-2025-4234-AA50-0D31BF86AD64}" name="総数／事業所数" totalsRowFunction="custom" totalsRowDxfId="26" dataCellStyle="桁区切り" totalsRowCellStyle="桁区切り">
      <totalsRowFormula>SUM(LTBL_20590[総数／事業所数])</totalsRowFormula>
    </tableColumn>
    <tableColumn id="11" xr3:uid="{5DA79BB6-984F-492F-A3BF-7600C74ED6AF}" name="総数／構成比" dataDxfId="25"/>
    <tableColumn id="12" xr3:uid="{4225916E-80D0-49EE-8CD7-F2A9C66EA26A}" name="個人／事業所数" totalsRowFunction="sum" totalsRowDxfId="24" dataCellStyle="桁区切り" totalsRowCellStyle="桁区切り"/>
    <tableColumn id="13" xr3:uid="{2C3786B8-FA58-4AF6-A114-CD50FFC34696}" name="個人／構成比" dataDxfId="23"/>
    <tableColumn id="14" xr3:uid="{3E97FAE4-0690-474F-8F5A-962880D8D00F}" name="法人／事業所数" totalsRowFunction="sum" totalsRowDxfId="22" dataCellStyle="桁区切り" totalsRowCellStyle="桁区切り"/>
    <tableColumn id="15" xr3:uid="{AC87BDD2-7493-4972-85FF-2F0BE72F2EC4}" name="法人／構成比" dataDxfId="21"/>
    <tableColumn id="16" xr3:uid="{422CCD41-579C-4543-A46C-6DF0C2B2F136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1FCB44E-253D-442A-89FE-68BB16E4BD21}" name="M_TABLE_20207" displayName="M_TABLE_20207" ref="B23:I43" totalsRowShown="0">
  <autoFilter ref="B23:I43" xr:uid="{01FCB44E-253D-442A-89FE-68BB16E4BD21}"/>
  <tableColumns count="8">
    <tableColumn id="9" xr3:uid="{DC0574F6-1B90-471D-9402-9DEA234BB3CE}" name="産業中分類上位２０"/>
    <tableColumn id="10" xr3:uid="{0D787184-B83E-4A14-AEE3-5F9CA1880CFC}" name="総数／事業所数" dataCellStyle="桁区切り"/>
    <tableColumn id="11" xr3:uid="{B467027B-1EE6-409A-91A7-1EB77CDD4B39}" name="総数／構成比" dataDxfId="985"/>
    <tableColumn id="12" xr3:uid="{A0C48485-1924-42EF-9880-717B7FDD3C8D}" name="個人／事業所数" dataCellStyle="桁区切り"/>
    <tableColumn id="13" xr3:uid="{65E51180-4777-436C-BB0F-EF04484AF120}" name="個人／構成比" dataDxfId="984"/>
    <tableColumn id="14" xr3:uid="{F35F900D-4729-4BC3-8541-3CA188364B38}" name="法人／事業所数" dataCellStyle="桁区切り"/>
    <tableColumn id="15" xr3:uid="{79BBA0F5-0750-46ED-B033-86C5BC2D082C}" name="法人／構成比" dataDxfId="983"/>
    <tableColumn id="16" xr3:uid="{36857061-178D-4DAE-A65F-3D05FE49BB35}" name="法人以外の団体／事業所数" dataCellStyle="桁区切り"/>
  </tableColumns>
  <tableStyleInfo name="TableStyleMedium9" showFirstColumn="0" showLastColumn="0" showRowStripes="1" showColumnStripes="0"/>
</table>
</file>

<file path=xl/tables/table2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0" xr:uid="{057F6D0D-7D38-4809-8CEA-CE72F47CA74D}" name="M_TABLE_20590" displayName="M_TABLE_20590" ref="B23:I49" totalsRowShown="0">
  <autoFilter ref="B23:I49" xr:uid="{057F6D0D-7D38-4809-8CEA-CE72F47CA74D}"/>
  <tableColumns count="8">
    <tableColumn id="9" xr3:uid="{F7A80EA5-56A9-4877-8669-E2796EE506CF}" name="産業中分類上位２０"/>
    <tableColumn id="10" xr3:uid="{71FE68B9-B9E6-4002-AD9F-34F28F5985BE}" name="総数／事業所数" dataCellStyle="桁区切り"/>
    <tableColumn id="11" xr3:uid="{FD0A3209-22BD-40E7-92D6-C762E37C203F}" name="総数／構成比" dataDxfId="19"/>
    <tableColumn id="12" xr3:uid="{DFAB5D8F-3E86-4A54-B3D5-C48D6D8EE26A}" name="個人／事業所数" dataCellStyle="桁区切り"/>
    <tableColumn id="13" xr3:uid="{FF603E88-0CBB-4D31-83AB-2DDB8186CA3D}" name="個人／構成比" dataDxfId="18"/>
    <tableColumn id="14" xr3:uid="{04ACADCA-9CF8-4968-8E7B-116C4FB88FEF}" name="法人／事業所数" dataCellStyle="桁区切り"/>
    <tableColumn id="15" xr3:uid="{ADA06DF3-35D9-46E6-99CE-C1BB1CFEE7F8}" name="法人／構成比" dataDxfId="17"/>
    <tableColumn id="16" xr3:uid="{A1F05033-0DA6-4F75-911D-39A55CF00F10}" name="法人以外の団体／事業所数" dataCellStyle="桁区切り"/>
  </tableColumns>
  <tableStyleInfo name="TableStyleMedium9" showFirstColumn="0" showLastColumn="0" showRowStripes="1" showColumnStripes="0"/>
</table>
</file>

<file path=xl/tables/table2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1" xr:uid="{744AEF71-DEC9-490F-B31F-A20E31817E76}" name="S_TABLE_20590" displayName="S_TABLE_20590" ref="B52:I73" totalsRowShown="0">
  <autoFilter ref="B52:I73" xr:uid="{744AEF71-DEC9-490F-B31F-A20E31817E76}"/>
  <tableColumns count="8">
    <tableColumn id="9" xr3:uid="{192FF662-E687-4CBB-A417-0519F634A0F9}" name="産業小分類上位２０"/>
    <tableColumn id="10" xr3:uid="{1CF77063-6C3B-4A60-829B-35E980843D89}" name="総数／事業所数" dataCellStyle="桁区切り"/>
    <tableColumn id="11" xr3:uid="{2C454BA3-C6FF-4E87-B77D-214C597BC47D}" name="総数／構成比" dataDxfId="16"/>
    <tableColumn id="12" xr3:uid="{6693D700-05CD-4712-9BF1-59C97392BA62}" name="個人／事業所数" dataCellStyle="桁区切り"/>
    <tableColumn id="13" xr3:uid="{F9E36EFF-2F2A-43B7-927D-CB17F1FF3226}" name="個人／構成比" dataDxfId="15"/>
    <tableColumn id="14" xr3:uid="{E12BA855-D46C-4190-96AA-BA45551FB2D2}" name="法人／事業所数" dataCellStyle="桁区切り"/>
    <tableColumn id="15" xr3:uid="{F54EC083-3372-4A0A-A598-24EEAECF39AF}" name="法人／構成比" dataDxfId="14"/>
    <tableColumn id="16" xr3:uid="{638E4675-D50D-47B0-8F13-AE11D2DE02BD}" name="法人以外の団体／事業所数" dataCellStyle="桁区切り"/>
  </tableColumns>
  <tableStyleInfo name="TableStyleMedium9" showFirstColumn="0" showLastColumn="0" showRowStripes="1" showColumnStripes="0"/>
</table>
</file>

<file path=xl/tables/table2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2" xr:uid="{5B26A1E3-667A-45D3-A030-88A227182235}" name="LTBL_20602" displayName="LTBL_20602" ref="B4:I20" totalsRowCount="1">
  <autoFilter ref="B4:I19" xr:uid="{5B26A1E3-667A-45D3-A030-88A227182235}"/>
  <tableColumns count="8">
    <tableColumn id="9" xr3:uid="{49DAD8BB-94C7-4567-B0FB-A2AB463CF4E2}" name="産業大分類" totalsRowLabel="合計" totalsRowDxfId="13"/>
    <tableColumn id="10" xr3:uid="{66DE217B-C1D4-43CA-977F-ADE7F293E871}" name="総数／事業所数" totalsRowFunction="custom" totalsRowDxfId="12" dataCellStyle="桁区切り" totalsRowCellStyle="桁区切り">
      <totalsRowFormula>SUM(LTBL_20602[総数／事業所数])</totalsRowFormula>
    </tableColumn>
    <tableColumn id="11" xr3:uid="{F5C7560E-F54A-4B65-BF34-C71C9ED1C1E4}" name="総数／構成比" dataDxfId="11"/>
    <tableColumn id="12" xr3:uid="{90D72985-F944-4FF5-8CBF-3AF9A23B2ECD}" name="個人／事業所数" totalsRowFunction="sum" totalsRowDxfId="10" dataCellStyle="桁区切り" totalsRowCellStyle="桁区切り"/>
    <tableColumn id="13" xr3:uid="{4D0C565B-C97F-4804-8AB7-559D4B08DE8B}" name="個人／構成比" dataDxfId="9"/>
    <tableColumn id="14" xr3:uid="{F8D69EF6-A6BF-42CE-8366-254C485CA30D}" name="法人／事業所数" totalsRowFunction="sum" totalsRowDxfId="8" dataCellStyle="桁区切り" totalsRowCellStyle="桁区切り"/>
    <tableColumn id="15" xr3:uid="{4C7631FC-0249-4A0B-8F98-B31FD1B8FFB7}" name="法人／構成比" dataDxfId="7"/>
    <tableColumn id="16" xr3:uid="{EB702B94-3787-4217-9DB7-1DBD29B78C5E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2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3" xr:uid="{0B780710-428A-4BD5-89A8-757FF42A6D02}" name="M_TABLE_20602" displayName="M_TABLE_20602" ref="B23:I44" totalsRowShown="0">
  <autoFilter ref="B23:I44" xr:uid="{0B780710-428A-4BD5-89A8-757FF42A6D02}"/>
  <tableColumns count="8">
    <tableColumn id="9" xr3:uid="{6E32A8B8-72F4-498E-B2CC-D4B316604314}" name="産業中分類上位２０"/>
    <tableColumn id="10" xr3:uid="{34A29E05-CDE6-4167-ACB6-62E989914E25}" name="総数／事業所数" dataCellStyle="桁区切り"/>
    <tableColumn id="11" xr3:uid="{55B49DF9-DFBC-4C68-90F6-1FDAE27EC91A}" name="総数／構成比" dataDxfId="5"/>
    <tableColumn id="12" xr3:uid="{DF457CAE-9CF0-4F47-BA6A-6705C73E8971}" name="個人／事業所数" dataCellStyle="桁区切り"/>
    <tableColumn id="13" xr3:uid="{256B367C-30B5-45D9-ACA9-90E163DAC811}" name="個人／構成比" dataDxfId="4"/>
    <tableColumn id="14" xr3:uid="{566CD37A-D6E5-4B82-981C-9FD141AB90F6}" name="法人／事業所数" dataCellStyle="桁区切り"/>
    <tableColumn id="15" xr3:uid="{29B1DE30-91A2-495A-BB33-58A31705244F}" name="法人／構成比" dataDxfId="3"/>
    <tableColumn id="16" xr3:uid="{5DEA44A4-3EDF-4803-ABF1-981C2AE30D9A}" name="法人以外の団体／事業所数" dataCellStyle="桁区切り"/>
  </tableColumns>
  <tableStyleInfo name="TableStyleMedium9" showFirstColumn="0" showLastColumn="0" showRowStripes="1" showColumnStripes="0"/>
</table>
</file>

<file path=xl/tables/table2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4" xr:uid="{E2FFAAFB-DF0D-4A3C-8AD0-C069F21C64C5}" name="S_TABLE_20602" displayName="S_TABLE_20602" ref="B47:I85" totalsRowShown="0">
  <autoFilter ref="B47:I85" xr:uid="{E2FFAAFB-DF0D-4A3C-8AD0-C069F21C64C5}"/>
  <tableColumns count="8">
    <tableColumn id="9" xr3:uid="{6025E4BA-4E21-4CAD-98E0-0DA185E4E0EA}" name="産業小分類上位２０"/>
    <tableColumn id="10" xr3:uid="{40B316CE-390F-4A1D-B7AF-0794EBDD89C9}" name="総数／事業所数" dataCellStyle="桁区切り"/>
    <tableColumn id="11" xr3:uid="{8D12F88C-8E5C-47B8-9D29-7DABD8F73127}" name="総数／構成比" dataDxfId="2"/>
    <tableColumn id="12" xr3:uid="{D44BA40F-DADB-4B28-B456-AC3F38EFDB7D}" name="個人／事業所数" dataCellStyle="桁区切り"/>
    <tableColumn id="13" xr3:uid="{CB6C4C7C-B738-448A-AFA8-82CE66416D80}" name="個人／構成比" dataDxfId="1"/>
    <tableColumn id="14" xr3:uid="{04F2073F-DFFD-4574-9F89-7CA3DE0FA915}" name="法人／事業所数" dataCellStyle="桁区切り"/>
    <tableColumn id="15" xr3:uid="{555E3138-5707-4F37-8F3B-6976B2D0DE3E}" name="法人／構成比" dataDxfId="0"/>
    <tableColumn id="16" xr3:uid="{1A8F8A62-3E98-4695-9755-11C27200C224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7C087D0-5740-4DA8-A6D7-DECA51F3589B}" name="S_TABLE_20207" displayName="S_TABLE_20207" ref="B46:I68" totalsRowShown="0">
  <autoFilter ref="B46:I68" xr:uid="{47C087D0-5740-4DA8-A6D7-DECA51F3589B}"/>
  <tableColumns count="8">
    <tableColumn id="9" xr3:uid="{C0D34FB9-B399-4AAD-A197-743BB912769C}" name="産業小分類上位２０"/>
    <tableColumn id="10" xr3:uid="{4588F3DE-6E64-48E9-9E90-FC25D9450F0B}" name="総数／事業所数" dataCellStyle="桁区切り"/>
    <tableColumn id="11" xr3:uid="{80375763-B353-49B9-BB8E-20D16BDCC2D4}" name="総数／構成比" dataDxfId="982"/>
    <tableColumn id="12" xr3:uid="{C510FA18-E55E-43A6-8779-AFDB46856E8E}" name="個人／事業所数" dataCellStyle="桁区切り"/>
    <tableColumn id="13" xr3:uid="{333E1C36-BC53-497E-8054-94ED0702F8F9}" name="個人／構成比" dataDxfId="981"/>
    <tableColumn id="14" xr3:uid="{14A87117-7933-4593-B49B-617BBFDEE227}" name="法人／事業所数" dataCellStyle="桁区切り"/>
    <tableColumn id="15" xr3:uid="{C41E2B47-ECE1-40E3-BABA-FC6931BF1DC5}" name="法人／構成比" dataDxfId="980"/>
    <tableColumn id="16" xr3:uid="{9628CB15-FF09-4106-B655-172C7D1B3F5A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48E2561-D15C-49D7-8165-DBE6C9D5D093}" name="LTBL_20208" displayName="LTBL_20208" ref="B4:I20" totalsRowCount="1">
  <autoFilter ref="B4:I19" xr:uid="{C48E2561-D15C-49D7-8165-DBE6C9D5D093}"/>
  <tableColumns count="8">
    <tableColumn id="9" xr3:uid="{20ABC5DD-D3C3-43EF-8CBB-87F8EEC6ED4A}" name="産業大分類" totalsRowLabel="合計" totalsRowDxfId="979"/>
    <tableColumn id="10" xr3:uid="{CC1E351D-A0A8-4D69-9AF3-D5736CD57D03}" name="総数／事業所数" totalsRowFunction="custom" totalsRowDxfId="978" dataCellStyle="桁区切り" totalsRowCellStyle="桁区切り">
      <totalsRowFormula>SUM(LTBL_20208[総数／事業所数])</totalsRowFormula>
    </tableColumn>
    <tableColumn id="11" xr3:uid="{8196B399-B537-4156-91F6-28DD0C18CA38}" name="総数／構成比" dataDxfId="977"/>
    <tableColumn id="12" xr3:uid="{0715FBD5-8372-4A70-97AA-E0A9DA30EA46}" name="個人／事業所数" totalsRowFunction="sum" totalsRowDxfId="976" dataCellStyle="桁区切り" totalsRowCellStyle="桁区切り"/>
    <tableColumn id="13" xr3:uid="{2A947A27-2658-44CB-9D69-23BE0A1AA4DB}" name="個人／構成比" dataDxfId="975"/>
    <tableColumn id="14" xr3:uid="{6AFDA424-D19A-4000-AD38-9EDFB9FEB6BE}" name="法人／事業所数" totalsRowFunction="sum" totalsRowDxfId="974" dataCellStyle="桁区切り" totalsRowCellStyle="桁区切り"/>
    <tableColumn id="15" xr3:uid="{D22ED102-6B17-446A-ABD7-FA4C33F8273D}" name="法人／構成比" dataDxfId="973"/>
    <tableColumn id="16" xr3:uid="{A608C9E1-AA40-48B0-B9F5-A8B19A226914}" name="法人以外の団体／事業所数" totalsRowFunction="sum" totalsRowDxfId="972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1BCE6B70-8022-429E-961E-79E3FE683594}" name="M_TABLE_20208" displayName="M_TABLE_20208" ref="B23:I43" totalsRowShown="0">
  <autoFilter ref="B23:I43" xr:uid="{1BCE6B70-8022-429E-961E-79E3FE683594}"/>
  <tableColumns count="8">
    <tableColumn id="9" xr3:uid="{9144BD25-1837-4463-8696-F996BB04C3D4}" name="産業中分類上位２０"/>
    <tableColumn id="10" xr3:uid="{42D574F6-D25E-44BA-9B98-957A4464F761}" name="総数／事業所数" dataCellStyle="桁区切り"/>
    <tableColumn id="11" xr3:uid="{A8F53750-2524-4497-A50E-19EBFAA2F720}" name="総数／構成比" dataDxfId="971"/>
    <tableColumn id="12" xr3:uid="{46A2C668-64B2-4C4C-B148-04374EA9ABB3}" name="個人／事業所数" dataCellStyle="桁区切り"/>
    <tableColumn id="13" xr3:uid="{AA987EAC-B434-46B4-8B04-7082DA180DDD}" name="個人／構成比" dataDxfId="970"/>
    <tableColumn id="14" xr3:uid="{88ECD133-CB31-470E-AD90-F656F8381EBB}" name="法人／事業所数" dataCellStyle="桁区切り"/>
    <tableColumn id="15" xr3:uid="{A8CF1EA5-383E-4129-89D5-243AE7B8F5C6}" name="法人／構成比" dataDxfId="969"/>
    <tableColumn id="16" xr3:uid="{4DC2B9D3-0CEF-46F3-BC3B-6DDF6DD6CA7D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13ED775-1393-4110-AB41-43FD8A563A01}" name="S_TABLE_20208" displayName="S_TABLE_20208" ref="B46:I68" totalsRowShown="0">
  <autoFilter ref="B46:I68" xr:uid="{513ED775-1393-4110-AB41-43FD8A563A01}"/>
  <tableColumns count="8">
    <tableColumn id="9" xr3:uid="{4AF3B8C5-A58D-4F50-83E5-08CBD7B45B80}" name="産業小分類上位２０"/>
    <tableColumn id="10" xr3:uid="{7C105E12-557B-4C7B-9B7B-EA28BD0B728B}" name="総数／事業所数" dataCellStyle="桁区切り"/>
    <tableColumn id="11" xr3:uid="{4A08F12C-5971-4CF9-9D97-4C12910113EF}" name="総数／構成比" dataDxfId="968"/>
    <tableColumn id="12" xr3:uid="{5B9B0F01-FEB5-414F-838B-21F40F0C7867}" name="個人／事業所数" dataCellStyle="桁区切り"/>
    <tableColumn id="13" xr3:uid="{70916C05-BCF0-4BF3-9772-3D14F65AA357}" name="個人／構成比" dataDxfId="967"/>
    <tableColumn id="14" xr3:uid="{985A9664-5A74-4FAA-8CF9-1E0DFC4DD5CA}" name="法人／事業所数" dataCellStyle="桁区切り"/>
    <tableColumn id="15" xr3:uid="{22A1F061-CFA2-4B07-9DE6-07DEE316D739}" name="法人／構成比" dataDxfId="966"/>
    <tableColumn id="16" xr3:uid="{E73F0CA2-41BE-418B-8E15-F70F2770137C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31674943-5BDB-47E6-A5D4-8B0DE33FB995}" name="LTBL_20209" displayName="LTBL_20209" ref="B4:I20" totalsRowCount="1">
  <autoFilter ref="B4:I19" xr:uid="{31674943-5BDB-47E6-A5D4-8B0DE33FB995}"/>
  <tableColumns count="8">
    <tableColumn id="9" xr3:uid="{A7202F75-F34B-4F24-9CB4-E16A90E0B18A}" name="産業大分類" totalsRowLabel="合計" totalsRowDxfId="965"/>
    <tableColumn id="10" xr3:uid="{96932363-C0AB-4BD6-B835-FF8B039DD306}" name="総数／事業所数" totalsRowFunction="custom" totalsRowDxfId="964" dataCellStyle="桁区切り" totalsRowCellStyle="桁区切り">
      <totalsRowFormula>SUM(LTBL_20209[総数／事業所数])</totalsRowFormula>
    </tableColumn>
    <tableColumn id="11" xr3:uid="{D2B7012C-74B6-4E13-995E-7297E75C5D15}" name="総数／構成比" dataDxfId="963"/>
    <tableColumn id="12" xr3:uid="{6DC83038-18EA-4018-88E4-22E3E9998B1B}" name="個人／事業所数" totalsRowFunction="sum" totalsRowDxfId="962" dataCellStyle="桁区切り" totalsRowCellStyle="桁区切り"/>
    <tableColumn id="13" xr3:uid="{A9A7873C-76CA-4E5C-88A6-DBC8B7529784}" name="個人／構成比" dataDxfId="961"/>
    <tableColumn id="14" xr3:uid="{566CC757-829F-461E-8B5F-538540D18AB8}" name="法人／事業所数" totalsRowFunction="sum" totalsRowDxfId="960" dataCellStyle="桁区切り" totalsRowCellStyle="桁区切り"/>
    <tableColumn id="15" xr3:uid="{F516E98C-9658-41F3-8D62-C9B2CEF71D8D}" name="法人／構成比" dataDxfId="959"/>
    <tableColumn id="16" xr3:uid="{262644E6-AFB0-41C9-A873-065A084EF1CA}" name="法人以外の団体／事業所数" totalsRowFunction="sum" totalsRowDxfId="958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8F9DD67C-ECDE-4260-879F-C4BF367D8702}" name="M_TABLE_20209" displayName="M_TABLE_20209" ref="B23:I43" totalsRowShown="0">
  <autoFilter ref="B23:I43" xr:uid="{8F9DD67C-ECDE-4260-879F-C4BF367D8702}"/>
  <tableColumns count="8">
    <tableColumn id="9" xr3:uid="{368F97DA-EB46-44AF-A4DF-FDA18B6A57B5}" name="産業中分類上位２０"/>
    <tableColumn id="10" xr3:uid="{D52F47AD-5C0B-4190-9C46-6A40698574BB}" name="総数／事業所数" dataCellStyle="桁区切り"/>
    <tableColumn id="11" xr3:uid="{F6E380AF-0CBF-48AD-8902-949B4F993E03}" name="総数／構成比" dataDxfId="957"/>
    <tableColumn id="12" xr3:uid="{AD3781ED-84BD-44BB-80BF-EA29F949DFE2}" name="個人／事業所数" dataCellStyle="桁区切り"/>
    <tableColumn id="13" xr3:uid="{8D7C6958-CCFC-48BD-A238-4199A18599AF}" name="個人／構成比" dataDxfId="956"/>
    <tableColumn id="14" xr3:uid="{B82DC2C0-D4D5-4661-ACE2-E93865B2CB8F}" name="法人／事業所数" dataCellStyle="桁区切り"/>
    <tableColumn id="15" xr3:uid="{D7FA2BFE-EEB1-4ADF-AD6B-C433FAAC5C49}" name="法人／構成比" dataDxfId="955"/>
    <tableColumn id="16" xr3:uid="{346F9C3A-D8B9-4AD4-97E2-53E7282BE400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C596880-2DFE-4DDB-80E5-FA0CDFA0E60F}" name="S_TABLE_20000" displayName="S_TABLE_20000" ref="B46:I66" totalsRowShown="0">
  <autoFilter ref="B46:I66" xr:uid="{0C596880-2DFE-4DDB-80E5-FA0CDFA0E60F}"/>
  <tableColumns count="8">
    <tableColumn id="9" xr3:uid="{057D8E37-53AB-4453-9CEF-3F9DBD7D498D}" name="産業小分類上位２０"/>
    <tableColumn id="10" xr3:uid="{D9A6E11C-9689-4271-9F2C-EC5790D943A6}" name="総数／事業所数" dataCellStyle="桁区切り"/>
    <tableColumn id="11" xr3:uid="{EF0D111A-4466-4506-9664-3351A46B62EE}" name="総数／構成比" dataDxfId="1080"/>
    <tableColumn id="12" xr3:uid="{99DC3730-71A4-44EF-9FA6-016E3FECBAF9}" name="個人／事業所数" dataCellStyle="桁区切り"/>
    <tableColumn id="13" xr3:uid="{8FD7BF17-D183-4CE3-BE9A-68E397FFD372}" name="個人／構成比" dataDxfId="1079"/>
    <tableColumn id="14" xr3:uid="{A73BF4AC-BABE-4BE8-8DD0-F8B76D1C1F3F}" name="法人／事業所数" dataCellStyle="桁区切り"/>
    <tableColumn id="15" xr3:uid="{712FD68A-16E4-41A5-A30C-D55364594690}" name="法人／構成比" dataDxfId="1078"/>
    <tableColumn id="16" xr3:uid="{23FEC8FB-EECC-4260-A306-2B520E8C2A9C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F097523-084A-42F3-AC01-1DBC3501599A}" name="S_TABLE_20209" displayName="S_TABLE_20209" ref="B46:I67" totalsRowShown="0">
  <autoFilter ref="B46:I67" xr:uid="{5F097523-084A-42F3-AC01-1DBC3501599A}"/>
  <tableColumns count="8">
    <tableColumn id="9" xr3:uid="{72CC3037-7202-41F9-BF8F-6DD318DC343D}" name="産業小分類上位２０"/>
    <tableColumn id="10" xr3:uid="{6CE54330-53C9-49C2-ABF4-C4BEFBFCC4E2}" name="総数／事業所数" dataCellStyle="桁区切り"/>
    <tableColumn id="11" xr3:uid="{7411E760-C748-433A-BD2D-5E93C22A635B}" name="総数／構成比" dataDxfId="954"/>
    <tableColumn id="12" xr3:uid="{F468DF3E-9EFC-4BD5-B733-6D95E5049D5A}" name="個人／事業所数" dataCellStyle="桁区切り"/>
    <tableColumn id="13" xr3:uid="{E03DC9F0-B737-444D-B80E-6A464970E384}" name="個人／構成比" dataDxfId="953"/>
    <tableColumn id="14" xr3:uid="{A4FB7DB7-2F51-43BE-8F57-93E57BAA94F1}" name="法人／事業所数" dataCellStyle="桁区切り"/>
    <tableColumn id="15" xr3:uid="{DDF4D42A-FA81-477E-A772-CDBC6EDC4C88}" name="法人／構成比" dataDxfId="952"/>
    <tableColumn id="16" xr3:uid="{DB6BDCE2-57B6-4888-884E-E1501F51DB6F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9374D549-3924-4370-AAA6-F6F482842D19}" name="LTBL_20210" displayName="LTBL_20210" ref="B4:I20" totalsRowCount="1">
  <autoFilter ref="B4:I19" xr:uid="{9374D549-3924-4370-AAA6-F6F482842D19}"/>
  <tableColumns count="8">
    <tableColumn id="9" xr3:uid="{8C659C1C-C4BF-4DF1-81A1-425086B715E0}" name="産業大分類" totalsRowLabel="合計" totalsRowDxfId="951"/>
    <tableColumn id="10" xr3:uid="{68D165D1-3E4F-4780-BE68-A633FC1448DD}" name="総数／事業所数" totalsRowFunction="custom" totalsRowDxfId="950" dataCellStyle="桁区切り" totalsRowCellStyle="桁区切り">
      <totalsRowFormula>SUM(LTBL_20210[総数／事業所数])</totalsRowFormula>
    </tableColumn>
    <tableColumn id="11" xr3:uid="{F1DD7F7C-D660-4993-BC39-F9ACE0947A6F}" name="総数／構成比" dataDxfId="949"/>
    <tableColumn id="12" xr3:uid="{593FA119-8C9A-47CF-8C5B-48679EF0B3C6}" name="個人／事業所数" totalsRowFunction="sum" totalsRowDxfId="948" dataCellStyle="桁区切り" totalsRowCellStyle="桁区切り"/>
    <tableColumn id="13" xr3:uid="{33237D41-2177-4E62-9DDD-DCA73F83B62D}" name="個人／構成比" dataDxfId="947"/>
    <tableColumn id="14" xr3:uid="{32959F05-9FE5-4EC4-A19A-83D0A208C985}" name="法人／事業所数" totalsRowFunction="sum" totalsRowDxfId="946" dataCellStyle="桁区切り" totalsRowCellStyle="桁区切り"/>
    <tableColumn id="15" xr3:uid="{275B4EC8-32AC-4E53-99F5-68B99587135C}" name="法人／構成比" dataDxfId="945"/>
    <tableColumn id="16" xr3:uid="{1CBC3BD6-9086-4C3C-A50C-613534E4E5CC}" name="法人以外の団体／事業所数" totalsRowFunction="sum" totalsRowDxfId="944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333D194F-CDFD-4CF3-99BC-A5BE1E089B29}" name="M_TABLE_20210" displayName="M_TABLE_20210" ref="B23:I44" totalsRowShown="0">
  <autoFilter ref="B23:I44" xr:uid="{333D194F-CDFD-4CF3-99BC-A5BE1E089B29}"/>
  <tableColumns count="8">
    <tableColumn id="9" xr3:uid="{AF0595C1-39F5-4A65-8898-F39E7E6BE0F6}" name="産業中分類上位２０"/>
    <tableColumn id="10" xr3:uid="{3F5812D6-53EA-4F62-BFA5-CE15D4892C56}" name="総数／事業所数" dataCellStyle="桁区切り"/>
    <tableColumn id="11" xr3:uid="{9F46C62A-338E-4AD8-BA03-77A865DB8241}" name="総数／構成比" dataDxfId="943"/>
    <tableColumn id="12" xr3:uid="{50FEE03E-204A-4A5D-B6F8-2FA849EB20C8}" name="個人／事業所数" dataCellStyle="桁区切り"/>
    <tableColumn id="13" xr3:uid="{FCFFDCA9-8BB3-4AED-8E89-45C25349AC09}" name="個人／構成比" dataDxfId="942"/>
    <tableColumn id="14" xr3:uid="{024DB5C4-EBF0-48F5-8F69-097DB8C5377D}" name="法人／事業所数" dataCellStyle="桁区切り"/>
    <tableColumn id="15" xr3:uid="{D93CAFDD-CEE3-47E6-B185-C29C406FB187}" name="法人／構成比" dataDxfId="941"/>
    <tableColumn id="16" xr3:uid="{B90C05DF-B235-4770-9171-E993CC93BCB6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A57BE4D-14DC-4879-9260-831EA1D8D405}" name="S_TABLE_20210" displayName="S_TABLE_20210" ref="B47:I67" totalsRowShown="0">
  <autoFilter ref="B47:I67" xr:uid="{8A57BE4D-14DC-4879-9260-831EA1D8D405}"/>
  <tableColumns count="8">
    <tableColumn id="9" xr3:uid="{15B0EBB8-2933-4419-937C-DA2060169FEC}" name="産業小分類上位２０"/>
    <tableColumn id="10" xr3:uid="{4F0FF39A-B31D-437D-B731-CCF0DF55AAEA}" name="総数／事業所数" dataCellStyle="桁区切り"/>
    <tableColumn id="11" xr3:uid="{695BD2BA-B638-42C2-8D62-763EB9D844EB}" name="総数／構成比" dataDxfId="940"/>
    <tableColumn id="12" xr3:uid="{8A8F6DBF-7199-4994-9C80-F5878D0571C6}" name="個人／事業所数" dataCellStyle="桁区切り"/>
    <tableColumn id="13" xr3:uid="{1FEF741B-D798-42A7-8346-48E5E3173F76}" name="個人／構成比" dataDxfId="939"/>
    <tableColumn id="14" xr3:uid="{7D4AC551-55C2-457C-BC44-86164A5F399F}" name="法人／事業所数" dataCellStyle="桁区切り"/>
    <tableColumn id="15" xr3:uid="{FA3259E0-4A65-4151-BFF6-336BC19CE2E9}" name="法人／構成比" dataDxfId="938"/>
    <tableColumn id="16" xr3:uid="{6190E457-3548-4352-B7BE-D3657A9949FD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9313EE8-1C84-48E4-9681-090A041771FB}" name="LTBL_20211" displayName="LTBL_20211" ref="B4:I20" totalsRowCount="1">
  <autoFilter ref="B4:I19" xr:uid="{C9313EE8-1C84-48E4-9681-090A041771FB}"/>
  <tableColumns count="8">
    <tableColumn id="9" xr3:uid="{3C4CD2C9-2C7E-4E1F-BA0B-C6F9828422A4}" name="産業大分類" totalsRowLabel="合計" totalsRowDxfId="937"/>
    <tableColumn id="10" xr3:uid="{46ACBB66-594B-4ACB-9046-2701D550A58B}" name="総数／事業所数" totalsRowFunction="custom" totalsRowDxfId="936" dataCellStyle="桁区切り" totalsRowCellStyle="桁区切り">
      <totalsRowFormula>SUM(LTBL_20211[総数／事業所数])</totalsRowFormula>
    </tableColumn>
    <tableColumn id="11" xr3:uid="{398A4DEE-9CAC-4DF7-BCEB-29CF945294EF}" name="総数／構成比" dataDxfId="935"/>
    <tableColumn id="12" xr3:uid="{4BC177BA-7EDD-477C-BC95-8FBBD9B8F886}" name="個人／事業所数" totalsRowFunction="sum" totalsRowDxfId="934" dataCellStyle="桁区切り" totalsRowCellStyle="桁区切り"/>
    <tableColumn id="13" xr3:uid="{1CFED5A8-3C65-41C3-8668-06336553A84D}" name="個人／構成比" dataDxfId="933"/>
    <tableColumn id="14" xr3:uid="{5A84FE01-69F6-4BD4-A7B6-5B855EC7AF3C}" name="法人／事業所数" totalsRowFunction="sum" totalsRowDxfId="932" dataCellStyle="桁区切り" totalsRowCellStyle="桁区切り"/>
    <tableColumn id="15" xr3:uid="{8D89DD5D-F1F0-4DD5-843B-F39CBE565EC8}" name="法人／構成比" dataDxfId="931"/>
    <tableColumn id="16" xr3:uid="{6519C68C-C468-497E-9672-DB3A7B5A01DB}" name="法人以外の団体／事業所数" totalsRowFunction="sum" totalsRowDxfId="930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6683217-690A-4A8B-9F62-462A528DDA42}" name="M_TABLE_20211" displayName="M_TABLE_20211" ref="B23:I43" totalsRowShown="0">
  <autoFilter ref="B23:I43" xr:uid="{56683217-690A-4A8B-9F62-462A528DDA42}"/>
  <tableColumns count="8">
    <tableColumn id="9" xr3:uid="{2711DC05-7996-4284-A301-904A1B0AAFC3}" name="産業中分類上位２０"/>
    <tableColumn id="10" xr3:uid="{E6F5B831-161D-4EF3-94BF-29E730FB496C}" name="総数／事業所数" dataCellStyle="桁区切り"/>
    <tableColumn id="11" xr3:uid="{C83AF4B9-B0B2-4F91-A371-820C0602C957}" name="総数／構成比" dataDxfId="929"/>
    <tableColumn id="12" xr3:uid="{1A5923BE-F6EE-4CD5-81FE-B8AB389B7018}" name="個人／事業所数" dataCellStyle="桁区切り"/>
    <tableColumn id="13" xr3:uid="{5249AF61-FB39-4E5E-88F0-B7DC33FE1E93}" name="個人／構成比" dataDxfId="928"/>
    <tableColumn id="14" xr3:uid="{041AFC0B-189C-4255-B14F-7B666DBB0A49}" name="法人／事業所数" dataCellStyle="桁区切り"/>
    <tableColumn id="15" xr3:uid="{032739FF-1655-4C5D-9665-3270409761DC}" name="法人／構成比" dataDxfId="927"/>
    <tableColumn id="16" xr3:uid="{5F201459-539F-4559-AE87-DB944127F637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197BBE9-807F-4F98-B247-52659DD18957}" name="S_TABLE_20211" displayName="S_TABLE_20211" ref="B46:I69" totalsRowShown="0">
  <autoFilter ref="B46:I69" xr:uid="{C197BBE9-807F-4F98-B247-52659DD18957}"/>
  <tableColumns count="8">
    <tableColumn id="9" xr3:uid="{91C2557A-F90E-4C61-93EF-E9187054E8FC}" name="産業小分類上位２０"/>
    <tableColumn id="10" xr3:uid="{3128887A-083A-4D23-B6C7-7CCCE7EE0872}" name="総数／事業所数" dataCellStyle="桁区切り"/>
    <tableColumn id="11" xr3:uid="{63CE64EA-A7E5-4CE6-B5BC-710952C215EB}" name="総数／構成比" dataDxfId="926"/>
    <tableColumn id="12" xr3:uid="{B5DB92C2-BEC8-475D-B8CA-A0C01AAE7F60}" name="個人／事業所数" dataCellStyle="桁区切り"/>
    <tableColumn id="13" xr3:uid="{CAA26A88-6C50-49DE-B4FB-24DCF4DF3ADD}" name="個人／構成比" dataDxfId="925"/>
    <tableColumn id="14" xr3:uid="{460558A3-13CE-477A-B8A6-6B956C4B4D2F}" name="法人／事業所数" dataCellStyle="桁区切り"/>
    <tableColumn id="15" xr3:uid="{84019053-1F38-4001-A662-D3870917CFE0}" name="法人／構成比" dataDxfId="924"/>
    <tableColumn id="16" xr3:uid="{AE2F371D-156F-4DFF-802F-B1F6054DA2D9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9D6DA72-BA78-44E5-9E7D-BC8E795D72CE}" name="LTBL_20212" displayName="LTBL_20212" ref="B4:I20" totalsRowCount="1">
  <autoFilter ref="B4:I19" xr:uid="{39D6DA72-BA78-44E5-9E7D-BC8E795D72CE}"/>
  <tableColumns count="8">
    <tableColumn id="9" xr3:uid="{61043A5E-C445-498B-B500-5AD9C4285FC0}" name="産業大分類" totalsRowLabel="合計" totalsRowDxfId="923"/>
    <tableColumn id="10" xr3:uid="{1B5A989F-2E7D-4E49-A60C-722A9AC34AA3}" name="総数／事業所数" totalsRowFunction="custom" totalsRowDxfId="922" dataCellStyle="桁区切り" totalsRowCellStyle="桁区切り">
      <totalsRowFormula>SUM(LTBL_20212[総数／事業所数])</totalsRowFormula>
    </tableColumn>
    <tableColumn id="11" xr3:uid="{5DE4BF6C-AFDB-4A90-9C18-98FFAB7A52A3}" name="総数／構成比" dataDxfId="921"/>
    <tableColumn id="12" xr3:uid="{A83B70AC-0D0F-42C8-92FB-BF1BDDE25531}" name="個人／事業所数" totalsRowFunction="sum" totalsRowDxfId="920" dataCellStyle="桁区切り" totalsRowCellStyle="桁区切り"/>
    <tableColumn id="13" xr3:uid="{EAB0A962-236F-4538-9599-3AC37A1C068D}" name="個人／構成比" dataDxfId="919"/>
    <tableColumn id="14" xr3:uid="{465F66C3-A3D3-40FD-B8C2-5D46B11B55EC}" name="法人／事業所数" totalsRowFunction="sum" totalsRowDxfId="918" dataCellStyle="桁区切り" totalsRowCellStyle="桁区切り"/>
    <tableColumn id="15" xr3:uid="{71A0E79B-503D-464E-AB6A-708072F53096}" name="法人／構成比" dataDxfId="917"/>
    <tableColumn id="16" xr3:uid="{8A5E6F38-834C-48A6-AAB1-644ED517245B}" name="法人以外の団体／事業所数" totalsRowFunction="sum" totalsRowDxfId="916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C087E895-9730-46A7-BF9B-2B28B8C8D5E3}" name="M_TABLE_20212" displayName="M_TABLE_20212" ref="B23:I44" totalsRowShown="0">
  <autoFilter ref="B23:I44" xr:uid="{C087E895-9730-46A7-BF9B-2B28B8C8D5E3}"/>
  <tableColumns count="8">
    <tableColumn id="9" xr3:uid="{7B94973A-D598-4B66-B63B-E08610665FF5}" name="産業中分類上位２０"/>
    <tableColumn id="10" xr3:uid="{A56D3476-1976-4A60-9641-2B6C40E78A25}" name="総数／事業所数" dataCellStyle="桁区切り"/>
    <tableColumn id="11" xr3:uid="{12C7A77E-19D1-4309-BB65-492CC45717A9}" name="総数／構成比" dataDxfId="915"/>
    <tableColumn id="12" xr3:uid="{FA54F74D-14A7-4BDA-957B-21E91B15585D}" name="個人／事業所数" dataCellStyle="桁区切り"/>
    <tableColumn id="13" xr3:uid="{DC982F4D-9E59-4D40-8F99-FF0EB419B545}" name="個人／構成比" dataDxfId="914"/>
    <tableColumn id="14" xr3:uid="{3F632028-5EFD-40E6-AD96-2C017F8964A7}" name="法人／事業所数" dataCellStyle="桁区切り"/>
    <tableColumn id="15" xr3:uid="{6DC4C1D6-0830-41A3-ADDD-FCECD811E8F5}" name="法人／構成比" dataDxfId="913"/>
    <tableColumn id="16" xr3:uid="{1742322D-6A74-4AE1-9B60-AFB236F05EA6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7C39CBDE-6FF3-43D2-8513-6D78F71D54D7}" name="S_TABLE_20212" displayName="S_TABLE_20212" ref="B47:I69" totalsRowShown="0">
  <autoFilter ref="B47:I69" xr:uid="{7C39CBDE-6FF3-43D2-8513-6D78F71D54D7}"/>
  <tableColumns count="8">
    <tableColumn id="9" xr3:uid="{4CF9153F-23F6-4395-9A1B-ABD4DA0974E6}" name="産業小分類上位２０"/>
    <tableColumn id="10" xr3:uid="{4F6DD5E6-4D8F-4FA7-99D6-0FDBD14E1C20}" name="総数／事業所数" dataCellStyle="桁区切り"/>
    <tableColumn id="11" xr3:uid="{389E6EA2-AC4E-4A6C-94E2-343F3336D54F}" name="総数／構成比" dataDxfId="912"/>
    <tableColumn id="12" xr3:uid="{FC1A83E9-5A8D-48AF-A7DB-46C043A6FAF2}" name="個人／事業所数" dataCellStyle="桁区切り"/>
    <tableColumn id="13" xr3:uid="{57EC1F24-2E2F-488E-9F7C-44A90BAC1A6B}" name="個人／構成比" dataDxfId="911"/>
    <tableColumn id="14" xr3:uid="{C3B70324-7F96-4E85-A0B5-55B318B07648}" name="法人／事業所数" dataCellStyle="桁区切り"/>
    <tableColumn id="15" xr3:uid="{AF3F1162-812D-4910-AF5A-4AF12D23E1B9}" name="法人／構成比" dataDxfId="910"/>
    <tableColumn id="16" xr3:uid="{F00E2C9D-9470-4F5C-A610-C76B31787837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2932D15-47CD-433E-8BF1-071CC7915271}" name="LTBL_20201" displayName="LTBL_20201" ref="B4:I20" totalsRowCount="1">
  <autoFilter ref="B4:I19" xr:uid="{F2932D15-47CD-433E-8BF1-071CC7915271}"/>
  <tableColumns count="8">
    <tableColumn id="9" xr3:uid="{2B8964E0-A0D4-4854-83F9-33007E5EBDCE}" name="産業大分類" totalsRowLabel="合計" totalsRowDxfId="1077"/>
    <tableColumn id="10" xr3:uid="{5C967ADE-0D65-46B0-B2C3-5E443656C730}" name="総数／事業所数" totalsRowFunction="custom" totalsRowDxfId="1076" dataCellStyle="桁区切り" totalsRowCellStyle="桁区切り">
      <totalsRowFormula>SUM(LTBL_20201[総数／事業所数])</totalsRowFormula>
    </tableColumn>
    <tableColumn id="11" xr3:uid="{6B6F0A44-0229-408D-A953-8F26D2C6F2BC}" name="総数／構成比" dataDxfId="1075"/>
    <tableColumn id="12" xr3:uid="{FE1093F9-19DB-4AD5-9238-DB83B5B4965F}" name="個人／事業所数" totalsRowFunction="sum" totalsRowDxfId="1074" dataCellStyle="桁区切り" totalsRowCellStyle="桁区切り"/>
    <tableColumn id="13" xr3:uid="{E7EB8DD7-1330-47EC-92BF-5C8C71463B8F}" name="個人／構成比" dataDxfId="1073"/>
    <tableColumn id="14" xr3:uid="{6F9F1260-8011-4EF1-9B61-EB35B35822D7}" name="法人／事業所数" totalsRowFunction="sum" totalsRowDxfId="1072" dataCellStyle="桁区切り" totalsRowCellStyle="桁区切り"/>
    <tableColumn id="15" xr3:uid="{67D073EE-146A-45C9-8566-81BD4BA6D475}" name="法人／構成比" dataDxfId="1071"/>
    <tableColumn id="16" xr3:uid="{CCDBF051-0FCD-4EBC-8F64-77A5E1F18E92}" name="法人以外の団体／事業所数" totalsRowFunction="sum" totalsRowDxfId="1070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26D83679-1ED4-48CF-9E24-F869DD528062}" name="LTBL_20213" displayName="LTBL_20213" ref="B4:I20" totalsRowCount="1">
  <autoFilter ref="B4:I19" xr:uid="{26D83679-1ED4-48CF-9E24-F869DD528062}"/>
  <tableColumns count="8">
    <tableColumn id="9" xr3:uid="{347ED620-D973-44F0-9226-B77DA2876A75}" name="産業大分類" totalsRowLabel="合計" totalsRowDxfId="909"/>
    <tableColumn id="10" xr3:uid="{F9741960-A251-42A0-AC5E-5AD3E77545A8}" name="総数／事業所数" totalsRowFunction="custom" totalsRowDxfId="908" dataCellStyle="桁区切り" totalsRowCellStyle="桁区切り">
      <totalsRowFormula>SUM(LTBL_20213[総数／事業所数])</totalsRowFormula>
    </tableColumn>
    <tableColumn id="11" xr3:uid="{1BC05CA5-DDB7-4478-971F-CADE0B688F09}" name="総数／構成比" dataDxfId="907"/>
    <tableColumn id="12" xr3:uid="{FD6E9B4D-8F0C-45A5-A12E-7A2207C64BF2}" name="個人／事業所数" totalsRowFunction="sum" totalsRowDxfId="906" dataCellStyle="桁区切り" totalsRowCellStyle="桁区切り"/>
    <tableColumn id="13" xr3:uid="{2D27ECFB-D175-4CFE-9D29-76EFDB3939F2}" name="個人／構成比" dataDxfId="905"/>
    <tableColumn id="14" xr3:uid="{87985BB3-160F-48CA-9668-54BFEA8B2165}" name="法人／事業所数" totalsRowFunction="sum" totalsRowDxfId="904" dataCellStyle="桁区切り" totalsRowCellStyle="桁区切り"/>
    <tableColumn id="15" xr3:uid="{3305349B-9181-4505-BDB7-73527B71F248}" name="法人／構成比" dataDxfId="903"/>
    <tableColumn id="16" xr3:uid="{46E712CB-60D7-4268-ACB1-85B3B03E6F6B}" name="法人以外の団体／事業所数" totalsRowFunction="sum" totalsRowDxfId="902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688F626A-B4FB-4D42-B78E-CA9BEF16E39E}" name="M_TABLE_20213" displayName="M_TABLE_20213" ref="B23:I43" totalsRowShown="0">
  <autoFilter ref="B23:I43" xr:uid="{688F626A-B4FB-4D42-B78E-CA9BEF16E39E}"/>
  <tableColumns count="8">
    <tableColumn id="9" xr3:uid="{E4D9B515-8B95-4A0A-A509-4C44FD7C4CC8}" name="産業中分類上位２０"/>
    <tableColumn id="10" xr3:uid="{64F3F553-C07E-4545-8D2C-22995BE516FD}" name="総数／事業所数" dataCellStyle="桁区切り"/>
    <tableColumn id="11" xr3:uid="{2B978CC2-A9CD-45F1-96FB-BB746F2AA926}" name="総数／構成比" dataDxfId="901"/>
    <tableColumn id="12" xr3:uid="{4C95C94E-E3DA-44F0-ADD7-F6A90175B25D}" name="個人／事業所数" dataCellStyle="桁区切り"/>
    <tableColumn id="13" xr3:uid="{52A9AB61-D43C-45EA-BD94-1A675BB9E505}" name="個人／構成比" dataDxfId="900"/>
    <tableColumn id="14" xr3:uid="{CBA2F7B9-1039-44F6-B131-263214197D5E}" name="法人／事業所数" dataCellStyle="桁区切り"/>
    <tableColumn id="15" xr3:uid="{AE0FE4CA-FBAE-44CA-997E-09B1DA6DB12A}" name="法人／構成比" dataDxfId="899"/>
    <tableColumn id="16" xr3:uid="{63734B78-A193-4DA8-8A42-2F0910418AF3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E6491B11-F1B1-4EF7-9824-D821771E8C65}" name="S_TABLE_20213" displayName="S_TABLE_20213" ref="B46:I66" totalsRowShown="0">
  <autoFilter ref="B46:I66" xr:uid="{E6491B11-F1B1-4EF7-9824-D821771E8C65}"/>
  <tableColumns count="8">
    <tableColumn id="9" xr3:uid="{98844154-5B4D-46F5-A092-1685A43FA979}" name="産業小分類上位２０"/>
    <tableColumn id="10" xr3:uid="{20209267-57EA-4AF5-AA96-25E873AE2AB8}" name="総数／事業所数" dataCellStyle="桁区切り"/>
    <tableColumn id="11" xr3:uid="{7712C8D4-41AA-4518-B2BE-DDE396B5300F}" name="総数／構成比" dataDxfId="898"/>
    <tableColumn id="12" xr3:uid="{7CF6FC8A-0C75-41AF-B4C5-A23F4AE04511}" name="個人／事業所数" dataCellStyle="桁区切り"/>
    <tableColumn id="13" xr3:uid="{2DE0610F-3C87-492A-B6D1-2FB599E03D9C}" name="個人／構成比" dataDxfId="897"/>
    <tableColumn id="14" xr3:uid="{D28BC4C9-A724-4980-8616-21D87B5E4203}" name="法人／事業所数" dataCellStyle="桁区切り"/>
    <tableColumn id="15" xr3:uid="{8F7F09CC-B5E7-4CEB-ABA5-6F13F725F435}" name="法人／構成比" dataDxfId="896"/>
    <tableColumn id="16" xr3:uid="{C8D65466-1BDE-4143-B950-F60D23C1F83B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304A8A97-486B-4A00-BA56-06924F98072B}" name="LTBL_20214" displayName="LTBL_20214" ref="B4:I20" totalsRowCount="1">
  <autoFilter ref="B4:I19" xr:uid="{304A8A97-486B-4A00-BA56-06924F98072B}"/>
  <tableColumns count="8">
    <tableColumn id="9" xr3:uid="{EA00DAB3-1811-47D5-BC20-AB251CC54014}" name="産業大分類" totalsRowLabel="合計" totalsRowDxfId="895"/>
    <tableColumn id="10" xr3:uid="{4175490B-6996-4D9F-AB10-00217C66CBA3}" name="総数／事業所数" totalsRowFunction="custom" totalsRowDxfId="894" dataCellStyle="桁区切り" totalsRowCellStyle="桁区切り">
      <totalsRowFormula>SUM(LTBL_20214[総数／事業所数])</totalsRowFormula>
    </tableColumn>
    <tableColumn id="11" xr3:uid="{4184BDEA-DC65-4F72-ABD1-BA30087108CE}" name="総数／構成比" dataDxfId="893"/>
    <tableColumn id="12" xr3:uid="{53FA0E72-09C3-446F-8CC4-586DB1A53BBF}" name="個人／事業所数" totalsRowFunction="sum" totalsRowDxfId="892" dataCellStyle="桁区切り" totalsRowCellStyle="桁区切り"/>
    <tableColumn id="13" xr3:uid="{BF0518B4-AC97-4F8D-8691-B8179AA7608A}" name="個人／構成比" dataDxfId="891"/>
    <tableColumn id="14" xr3:uid="{D0C6CC01-E3DE-4812-99F8-FE870165C053}" name="法人／事業所数" totalsRowFunction="sum" totalsRowDxfId="890" dataCellStyle="桁区切り" totalsRowCellStyle="桁区切り"/>
    <tableColumn id="15" xr3:uid="{CAEBB78D-230A-4680-ABA2-5A9F96F8A4DD}" name="法人／構成比" dataDxfId="889"/>
    <tableColumn id="16" xr3:uid="{4F3CF67F-48DE-473B-92A3-E57E675B7D6C}" name="法人以外の団体／事業所数" totalsRowFunction="sum" totalsRowDxfId="888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9D4B982-0677-4C67-8618-0A30262B2BFC}" name="M_TABLE_20214" displayName="M_TABLE_20214" ref="B23:I43" totalsRowShown="0">
  <autoFilter ref="B23:I43" xr:uid="{59D4B982-0677-4C67-8618-0A30262B2BFC}"/>
  <tableColumns count="8">
    <tableColumn id="9" xr3:uid="{2BA2AE66-630E-463B-AC42-BB2915AE0C02}" name="産業中分類上位２０"/>
    <tableColumn id="10" xr3:uid="{42F29827-2DCA-4F93-A4DE-18C6CCC15771}" name="総数／事業所数" dataCellStyle="桁区切り"/>
    <tableColumn id="11" xr3:uid="{0EFB4A75-E7B0-444B-B896-F605B6EE1F36}" name="総数／構成比" dataDxfId="887"/>
    <tableColumn id="12" xr3:uid="{6D351F20-331E-437A-97DB-3725D3C0950A}" name="個人／事業所数" dataCellStyle="桁区切り"/>
    <tableColumn id="13" xr3:uid="{8D40C845-02AB-4ACE-8EE1-97BCE2F97DB1}" name="個人／構成比" dataDxfId="886"/>
    <tableColumn id="14" xr3:uid="{099780CF-0901-407C-BE5C-6910C0927CCD}" name="法人／事業所数" dataCellStyle="桁区切り"/>
    <tableColumn id="15" xr3:uid="{9FFEC810-C872-4401-8094-2CDECF094753}" name="法人／構成比" dataDxfId="885"/>
    <tableColumn id="16" xr3:uid="{3F63BEB6-7D7F-4BCE-920F-7D1E8F9FFFC9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8B7FEA30-E5FE-4234-B4B7-56FDD3622756}" name="S_TABLE_20214" displayName="S_TABLE_20214" ref="B46:I69" totalsRowShown="0">
  <autoFilter ref="B46:I69" xr:uid="{8B7FEA30-E5FE-4234-B4B7-56FDD3622756}"/>
  <tableColumns count="8">
    <tableColumn id="9" xr3:uid="{1FFF8923-678F-4127-9C02-55186227C20E}" name="産業小分類上位２０"/>
    <tableColumn id="10" xr3:uid="{BE7FD340-C2D8-4526-A5D5-3FDA8C69BE51}" name="総数／事業所数" dataCellStyle="桁区切り"/>
    <tableColumn id="11" xr3:uid="{C2F36236-E96E-477A-9521-FF27D641186E}" name="総数／構成比" dataDxfId="884"/>
    <tableColumn id="12" xr3:uid="{694C10C5-75BB-4746-9BEB-663D4664BFEE}" name="個人／事業所数" dataCellStyle="桁区切り"/>
    <tableColumn id="13" xr3:uid="{1F8E1009-A6D3-4B70-86E7-F4F23C0D1BB6}" name="個人／構成比" dataDxfId="883"/>
    <tableColumn id="14" xr3:uid="{E1A5BA70-92F9-4A9C-958A-3D382B8F9B15}" name="法人／事業所数" dataCellStyle="桁区切り"/>
    <tableColumn id="15" xr3:uid="{0F4227AC-D339-48DC-9B48-02F13447FF2F}" name="法人／構成比" dataDxfId="882"/>
    <tableColumn id="16" xr3:uid="{25F3E0ED-EA5C-4C17-A39F-BEDDA4B21ECC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82C5CB52-6638-4EE8-A146-6FB4F9212CB9}" name="LTBL_20215" displayName="LTBL_20215" ref="B4:I20" totalsRowCount="1">
  <autoFilter ref="B4:I19" xr:uid="{82C5CB52-6638-4EE8-A146-6FB4F9212CB9}"/>
  <tableColumns count="8">
    <tableColumn id="9" xr3:uid="{22DDC9FF-25DC-40C9-A411-A11CB50622E5}" name="産業大分類" totalsRowLabel="合計" totalsRowDxfId="881"/>
    <tableColumn id="10" xr3:uid="{EEB8189C-2ED3-4B48-BD8D-845ABBF7619C}" name="総数／事業所数" totalsRowFunction="custom" totalsRowDxfId="880" dataCellStyle="桁区切り" totalsRowCellStyle="桁区切り">
      <totalsRowFormula>SUM(LTBL_20215[総数／事業所数])</totalsRowFormula>
    </tableColumn>
    <tableColumn id="11" xr3:uid="{B1A0C1A9-F6E7-4133-B1CF-F4BCE8976E11}" name="総数／構成比" dataDxfId="879"/>
    <tableColumn id="12" xr3:uid="{F8B1CEFC-8CF7-4977-8E49-59C7081FF18D}" name="個人／事業所数" totalsRowFunction="sum" totalsRowDxfId="878" dataCellStyle="桁区切り" totalsRowCellStyle="桁区切り"/>
    <tableColumn id="13" xr3:uid="{18E55B81-3AC6-4385-BFAE-EEB4D0E5F44A}" name="個人／構成比" dataDxfId="877"/>
    <tableColumn id="14" xr3:uid="{BE9AF12C-FDD2-417C-9AE6-8471926FEBBC}" name="法人／事業所数" totalsRowFunction="sum" totalsRowDxfId="876" dataCellStyle="桁区切り" totalsRowCellStyle="桁区切り"/>
    <tableColumn id="15" xr3:uid="{7BFE6119-4E83-4239-AD97-7988727465A9}" name="法人／構成比" dataDxfId="875"/>
    <tableColumn id="16" xr3:uid="{C0C33AD4-E52D-4F4C-A2F6-C6EEE213870C}" name="法人以外の団体／事業所数" totalsRowFunction="sum" totalsRowDxfId="874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B9F57A9-688D-46FC-A3DE-2D3B6E548C2F}" name="M_TABLE_20215" displayName="M_TABLE_20215" ref="B23:I44" totalsRowShown="0">
  <autoFilter ref="B23:I44" xr:uid="{EB9F57A9-688D-46FC-A3DE-2D3B6E548C2F}"/>
  <tableColumns count="8">
    <tableColumn id="9" xr3:uid="{E4F48EAF-FF94-4E57-8C5F-F1CD43A67692}" name="産業中分類上位２０"/>
    <tableColumn id="10" xr3:uid="{1BECAED2-C776-4516-8188-414041987CAC}" name="総数／事業所数" dataCellStyle="桁区切り"/>
    <tableColumn id="11" xr3:uid="{C0E272C8-1CB4-418D-BA81-B2147C8CAC07}" name="総数／構成比" dataDxfId="873"/>
    <tableColumn id="12" xr3:uid="{A123FA5B-C91E-47BA-A3F9-AB78974F6C38}" name="個人／事業所数" dataCellStyle="桁区切り"/>
    <tableColumn id="13" xr3:uid="{5C185B79-7DE7-48C8-B506-77BD2ACCFFFA}" name="個人／構成比" dataDxfId="872"/>
    <tableColumn id="14" xr3:uid="{7F39B801-C2CE-4F7A-8020-67C63DFF987C}" name="法人／事業所数" dataCellStyle="桁区切り"/>
    <tableColumn id="15" xr3:uid="{1889EEA7-0465-43EB-81FC-62382A2748E4}" name="法人／構成比" dataDxfId="871"/>
    <tableColumn id="16" xr3:uid="{92571851-3FC8-4FB1-B71D-08F2367FC3E0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B200F66B-A0EE-457D-9C7A-2A908A6D6F7D}" name="S_TABLE_20215" displayName="S_TABLE_20215" ref="B47:I67" totalsRowShown="0">
  <autoFilter ref="B47:I67" xr:uid="{B200F66B-A0EE-457D-9C7A-2A908A6D6F7D}"/>
  <tableColumns count="8">
    <tableColumn id="9" xr3:uid="{5A526E37-D323-437F-8613-C9E7A3D9C9E3}" name="産業小分類上位２０"/>
    <tableColumn id="10" xr3:uid="{A4B3E7BA-EDDD-4D29-9089-69979F32178A}" name="総数／事業所数" dataCellStyle="桁区切り"/>
    <tableColumn id="11" xr3:uid="{079BC366-F69D-4C10-A113-91885E4BA363}" name="総数／構成比" dataDxfId="870"/>
    <tableColumn id="12" xr3:uid="{DAD5BF2B-6C33-499E-870B-699DE54950CF}" name="個人／事業所数" dataCellStyle="桁区切り"/>
    <tableColumn id="13" xr3:uid="{BA7CE1D3-8580-438C-91B5-D8CD765D9656}" name="個人／構成比" dataDxfId="869"/>
    <tableColumn id="14" xr3:uid="{B165FB27-F705-45FE-B9EB-5CA02B10ADE1}" name="法人／事業所数" dataCellStyle="桁区切り"/>
    <tableColumn id="15" xr3:uid="{1C1A6E02-538C-41E8-8DDD-D91064F51142}" name="法人／構成比" dataDxfId="868"/>
    <tableColumn id="16" xr3:uid="{4165B502-52BD-49BA-A8C9-F4F7B8FDC6EB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98114C88-4D72-408F-9C6A-B6C57D824E52}" name="LTBL_20217" displayName="LTBL_20217" ref="B4:I20" totalsRowCount="1">
  <autoFilter ref="B4:I19" xr:uid="{98114C88-4D72-408F-9C6A-B6C57D824E52}"/>
  <tableColumns count="8">
    <tableColumn id="9" xr3:uid="{2FEFD732-3BC8-4BC0-B936-A4D9AF460526}" name="産業大分類" totalsRowLabel="合計" totalsRowDxfId="867"/>
    <tableColumn id="10" xr3:uid="{E9DB37D4-5F04-41B3-9A0E-9D39EE92F0A0}" name="総数／事業所数" totalsRowFunction="custom" totalsRowDxfId="866" dataCellStyle="桁区切り" totalsRowCellStyle="桁区切り">
      <totalsRowFormula>SUM(LTBL_20217[総数／事業所数])</totalsRowFormula>
    </tableColumn>
    <tableColumn id="11" xr3:uid="{EBCD4EF3-CE5A-4ED6-82D8-2A8163AF3536}" name="総数／構成比" dataDxfId="865"/>
    <tableColumn id="12" xr3:uid="{13CEB3DD-3D6C-470B-831D-C90F674BE36D}" name="個人／事業所数" totalsRowFunction="sum" totalsRowDxfId="864" dataCellStyle="桁区切り" totalsRowCellStyle="桁区切り"/>
    <tableColumn id="13" xr3:uid="{04E55D9E-119D-45B2-A87A-92C3CF7BA2A2}" name="個人／構成比" dataDxfId="863"/>
    <tableColumn id="14" xr3:uid="{B2178FFA-33C3-4B89-A48D-17B742D5EDCE}" name="法人／事業所数" totalsRowFunction="sum" totalsRowDxfId="862" dataCellStyle="桁区切り" totalsRowCellStyle="桁区切り"/>
    <tableColumn id="15" xr3:uid="{F4647E36-F9A5-4A7D-A563-F23CA9D1FB30}" name="法人／構成比" dataDxfId="861"/>
    <tableColumn id="16" xr3:uid="{2733AAD0-443D-4953-8602-4B212F183D6A}" name="法人以外の団体／事業所数" totalsRowFunction="sum" totalsRowDxfId="860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0B6B9F2-1128-40E9-AA02-979AB5135B3A}" name="M_TABLE_20201" displayName="M_TABLE_20201" ref="B23:I43" totalsRowShown="0">
  <autoFilter ref="B23:I43" xr:uid="{F0B6B9F2-1128-40E9-AA02-979AB5135B3A}"/>
  <tableColumns count="8">
    <tableColumn id="9" xr3:uid="{025A06FE-DB19-4BAE-9CEE-858C1DCAC15C}" name="産業中分類上位２０"/>
    <tableColumn id="10" xr3:uid="{30C87EB0-3BDA-4722-8714-C9C3508C1250}" name="総数／事業所数" dataCellStyle="桁区切り"/>
    <tableColumn id="11" xr3:uid="{23C472C5-8B14-4522-91E7-753FEEF97422}" name="総数／構成比" dataDxfId="1069"/>
    <tableColumn id="12" xr3:uid="{5701CA41-4A99-49DB-9C76-AD8CFF1338BE}" name="個人／事業所数" dataCellStyle="桁区切り"/>
    <tableColumn id="13" xr3:uid="{3E9A2B43-BE03-4D52-AF59-89E8F059DCC1}" name="個人／構成比" dataDxfId="1068"/>
    <tableColumn id="14" xr3:uid="{3D8AC3B5-5BD3-40F2-9F45-B359152CB8F8}" name="法人／事業所数" dataCellStyle="桁区切り"/>
    <tableColumn id="15" xr3:uid="{5977A3C4-0AEB-41A8-8B36-FF02E67BF7CC}" name="法人／構成比" dataDxfId="1067"/>
    <tableColumn id="16" xr3:uid="{B7809038-251E-4917-B0E8-2CDB3AE53B94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4DE9F7B-4060-4D2B-8F5E-5233B0CEA3DD}" name="M_TABLE_20217" displayName="M_TABLE_20217" ref="B23:I43" totalsRowShown="0">
  <autoFilter ref="B23:I43" xr:uid="{14DE9F7B-4060-4D2B-8F5E-5233B0CEA3DD}"/>
  <tableColumns count="8">
    <tableColumn id="9" xr3:uid="{2F1B9570-A620-45F2-AC72-286A6B6BF46E}" name="産業中分類上位２０"/>
    <tableColumn id="10" xr3:uid="{0DA08976-2EAD-4FB0-8EE5-178B16A57DD7}" name="総数／事業所数" dataCellStyle="桁区切り"/>
    <tableColumn id="11" xr3:uid="{D15BD0E9-F8AD-4B3C-981A-A05CD3F83A23}" name="総数／構成比" dataDxfId="859"/>
    <tableColumn id="12" xr3:uid="{91374211-54B1-43D1-912B-64488725CC16}" name="個人／事業所数" dataCellStyle="桁区切り"/>
    <tableColumn id="13" xr3:uid="{0F6ABADC-9772-4D77-880D-719B44BF0E81}" name="個人／構成比" dataDxfId="858"/>
    <tableColumn id="14" xr3:uid="{68DFD169-C359-4AC8-8030-CE73BBB1D3DB}" name="法人／事業所数" dataCellStyle="桁区切り"/>
    <tableColumn id="15" xr3:uid="{F9C995DD-2006-4B78-8B5F-8B69901D10BC}" name="法人／構成比" dataDxfId="857"/>
    <tableColumn id="16" xr3:uid="{CAE2B5F8-3E33-4D15-A62D-FFCBE24FF51F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535AC1F2-F32B-44EB-9168-2D603AF166C3}" name="S_TABLE_20217" displayName="S_TABLE_20217" ref="B46:I66" totalsRowShown="0">
  <autoFilter ref="B46:I66" xr:uid="{535AC1F2-F32B-44EB-9168-2D603AF166C3}"/>
  <tableColumns count="8">
    <tableColumn id="9" xr3:uid="{DC4BDBD7-91CE-4CF3-A4EA-1DC00B8504C3}" name="産業小分類上位２０"/>
    <tableColumn id="10" xr3:uid="{6579728E-52B9-4A63-8B58-BCA785CDA509}" name="総数／事業所数" dataCellStyle="桁区切り"/>
    <tableColumn id="11" xr3:uid="{FEB0B971-FABF-47B2-A43B-EE5B13B80C15}" name="総数／構成比" dataDxfId="856"/>
    <tableColumn id="12" xr3:uid="{17B322C1-B26F-4708-98E0-DC273EE5FCFE}" name="個人／事業所数" dataCellStyle="桁区切り"/>
    <tableColumn id="13" xr3:uid="{997C8874-92D7-4104-8C75-CD060697E6CB}" name="個人／構成比" dataDxfId="855"/>
    <tableColumn id="14" xr3:uid="{03219023-18B2-47BE-A2A5-AFCE67D99B87}" name="法人／事業所数" dataCellStyle="桁区切り"/>
    <tableColumn id="15" xr3:uid="{715668CA-DCD3-4546-8D2E-A41A5A4E185A}" name="法人／構成比" dataDxfId="854"/>
    <tableColumn id="16" xr3:uid="{69570FEF-79B2-46B9-9B30-30D7EDAE0A1E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1ACE70BD-0E9A-4D8A-849E-418492750DFB}" name="LTBL_20218" displayName="LTBL_20218" ref="B4:I20" totalsRowCount="1">
  <autoFilter ref="B4:I19" xr:uid="{1ACE70BD-0E9A-4D8A-849E-418492750DFB}"/>
  <tableColumns count="8">
    <tableColumn id="9" xr3:uid="{155A6243-6558-4D3A-8CC2-FEF73EC823AB}" name="産業大分類" totalsRowLabel="合計" totalsRowDxfId="853"/>
    <tableColumn id="10" xr3:uid="{3A46FB81-3141-4C59-AF92-B1A79AEFB295}" name="総数／事業所数" totalsRowFunction="custom" totalsRowDxfId="852" dataCellStyle="桁区切り" totalsRowCellStyle="桁区切り">
      <totalsRowFormula>SUM(LTBL_20218[総数／事業所数])</totalsRowFormula>
    </tableColumn>
    <tableColumn id="11" xr3:uid="{5EB22627-DE8D-46CF-B3E8-704012404FF0}" name="総数／構成比" dataDxfId="851"/>
    <tableColumn id="12" xr3:uid="{08A0FA64-113D-48A6-BF37-2C03C03F7057}" name="個人／事業所数" totalsRowFunction="sum" totalsRowDxfId="850" dataCellStyle="桁区切り" totalsRowCellStyle="桁区切り"/>
    <tableColumn id="13" xr3:uid="{6A937CA6-E956-42E5-83A6-C281A43B44E2}" name="個人／構成比" dataDxfId="849"/>
    <tableColumn id="14" xr3:uid="{B8884562-E014-49C0-8EFC-EF861BCABA3F}" name="法人／事業所数" totalsRowFunction="sum" totalsRowDxfId="848" dataCellStyle="桁区切り" totalsRowCellStyle="桁区切り"/>
    <tableColumn id="15" xr3:uid="{549700C8-7A01-4931-8220-D4983CA249A3}" name="法人／構成比" dataDxfId="847"/>
    <tableColumn id="16" xr3:uid="{2D640FA3-9032-486E-9E65-35B1355FC997}" name="法人以外の団体／事業所数" totalsRowFunction="sum" totalsRowDxfId="846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3B56D7B-AAA5-4A03-B41E-638B8BA0B19B}" name="M_TABLE_20218" displayName="M_TABLE_20218" ref="B23:I43" totalsRowShown="0">
  <autoFilter ref="B23:I43" xr:uid="{33B56D7B-AAA5-4A03-B41E-638B8BA0B19B}"/>
  <tableColumns count="8">
    <tableColumn id="9" xr3:uid="{C8CD0E6B-1E2C-4F31-BDC7-078BEE76283C}" name="産業中分類上位２０"/>
    <tableColumn id="10" xr3:uid="{76615B27-B777-4AE2-AA7F-19898733EC38}" name="総数／事業所数" dataCellStyle="桁区切り"/>
    <tableColumn id="11" xr3:uid="{B57163A9-9969-4438-A132-1CD12664874B}" name="総数／構成比" dataDxfId="845"/>
    <tableColumn id="12" xr3:uid="{0CFDAB79-FBF8-440E-B2AE-220709019671}" name="個人／事業所数" dataCellStyle="桁区切り"/>
    <tableColumn id="13" xr3:uid="{D16459DD-E578-4EE3-970A-365532BF5077}" name="個人／構成比" dataDxfId="844"/>
    <tableColumn id="14" xr3:uid="{726A90C8-AB84-4EAB-9241-1214D4A59A8A}" name="法人／事業所数" dataCellStyle="桁区切り"/>
    <tableColumn id="15" xr3:uid="{83818021-DD75-4445-99CD-55E03A7E8797}" name="法人／構成比" dataDxfId="843"/>
    <tableColumn id="16" xr3:uid="{723B3245-0DC3-44C3-A6D9-AA8CBF334EEB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FC9C3A8-4434-48E8-8DA3-5324B3FCDE2E}" name="S_TABLE_20218" displayName="S_TABLE_20218" ref="B46:I68" totalsRowShown="0">
  <autoFilter ref="B46:I68" xr:uid="{7FC9C3A8-4434-48E8-8DA3-5324B3FCDE2E}"/>
  <tableColumns count="8">
    <tableColumn id="9" xr3:uid="{F7D4FC45-4ADF-432F-A067-C76E13C2E796}" name="産業小分類上位２０"/>
    <tableColumn id="10" xr3:uid="{0A778757-5873-40E4-A879-AFA67A6E29E8}" name="総数／事業所数" dataCellStyle="桁区切り"/>
    <tableColumn id="11" xr3:uid="{7AA2B721-511C-44CE-9B52-1970457AB32F}" name="総数／構成比" dataDxfId="842"/>
    <tableColumn id="12" xr3:uid="{BE18784C-7FD0-4776-8FD5-DEB7E3F56B5A}" name="個人／事業所数" dataCellStyle="桁区切り"/>
    <tableColumn id="13" xr3:uid="{D51EA4CB-7FB2-4988-8C9B-8CC5DE827DDC}" name="個人／構成比" dataDxfId="841"/>
    <tableColumn id="14" xr3:uid="{102435B4-849F-42AC-9E86-0DB2F9AFC739}" name="法人／事業所数" dataCellStyle="桁区切り"/>
    <tableColumn id="15" xr3:uid="{30674176-8DA2-423B-B6B0-CAC02C636D78}" name="法人／構成比" dataDxfId="840"/>
    <tableColumn id="16" xr3:uid="{105736EE-516B-4F16-9F69-1F1044A18B06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BF2BB610-8DFA-4851-B339-1682390BAE99}" name="LTBL_20219" displayName="LTBL_20219" ref="B4:I20" totalsRowCount="1">
  <autoFilter ref="B4:I19" xr:uid="{BF2BB610-8DFA-4851-B339-1682390BAE99}"/>
  <tableColumns count="8">
    <tableColumn id="9" xr3:uid="{B3E2928E-326F-4FAB-BC98-D81669CBEEF9}" name="産業大分類" totalsRowLabel="合計" totalsRowDxfId="839"/>
    <tableColumn id="10" xr3:uid="{3799D005-D1E9-49C9-9C8C-7D5D1AC6DE7B}" name="総数／事業所数" totalsRowFunction="custom" totalsRowDxfId="838" dataCellStyle="桁区切り" totalsRowCellStyle="桁区切り">
      <totalsRowFormula>SUM(LTBL_20219[総数／事業所数])</totalsRowFormula>
    </tableColumn>
    <tableColumn id="11" xr3:uid="{D39E81F8-4B55-473F-804A-18F4318DA934}" name="総数／構成比" dataDxfId="837"/>
    <tableColumn id="12" xr3:uid="{A386DCD5-5CC0-4130-A45C-A32303F5CB8F}" name="個人／事業所数" totalsRowFunction="sum" totalsRowDxfId="836" dataCellStyle="桁区切り" totalsRowCellStyle="桁区切り"/>
    <tableColumn id="13" xr3:uid="{CDCAC354-DE2E-41FC-A720-1F8F92B39AEA}" name="個人／構成比" dataDxfId="835"/>
    <tableColumn id="14" xr3:uid="{393B9130-2E27-4E32-A96F-28D149D9B6AF}" name="法人／事業所数" totalsRowFunction="sum" totalsRowDxfId="834" dataCellStyle="桁区切り" totalsRowCellStyle="桁区切り"/>
    <tableColumn id="15" xr3:uid="{56659255-E5F7-4F75-8BC9-7756F3494798}" name="法人／構成比" dataDxfId="833"/>
    <tableColumn id="16" xr3:uid="{D1B4E8CD-BAEC-43DA-AA85-89F0EA630BC1}" name="法人以外の団体／事業所数" totalsRowFunction="sum" totalsRowDxfId="832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A457F7BF-39DE-4A1C-A7ED-172BA3304669}" name="M_TABLE_20219" displayName="M_TABLE_20219" ref="B23:I43" totalsRowShown="0">
  <autoFilter ref="B23:I43" xr:uid="{A457F7BF-39DE-4A1C-A7ED-172BA3304669}"/>
  <tableColumns count="8">
    <tableColumn id="9" xr3:uid="{3C866E45-1DFF-423A-9E2B-8DA8205D669C}" name="産業中分類上位２０"/>
    <tableColumn id="10" xr3:uid="{DBB689D1-DA7D-4AB0-A16B-F877449268FD}" name="総数／事業所数" dataCellStyle="桁区切り"/>
    <tableColumn id="11" xr3:uid="{F99CD7A5-FA3F-4CB0-9CAE-95EE89A0B802}" name="総数／構成比" dataDxfId="831"/>
    <tableColumn id="12" xr3:uid="{2B27F7EE-59D4-4016-BC46-4750FB7ED8A1}" name="個人／事業所数" dataCellStyle="桁区切り"/>
    <tableColumn id="13" xr3:uid="{284C6030-D93E-42A4-8959-9E59304E2FDB}" name="個人／構成比" dataDxfId="830"/>
    <tableColumn id="14" xr3:uid="{6B048E53-9A8F-462E-9288-42C5C91B42BF}" name="法人／事業所数" dataCellStyle="桁区切り"/>
    <tableColumn id="15" xr3:uid="{D8839B19-6FE2-4955-9F4F-87EF95180D18}" name="法人／構成比" dataDxfId="829"/>
    <tableColumn id="16" xr3:uid="{AF227367-D75F-4783-B579-E231153455E6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89E520CB-9095-4433-8417-77E1530AB7FF}" name="S_TABLE_20219" displayName="S_TABLE_20219" ref="B46:I69" totalsRowShown="0">
  <autoFilter ref="B46:I69" xr:uid="{89E520CB-9095-4433-8417-77E1530AB7FF}"/>
  <tableColumns count="8">
    <tableColumn id="9" xr3:uid="{D922E488-6ACD-487F-828D-9318AFE9A611}" name="産業小分類上位２０"/>
    <tableColumn id="10" xr3:uid="{A55399F1-585A-48A2-AAB2-C02AA6308F6E}" name="総数／事業所数" dataCellStyle="桁区切り"/>
    <tableColumn id="11" xr3:uid="{D414D6BA-455D-474C-90EC-F52EA279D5F5}" name="総数／構成比" dataDxfId="828"/>
    <tableColumn id="12" xr3:uid="{3F7263BB-7081-4D88-A28B-1BCEAA2B3B6E}" name="個人／事業所数" dataCellStyle="桁区切り"/>
    <tableColumn id="13" xr3:uid="{EE950876-82DE-46EB-9E61-4C990960579C}" name="個人／構成比" dataDxfId="827"/>
    <tableColumn id="14" xr3:uid="{A804E05D-69FD-4591-A19C-6BB47B66B64A}" name="法人／事業所数" dataCellStyle="桁区切り"/>
    <tableColumn id="15" xr3:uid="{076D71A9-89C4-43E7-9060-8A7CC79D69C1}" name="法人／構成比" dataDxfId="826"/>
    <tableColumn id="16" xr3:uid="{731594C8-D65C-463E-8176-6D4B9D08262F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250672C0-2888-4DD6-81B5-78876542CA2C}" name="LTBL_20220" displayName="LTBL_20220" ref="B4:I20" totalsRowCount="1">
  <autoFilter ref="B4:I19" xr:uid="{250672C0-2888-4DD6-81B5-78876542CA2C}"/>
  <tableColumns count="8">
    <tableColumn id="9" xr3:uid="{651B657B-B6F7-4496-960D-88A7C5747988}" name="産業大分類" totalsRowLabel="合計" totalsRowDxfId="825"/>
    <tableColumn id="10" xr3:uid="{8ECF0232-D3F8-44A7-9C49-171F3B8D21F8}" name="総数／事業所数" totalsRowFunction="custom" totalsRowDxfId="824" dataCellStyle="桁区切り" totalsRowCellStyle="桁区切り">
      <totalsRowFormula>SUM(LTBL_20220[総数／事業所数])</totalsRowFormula>
    </tableColumn>
    <tableColumn id="11" xr3:uid="{990D2F1E-37C5-43A7-ACB1-4ED11954845D}" name="総数／構成比" dataDxfId="823"/>
    <tableColumn id="12" xr3:uid="{33E7849B-7539-46BD-96DC-02D2BD9AC6B8}" name="個人／事業所数" totalsRowFunction="sum" totalsRowDxfId="822" dataCellStyle="桁区切り" totalsRowCellStyle="桁区切り"/>
    <tableColumn id="13" xr3:uid="{60A17428-9C64-4889-8E95-6ED22C5DFB5F}" name="個人／構成比" dataDxfId="821"/>
    <tableColumn id="14" xr3:uid="{CB42A7B5-569C-4E83-8E12-2A3D839ACD3B}" name="法人／事業所数" totalsRowFunction="sum" totalsRowDxfId="820" dataCellStyle="桁区切り" totalsRowCellStyle="桁区切り"/>
    <tableColumn id="15" xr3:uid="{28352A18-3D6C-4399-8908-0EB70DE3129B}" name="法人／構成比" dataDxfId="819"/>
    <tableColumn id="16" xr3:uid="{ABEE0930-F0B5-4D3C-9342-2B3C556C59C9}" name="法人以外の団体／事業所数" totalsRowFunction="sum" totalsRowDxfId="818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D99BD710-917F-4545-B3D9-B9141D9C9C4D}" name="M_TABLE_20220" displayName="M_TABLE_20220" ref="B23:I44" totalsRowShown="0">
  <autoFilter ref="B23:I44" xr:uid="{D99BD710-917F-4545-B3D9-B9141D9C9C4D}"/>
  <tableColumns count="8">
    <tableColumn id="9" xr3:uid="{B820BB29-D5BE-4A99-BD4A-A33189D9D5B3}" name="産業中分類上位２０"/>
    <tableColumn id="10" xr3:uid="{19D60F5E-26F9-44D6-80D7-44A9D5C45D7F}" name="総数／事業所数" dataCellStyle="桁区切り"/>
    <tableColumn id="11" xr3:uid="{E4C823BC-B84F-47CD-A5FC-AC70E1D31F58}" name="総数／構成比" dataDxfId="817"/>
    <tableColumn id="12" xr3:uid="{AB4F8246-7E1F-44E7-9150-EAC1FF10B4FC}" name="個人／事業所数" dataCellStyle="桁区切り"/>
    <tableColumn id="13" xr3:uid="{23E373CA-2BD2-4AC0-81E0-E2DF6D73009C}" name="個人／構成比" dataDxfId="816"/>
    <tableColumn id="14" xr3:uid="{DB8CEA9D-222C-4CBF-B064-711AA6CA464B}" name="法人／事業所数" dataCellStyle="桁区切り"/>
    <tableColumn id="15" xr3:uid="{0DBA82B0-2E8F-4BF8-A006-33C4CF27A083}" name="法人／構成比" dataDxfId="815"/>
    <tableColumn id="16" xr3:uid="{FD2FB71F-D049-46CF-9A8E-2DAA9739A989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EDC00E5-49AC-4C1E-BACC-D280DEFC3AD7}" name="S_TABLE_20201" displayName="S_TABLE_20201" ref="B46:I66" totalsRowShown="0">
  <autoFilter ref="B46:I66" xr:uid="{7EDC00E5-49AC-4C1E-BACC-D280DEFC3AD7}"/>
  <tableColumns count="8">
    <tableColumn id="9" xr3:uid="{80A15316-ECFF-44D4-904D-55C471806AEC}" name="産業小分類上位２０"/>
    <tableColumn id="10" xr3:uid="{0493A775-7EF2-4847-89FA-3C2E2533CB24}" name="総数／事業所数" dataCellStyle="桁区切り"/>
    <tableColumn id="11" xr3:uid="{3EAE255C-53E7-4051-A82F-00FD447AFAC2}" name="総数／構成比" dataDxfId="1066"/>
    <tableColumn id="12" xr3:uid="{7A39B439-58E0-490F-9A6E-811410B4C445}" name="個人／事業所数" dataCellStyle="桁区切り"/>
    <tableColumn id="13" xr3:uid="{1B9C0170-13C5-46E9-B723-2DAEABAAEC7B}" name="個人／構成比" dataDxfId="1065"/>
    <tableColumn id="14" xr3:uid="{1AF8DAD2-1583-4252-BF92-CC7F50F66A52}" name="法人／事業所数" dataCellStyle="桁区切り"/>
    <tableColumn id="15" xr3:uid="{A7C5BED6-87B1-4FC8-B3CD-B4CE4ECE1987}" name="法人／構成比" dataDxfId="1064"/>
    <tableColumn id="16" xr3:uid="{B21F53D7-243C-4E03-9711-5C32FFE52ACE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24F27B20-0AE6-4D2F-A508-C04518E3EDE7}" name="S_TABLE_20220" displayName="S_TABLE_20220" ref="B47:I69" totalsRowShown="0">
  <autoFilter ref="B47:I69" xr:uid="{24F27B20-0AE6-4D2F-A508-C04518E3EDE7}"/>
  <tableColumns count="8">
    <tableColumn id="9" xr3:uid="{9028298F-79E3-478E-9432-CCCFA83A0103}" name="産業小分類上位２０"/>
    <tableColumn id="10" xr3:uid="{AB6B7138-4C86-4514-8C0A-5C7E0CDA7CFC}" name="総数／事業所数" dataCellStyle="桁区切り"/>
    <tableColumn id="11" xr3:uid="{093D288C-036A-472A-8CE6-1D425F4BB8EB}" name="総数／構成比" dataDxfId="814"/>
    <tableColumn id="12" xr3:uid="{656F0F54-30B7-4187-9EDA-CF6A428E11BF}" name="個人／事業所数" dataCellStyle="桁区切り"/>
    <tableColumn id="13" xr3:uid="{0F29D251-8D7C-4B85-8667-DC6E26F4F31D}" name="個人／構成比" dataDxfId="813"/>
    <tableColumn id="14" xr3:uid="{FFC9241C-00CE-4308-821A-53F0BE599E46}" name="法人／事業所数" dataCellStyle="桁区切り"/>
    <tableColumn id="15" xr3:uid="{8E81D4A7-61A0-4D0D-B7A5-B56F587D6D1B}" name="法人／構成比" dataDxfId="812"/>
    <tableColumn id="16" xr3:uid="{55A574AA-EBE2-49F1-AA4A-D9C1699B03BB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84F7894B-44CF-43C2-9185-496F92326D83}" name="LTBL_20303" displayName="LTBL_20303" ref="B4:I20" totalsRowCount="1">
  <autoFilter ref="B4:I19" xr:uid="{84F7894B-44CF-43C2-9185-496F92326D83}"/>
  <tableColumns count="8">
    <tableColumn id="9" xr3:uid="{3C619E35-F928-477E-87BB-E18E5FC55EF4}" name="産業大分類" totalsRowLabel="合計" totalsRowDxfId="811"/>
    <tableColumn id="10" xr3:uid="{120C0FBF-C2B7-4FF9-8BC1-DF14711854DA}" name="総数／事業所数" totalsRowFunction="custom" totalsRowDxfId="810" dataCellStyle="桁区切り" totalsRowCellStyle="桁区切り">
      <totalsRowFormula>SUM(LTBL_20303[総数／事業所数])</totalsRowFormula>
    </tableColumn>
    <tableColumn id="11" xr3:uid="{24003486-BC5B-42C3-B364-26A383DB6445}" name="総数／構成比" dataDxfId="809"/>
    <tableColumn id="12" xr3:uid="{AA1FE5C7-F5EC-4D45-8DE8-39D8CC43A34C}" name="個人／事業所数" totalsRowFunction="sum" totalsRowDxfId="808" dataCellStyle="桁区切り" totalsRowCellStyle="桁区切り"/>
    <tableColumn id="13" xr3:uid="{0F578E4E-5933-4C54-9F17-409C64BD9661}" name="個人／構成比" dataDxfId="807"/>
    <tableColumn id="14" xr3:uid="{1D368453-D351-4D9A-89EA-FF83EA98FBF2}" name="法人／事業所数" totalsRowFunction="sum" totalsRowDxfId="806" dataCellStyle="桁区切り" totalsRowCellStyle="桁区切り"/>
    <tableColumn id="15" xr3:uid="{6C947F59-493F-470F-B303-71C23AD259AF}" name="法人／構成比" dataDxfId="805"/>
    <tableColumn id="16" xr3:uid="{226440B2-C8A2-45F2-8401-8BCFC823EB63}" name="法人以外の団体／事業所数" totalsRowFunction="sum" totalsRowDxfId="804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9209ADB4-0AAF-4BB5-B771-7472325D203B}" name="M_TABLE_20303" displayName="M_TABLE_20303" ref="B23:I43" totalsRowShown="0">
  <autoFilter ref="B23:I43" xr:uid="{9209ADB4-0AAF-4BB5-B771-7472325D203B}"/>
  <tableColumns count="8">
    <tableColumn id="9" xr3:uid="{59D2EE06-85BF-4A1F-BBE5-C9D02A4A6A6D}" name="産業中分類上位２０"/>
    <tableColumn id="10" xr3:uid="{13B60B4A-BA89-45F1-AB73-96CD7C7A7434}" name="総数／事業所数" dataCellStyle="桁区切り"/>
    <tableColumn id="11" xr3:uid="{C7A79993-354D-414C-A38C-E8C17637D97F}" name="総数／構成比" dataDxfId="803"/>
    <tableColumn id="12" xr3:uid="{B3AAD172-ECB9-47ED-B804-33B3D119C892}" name="個人／事業所数" dataCellStyle="桁区切り"/>
    <tableColumn id="13" xr3:uid="{D1A0BC6E-560B-453C-9DC5-CA1ED5B55444}" name="個人／構成比" dataDxfId="802"/>
    <tableColumn id="14" xr3:uid="{531C07D9-2887-40C9-80AE-2E8CB124F36B}" name="法人／事業所数" dataCellStyle="桁区切り"/>
    <tableColumn id="15" xr3:uid="{C8EC6704-3766-4937-A9C6-6FB61B711AF6}" name="法人／構成比" dataDxfId="801"/>
    <tableColumn id="16" xr3:uid="{1DB06534-8D0D-4AAD-90FF-86081089BBD1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8418610D-5FFE-47AC-AC9A-B8D81A578897}" name="S_TABLE_20303" displayName="S_TABLE_20303" ref="B46:I72" totalsRowShown="0">
  <autoFilter ref="B46:I72" xr:uid="{8418610D-5FFE-47AC-AC9A-B8D81A578897}"/>
  <tableColumns count="8">
    <tableColumn id="9" xr3:uid="{52470DBB-1B48-4206-8B08-BF147A042B6F}" name="産業小分類上位２０"/>
    <tableColumn id="10" xr3:uid="{4BCFD8C2-A58B-416F-B8C2-3CDAD3ADBEDC}" name="総数／事業所数" dataCellStyle="桁区切り"/>
    <tableColumn id="11" xr3:uid="{6D5EC29F-0D46-488B-BFE6-4795F5298F49}" name="総数／構成比" dataDxfId="800"/>
    <tableColumn id="12" xr3:uid="{E6F56B0E-CCFB-4084-B263-827D3D0D4B71}" name="個人／事業所数" dataCellStyle="桁区切り"/>
    <tableColumn id="13" xr3:uid="{1A957AF1-B7ED-477C-85E1-90F5648A2A32}" name="個人／構成比" dataDxfId="799"/>
    <tableColumn id="14" xr3:uid="{51EE2A14-34EB-4D65-A674-CA94BAC19CE2}" name="法人／事業所数" dataCellStyle="桁区切り"/>
    <tableColumn id="15" xr3:uid="{4C05C9EA-56C0-4BE2-A095-A37E86F6A920}" name="法人／構成比" dataDxfId="798"/>
    <tableColumn id="16" xr3:uid="{6E22BC40-8D96-4946-856D-6138D0D19EB9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551A8BB7-EAE7-4539-90AA-3917238F9EB8}" name="LTBL_20304" displayName="LTBL_20304" ref="B4:I20" totalsRowCount="1">
  <autoFilter ref="B4:I19" xr:uid="{551A8BB7-EAE7-4539-90AA-3917238F9EB8}"/>
  <tableColumns count="8">
    <tableColumn id="9" xr3:uid="{4304C4F9-ACDC-4CCF-8907-4F2FCEE66DAF}" name="産業大分類" totalsRowLabel="合計" totalsRowDxfId="797"/>
    <tableColumn id="10" xr3:uid="{2704D48A-A71C-4D8C-B401-A901E334353B}" name="総数／事業所数" totalsRowFunction="custom" totalsRowDxfId="796" dataCellStyle="桁区切り" totalsRowCellStyle="桁区切り">
      <totalsRowFormula>SUM(LTBL_20304[総数／事業所数])</totalsRowFormula>
    </tableColumn>
    <tableColumn id="11" xr3:uid="{A20C7ECC-274B-4262-BEB8-90B15A447A54}" name="総数／構成比" dataDxfId="795"/>
    <tableColumn id="12" xr3:uid="{FB1F0EC1-E5F0-4806-BE11-7EA1B8FCA782}" name="個人／事業所数" totalsRowFunction="sum" totalsRowDxfId="794" dataCellStyle="桁区切り" totalsRowCellStyle="桁区切り"/>
    <tableColumn id="13" xr3:uid="{33DE6D72-E9EB-4C7E-A4D4-46BC77BCA5AC}" name="個人／構成比" dataDxfId="793"/>
    <tableColumn id="14" xr3:uid="{DC060913-AC4B-44AB-B8DE-028C738E75D8}" name="法人／事業所数" totalsRowFunction="sum" totalsRowDxfId="792" dataCellStyle="桁区切り" totalsRowCellStyle="桁区切り"/>
    <tableColumn id="15" xr3:uid="{A00F2067-D56A-4F1A-B3AC-9BFA0F9E4658}" name="法人／構成比" dataDxfId="791"/>
    <tableColumn id="16" xr3:uid="{C6E96FC2-F69F-4D42-8277-0AB68E2B2454}" name="法人以外の団体／事業所数" totalsRowFunction="sum" totalsRowDxfId="790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5BD28623-2ADB-4F15-B2F7-F6F1E447F380}" name="M_TABLE_20304" displayName="M_TABLE_20304" ref="B23:I50" totalsRowShown="0">
  <autoFilter ref="B23:I50" xr:uid="{5BD28623-2ADB-4F15-B2F7-F6F1E447F380}"/>
  <tableColumns count="8">
    <tableColumn id="9" xr3:uid="{125986F6-0B86-4650-B150-F73A6ACBCDAE}" name="産業中分類上位２０"/>
    <tableColumn id="10" xr3:uid="{F47CAE26-47CE-4E47-8074-79F18F409B98}" name="総数／事業所数" dataCellStyle="桁区切り"/>
    <tableColumn id="11" xr3:uid="{F6598CBF-B459-49D2-9985-3A62A35E0744}" name="総数／構成比" dataDxfId="789"/>
    <tableColumn id="12" xr3:uid="{45706DD9-D101-4CAC-A242-AE54C0BB5845}" name="個人／事業所数" dataCellStyle="桁区切り"/>
    <tableColumn id="13" xr3:uid="{7975F102-0016-43F9-965D-98C620A6AB8D}" name="個人／構成比" dataDxfId="788"/>
    <tableColumn id="14" xr3:uid="{EA129535-5964-49B6-B510-B74E8ABD8421}" name="法人／事業所数" dataCellStyle="桁区切り"/>
    <tableColumn id="15" xr3:uid="{A9FF6DF1-BEFE-48FF-AF70-D9EBDD9BFE07}" name="法人／構成比" dataDxfId="787"/>
    <tableColumn id="16" xr3:uid="{16D103ED-19C0-4882-80A3-113560CEACD9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E93D9620-0332-45DC-BC4E-61F85A70C263}" name="S_TABLE_20304" displayName="S_TABLE_20304" ref="B53:I83" totalsRowShown="0">
  <autoFilter ref="B53:I83" xr:uid="{E93D9620-0332-45DC-BC4E-61F85A70C263}"/>
  <tableColumns count="8">
    <tableColumn id="9" xr3:uid="{3BC2D27A-7166-409E-B5B3-6637740943E5}" name="産業小分類上位２０"/>
    <tableColumn id="10" xr3:uid="{F5040872-13D0-4FA4-B926-E17988BBA418}" name="総数／事業所数" dataCellStyle="桁区切り"/>
    <tableColumn id="11" xr3:uid="{A95EC4E7-E842-4792-A1B2-67936DC1E3FC}" name="総数／構成比" dataDxfId="786"/>
    <tableColumn id="12" xr3:uid="{5CE3D606-8436-4ABC-BE41-EA9D0A2A9720}" name="個人／事業所数" dataCellStyle="桁区切り"/>
    <tableColumn id="13" xr3:uid="{4BF38A8E-1B24-4589-B4C1-A0338B0B90B1}" name="個人／構成比" dataDxfId="785"/>
    <tableColumn id="14" xr3:uid="{FE4F0128-8B46-4D23-8AD7-56BB4B252FFC}" name="法人／事業所数" dataCellStyle="桁区切り"/>
    <tableColumn id="15" xr3:uid="{FA41538D-EDBE-4769-A40E-43DCBEE6C940}" name="法人／構成比" dataDxfId="784"/>
    <tableColumn id="16" xr3:uid="{0F5B54C1-D7CA-4C18-B7AA-89D80C1B59BC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578186D3-980F-43E1-9D42-0C1C260195FE}" name="LTBL_20305" displayName="LTBL_20305" ref="B4:I20" totalsRowCount="1">
  <autoFilter ref="B4:I19" xr:uid="{578186D3-980F-43E1-9D42-0C1C260195FE}"/>
  <tableColumns count="8">
    <tableColumn id="9" xr3:uid="{60075AEB-CF4A-42C2-B2D0-03F6C6913F53}" name="産業大分類" totalsRowLabel="合計" totalsRowDxfId="783"/>
    <tableColumn id="10" xr3:uid="{13E34DF7-16A6-4FBD-A824-4762AB5BB9BF}" name="総数／事業所数" totalsRowFunction="custom" totalsRowDxfId="782" dataCellStyle="桁区切り" totalsRowCellStyle="桁区切り">
      <totalsRowFormula>SUM(LTBL_20305[総数／事業所数])</totalsRowFormula>
    </tableColumn>
    <tableColumn id="11" xr3:uid="{6F0292C1-9571-43D2-BD29-3E04E9B6390A}" name="総数／構成比" dataDxfId="781"/>
    <tableColumn id="12" xr3:uid="{17200131-14B4-4E59-BB91-BA04F9761BC0}" name="個人／事業所数" totalsRowFunction="sum" totalsRowDxfId="780" dataCellStyle="桁区切り" totalsRowCellStyle="桁区切り"/>
    <tableColumn id="13" xr3:uid="{C4E10A2F-EB78-438C-8A24-231F821A76E6}" name="個人／構成比" dataDxfId="779"/>
    <tableColumn id="14" xr3:uid="{9E2943BA-498B-4CDA-BAD2-AACF0C99C7CB}" name="法人／事業所数" totalsRowFunction="sum" totalsRowDxfId="778" dataCellStyle="桁区切り" totalsRowCellStyle="桁区切り"/>
    <tableColumn id="15" xr3:uid="{8E68AB84-A12D-42A6-ADCB-B3C626B6047A}" name="法人／構成比" dataDxfId="777"/>
    <tableColumn id="16" xr3:uid="{BAA75A4A-2AC2-4533-A6B8-33DBC4AD451B}" name="法人以外の団体／事業所数" totalsRowFunction="sum" totalsRowDxfId="776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9E6C5051-BBAD-4A10-86C1-AE05FAB08509}" name="M_TABLE_20305" displayName="M_TABLE_20305" ref="B23:I52" totalsRowShown="0">
  <autoFilter ref="B23:I52" xr:uid="{9E6C5051-BBAD-4A10-86C1-AE05FAB08509}"/>
  <tableColumns count="8">
    <tableColumn id="9" xr3:uid="{959A146B-D6A6-4440-809E-37627E0F5753}" name="産業中分類上位２０"/>
    <tableColumn id="10" xr3:uid="{C005A967-5C88-40F9-8F52-2B8FA7E0E1A8}" name="総数／事業所数" dataCellStyle="桁区切り"/>
    <tableColumn id="11" xr3:uid="{6D5F70DE-CE21-4225-8686-235A941D797C}" name="総数／構成比" dataDxfId="775"/>
    <tableColumn id="12" xr3:uid="{C6FAF53B-6DCD-43A7-A53E-DB168F920CDF}" name="個人／事業所数" dataCellStyle="桁区切り"/>
    <tableColumn id="13" xr3:uid="{B82116F5-053D-48AD-A0E8-7E02E11E7720}" name="個人／構成比" dataDxfId="774"/>
    <tableColumn id="14" xr3:uid="{AF759886-96C8-419A-BDB9-5687F904CEB6}" name="法人／事業所数" dataCellStyle="桁区切り"/>
    <tableColumn id="15" xr3:uid="{6F8421E1-9137-4CD6-BC48-C52DD1A137B9}" name="法人／構成比" dataDxfId="773"/>
    <tableColumn id="16" xr3:uid="{2D2D4109-45C2-4A48-AFC4-9B277A12A0C3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5D929210-1C6C-400B-8589-02A174851C82}" name="S_TABLE_20305" displayName="S_TABLE_20305" ref="B55:I97" totalsRowShown="0">
  <autoFilter ref="B55:I97" xr:uid="{5D929210-1C6C-400B-8589-02A174851C82}"/>
  <tableColumns count="8">
    <tableColumn id="9" xr3:uid="{4C5A195F-25FB-4945-96CC-AF5044D35279}" name="産業小分類上位２０"/>
    <tableColumn id="10" xr3:uid="{9C335A21-A99D-4CD5-8FF0-62F54019232A}" name="総数／事業所数" dataCellStyle="桁区切り"/>
    <tableColumn id="11" xr3:uid="{4D4DD779-8143-4F46-9730-08B50E751E86}" name="総数／構成比" dataDxfId="772"/>
    <tableColumn id="12" xr3:uid="{1CFC8F13-C6D6-4637-925E-4BF79A221A82}" name="個人／事業所数" dataCellStyle="桁区切り"/>
    <tableColumn id="13" xr3:uid="{DDF3F3A3-8A37-4840-BD2E-66C8E5E0DE81}" name="個人／構成比" dataDxfId="771"/>
    <tableColumn id="14" xr3:uid="{C8EEDA2C-D1E4-4201-A455-57E222415089}" name="法人／事業所数" dataCellStyle="桁区切り"/>
    <tableColumn id="15" xr3:uid="{C6EC4BE2-47F3-45C7-A81E-8BC03D60F119}" name="法人／構成比" dataDxfId="770"/>
    <tableColumn id="16" xr3:uid="{2FD8960D-E961-4998-8500-152EF006946C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3A168FF-C287-4125-9734-9EA70F27109F}" name="LTBL_20202" displayName="LTBL_20202" ref="B4:I20" totalsRowCount="1">
  <autoFilter ref="B4:I19" xr:uid="{D3A168FF-C287-4125-9734-9EA70F27109F}"/>
  <tableColumns count="8">
    <tableColumn id="9" xr3:uid="{69DAD87E-295B-4BEF-9D69-FBBEC80E9886}" name="産業大分類" totalsRowLabel="合計" totalsRowDxfId="1063"/>
    <tableColumn id="10" xr3:uid="{FFAA387B-42DA-4ECB-83F5-DE935E173937}" name="総数／事業所数" totalsRowFunction="custom" totalsRowDxfId="1062" dataCellStyle="桁区切り" totalsRowCellStyle="桁区切り">
      <totalsRowFormula>SUM(LTBL_20202[総数／事業所数])</totalsRowFormula>
    </tableColumn>
    <tableColumn id="11" xr3:uid="{6D8B6B8B-4682-458D-89CC-F6CB36CBCE62}" name="総数／構成比" dataDxfId="1061"/>
    <tableColumn id="12" xr3:uid="{61B2D049-F76B-44E5-BD65-45F078910851}" name="個人／事業所数" totalsRowFunction="sum" totalsRowDxfId="1060" dataCellStyle="桁区切り" totalsRowCellStyle="桁区切り"/>
    <tableColumn id="13" xr3:uid="{6C508FA2-1E0D-4879-90A9-7C33A6C48BF9}" name="個人／構成比" dataDxfId="1059"/>
    <tableColumn id="14" xr3:uid="{239CF464-3264-4354-8FAE-A15748FB087E}" name="法人／事業所数" totalsRowFunction="sum" totalsRowDxfId="1058" dataCellStyle="桁区切り" totalsRowCellStyle="桁区切り"/>
    <tableColumn id="15" xr3:uid="{B3FB97CF-979A-4939-B980-A4C1E6E74312}" name="法人／構成比" dataDxfId="1057"/>
    <tableColumn id="16" xr3:uid="{01F1713D-F008-4F64-A9CB-C9AA1A786646}" name="法人以外の団体／事業所数" totalsRowFunction="sum" totalsRowDxfId="1056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94092C5E-FE82-4CC6-9AFB-CAEF1AB66A14}" name="LTBL_20306" displayName="LTBL_20306" ref="B4:I20" totalsRowCount="1">
  <autoFilter ref="B4:I19" xr:uid="{94092C5E-FE82-4CC6-9AFB-CAEF1AB66A14}"/>
  <tableColumns count="8">
    <tableColumn id="9" xr3:uid="{7743F1B7-345C-4C5E-A7B3-C6F3F557C614}" name="産業大分類" totalsRowLabel="合計" totalsRowDxfId="769"/>
    <tableColumn id="10" xr3:uid="{88D4A408-F4F4-4724-A502-78361BDB30C3}" name="総数／事業所数" totalsRowFunction="custom" totalsRowDxfId="768" dataCellStyle="桁区切り" totalsRowCellStyle="桁区切り">
      <totalsRowFormula>SUM(LTBL_20306[総数／事業所数])</totalsRowFormula>
    </tableColumn>
    <tableColumn id="11" xr3:uid="{8E281BCD-4065-49CF-8968-7A4148D87500}" name="総数／構成比" dataDxfId="767"/>
    <tableColumn id="12" xr3:uid="{197F30B1-688F-4360-B97C-059339646F02}" name="個人／事業所数" totalsRowFunction="sum" totalsRowDxfId="766" dataCellStyle="桁区切り" totalsRowCellStyle="桁区切り"/>
    <tableColumn id="13" xr3:uid="{1CAFB3FC-026B-4497-AA27-385E8E67BAE1}" name="個人／構成比" dataDxfId="765"/>
    <tableColumn id="14" xr3:uid="{CA42994A-0F05-43E8-9616-0F63CA9EA767}" name="法人／事業所数" totalsRowFunction="sum" totalsRowDxfId="764" dataCellStyle="桁区切り" totalsRowCellStyle="桁区切り"/>
    <tableColumn id="15" xr3:uid="{7A23590C-CF04-40F2-A7A0-D6347352FFED}" name="法人／構成比" dataDxfId="763"/>
    <tableColumn id="16" xr3:uid="{0C631E20-1581-42FE-A46B-3F7871A5E977}" name="法人以外の団体／事業所数" totalsRowFunction="sum" totalsRowDxfId="762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C07033B8-823F-4B62-81C1-5F0B339D8CCD}" name="M_TABLE_20306" displayName="M_TABLE_20306" ref="B23:I43" totalsRowShown="0">
  <autoFilter ref="B23:I43" xr:uid="{C07033B8-823F-4B62-81C1-5F0B339D8CCD}"/>
  <tableColumns count="8">
    <tableColumn id="9" xr3:uid="{F0781C2C-DB7D-42D5-B65E-33F85834A24B}" name="産業中分類上位２０"/>
    <tableColumn id="10" xr3:uid="{A3A42065-7345-4E4B-AD09-315E7C54574F}" name="総数／事業所数" dataCellStyle="桁区切り"/>
    <tableColumn id="11" xr3:uid="{EF17CC4E-D0E2-44F0-9A79-93363F025B32}" name="総数／構成比" dataDxfId="761"/>
    <tableColumn id="12" xr3:uid="{48C887FA-CCC6-4E2C-99FD-21CAF44F599D}" name="個人／事業所数" dataCellStyle="桁区切り"/>
    <tableColumn id="13" xr3:uid="{ECC3F1AC-B031-41CE-81CF-5FDB2D43F66A}" name="個人／構成比" dataDxfId="760"/>
    <tableColumn id="14" xr3:uid="{D49F92A3-25CE-4FE5-9817-4101CFB7859F}" name="法人／事業所数" dataCellStyle="桁区切り"/>
    <tableColumn id="15" xr3:uid="{E3A061E2-A65C-44FD-B708-F7B9BA70B7EF}" name="法人／構成比" dataDxfId="759"/>
    <tableColumn id="16" xr3:uid="{C4B29DE7-C313-4DB1-909F-4273239A75ED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C16CB5EF-A742-46D8-B548-3D25D689CC1C}" name="S_TABLE_20306" displayName="S_TABLE_20306" ref="B46:I76" totalsRowShown="0">
  <autoFilter ref="B46:I76" xr:uid="{C16CB5EF-A742-46D8-B548-3D25D689CC1C}"/>
  <tableColumns count="8">
    <tableColumn id="9" xr3:uid="{E16C1D8E-CE36-4B4A-94A9-55AAA869FC2A}" name="産業小分類上位２０"/>
    <tableColumn id="10" xr3:uid="{E19C4ED6-5657-468A-89AE-E369D94372ED}" name="総数／事業所数" dataCellStyle="桁区切り"/>
    <tableColumn id="11" xr3:uid="{8110A85E-C7DA-43F4-9F2F-E2D17172A993}" name="総数／構成比" dataDxfId="758"/>
    <tableColumn id="12" xr3:uid="{42DAFAB5-606F-48E8-A70F-A208089C8DE9}" name="個人／事業所数" dataCellStyle="桁区切り"/>
    <tableColumn id="13" xr3:uid="{A217CD53-A09A-44EF-A05A-2C4B5492A34D}" name="個人／構成比" dataDxfId="757"/>
    <tableColumn id="14" xr3:uid="{6DF83F7E-5EE1-4E9B-B822-D5FCC13CF090}" name="法人／事業所数" dataCellStyle="桁区切り"/>
    <tableColumn id="15" xr3:uid="{19A1ADB3-4AAD-4A4A-AEBE-53C3E3EEC8EE}" name="法人／構成比" dataDxfId="756"/>
    <tableColumn id="16" xr3:uid="{2F1EA24C-8985-4D96-AA47-9C25DC7EFC9D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6D8FFC4D-B4CE-4D30-8DBD-F0D3DECE76E1}" name="LTBL_20307" displayName="LTBL_20307" ref="B4:I20" totalsRowCount="1">
  <autoFilter ref="B4:I19" xr:uid="{6D8FFC4D-B4CE-4D30-8DBD-F0D3DECE76E1}"/>
  <tableColumns count="8">
    <tableColumn id="9" xr3:uid="{2DF54467-34BD-44E9-A597-F277BD4445FC}" name="産業大分類" totalsRowLabel="合計" totalsRowDxfId="755"/>
    <tableColumn id="10" xr3:uid="{18D2E10A-CFB8-429B-B164-B6A017B9F4F1}" name="総数／事業所数" totalsRowFunction="custom" totalsRowDxfId="754" dataCellStyle="桁区切り" totalsRowCellStyle="桁区切り">
      <totalsRowFormula>SUM(LTBL_20307[総数／事業所数])</totalsRowFormula>
    </tableColumn>
    <tableColumn id="11" xr3:uid="{B37CEDA9-A0C3-4B45-B39C-1481C53189F5}" name="総数／構成比" dataDxfId="753"/>
    <tableColumn id="12" xr3:uid="{F5F2F245-31DE-4781-ADCC-B5B6487A21EF}" name="個人／事業所数" totalsRowFunction="sum" totalsRowDxfId="752" dataCellStyle="桁区切り" totalsRowCellStyle="桁区切り"/>
    <tableColumn id="13" xr3:uid="{0808A2A8-C8CF-41AA-A7A0-5B3060D9FA72}" name="個人／構成比" dataDxfId="751"/>
    <tableColumn id="14" xr3:uid="{6761A229-B9F1-41DF-ABEB-E2CFF6824077}" name="法人／事業所数" totalsRowFunction="sum" totalsRowDxfId="750" dataCellStyle="桁区切り" totalsRowCellStyle="桁区切り"/>
    <tableColumn id="15" xr3:uid="{B2885A1D-4838-4D9E-9AD2-CAE5CFDB2D28}" name="法人／構成比" dataDxfId="749"/>
    <tableColumn id="16" xr3:uid="{9A0D9D0B-F5F7-4BDB-A80E-99AD1CFA6527}" name="法人以外の団体／事業所数" totalsRowFunction="sum" totalsRowDxfId="748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C746CD6F-EA18-40DF-8EEE-D65316600EB1}" name="M_TABLE_20307" displayName="M_TABLE_20307" ref="B23:I39" totalsRowShown="0">
  <autoFilter ref="B23:I39" xr:uid="{C746CD6F-EA18-40DF-8EEE-D65316600EB1}"/>
  <tableColumns count="8">
    <tableColumn id="9" xr3:uid="{395219C4-E2FF-412E-BC3D-A31682C275D0}" name="産業中分類上位２０"/>
    <tableColumn id="10" xr3:uid="{0A8491BB-78FA-4BED-8885-79D1771F0376}" name="総数／事業所数" dataCellStyle="桁区切り"/>
    <tableColumn id="11" xr3:uid="{53184F7F-39C3-4EEE-9A5E-E6632009F4D8}" name="総数／構成比" dataDxfId="747"/>
    <tableColumn id="12" xr3:uid="{72BF77FD-69C4-40F0-818F-92C2E8EB30F7}" name="個人／事業所数" dataCellStyle="桁区切り"/>
    <tableColumn id="13" xr3:uid="{146DD8CF-5FD5-4779-A3F1-1E360BB50A14}" name="個人／構成比" dataDxfId="746"/>
    <tableColumn id="14" xr3:uid="{A57067AD-9CDD-4E5D-9AC3-30643AC1B60C}" name="法人／事業所数" dataCellStyle="桁区切り"/>
    <tableColumn id="15" xr3:uid="{F19476D8-6F2A-4209-9A94-2CAF50622F5E}" name="法人／構成比" dataDxfId="745"/>
    <tableColumn id="16" xr3:uid="{4152FE56-5408-4938-AA22-2135C0CA6542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4521FE4C-8E10-4EFC-9142-6B961AB4307B}" name="S_TABLE_20307" displayName="S_TABLE_20307" ref="B42:I65" totalsRowShown="0">
  <autoFilter ref="B42:I65" xr:uid="{4521FE4C-8E10-4EFC-9142-6B961AB4307B}"/>
  <tableColumns count="8">
    <tableColumn id="9" xr3:uid="{ADA4B333-76E5-42FC-BAE9-2F4458161983}" name="産業小分類上位２０"/>
    <tableColumn id="10" xr3:uid="{2F80889F-13FD-4CD3-8D30-A44262E78C71}" name="総数／事業所数" dataCellStyle="桁区切り"/>
    <tableColumn id="11" xr3:uid="{47CDD923-25AC-45CF-BE57-4DD3A777052B}" name="総数／構成比" dataDxfId="744"/>
    <tableColumn id="12" xr3:uid="{7417647C-119A-45FC-8A39-B6A1F30CDC85}" name="個人／事業所数" dataCellStyle="桁区切り"/>
    <tableColumn id="13" xr3:uid="{785C670D-7ED1-4ABA-8193-5AC223CE5BF2}" name="個人／構成比" dataDxfId="743"/>
    <tableColumn id="14" xr3:uid="{73E645B6-6918-430E-A079-A88D626E8525}" name="法人／事業所数" dataCellStyle="桁区切り"/>
    <tableColumn id="15" xr3:uid="{4341149C-E904-4341-85F4-6884A1BBF6D2}" name="法人／構成比" dataDxfId="742"/>
    <tableColumn id="16" xr3:uid="{53005862-494B-4085-AC1C-3AA7EA1933B9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AE7173D5-EC1C-4466-A251-4D8C348F2E01}" name="LTBL_20309" displayName="LTBL_20309" ref="B4:I20" totalsRowCount="1">
  <autoFilter ref="B4:I19" xr:uid="{AE7173D5-EC1C-4466-A251-4D8C348F2E01}"/>
  <tableColumns count="8">
    <tableColumn id="9" xr3:uid="{8E1591D9-A876-46F4-8C8B-DA8B7FD853CA}" name="産業大分類" totalsRowLabel="合計" totalsRowDxfId="741"/>
    <tableColumn id="10" xr3:uid="{459B240B-270E-4649-9B77-2041108A059F}" name="総数／事業所数" totalsRowFunction="custom" totalsRowDxfId="740" dataCellStyle="桁区切り" totalsRowCellStyle="桁区切り">
      <totalsRowFormula>SUM(LTBL_20309[総数／事業所数])</totalsRowFormula>
    </tableColumn>
    <tableColumn id="11" xr3:uid="{B1CCF4C2-0EE5-4C9E-95E3-5DE5E3199BAC}" name="総数／構成比" dataDxfId="739"/>
    <tableColumn id="12" xr3:uid="{4C6A2FA1-6437-42BB-B564-50FAF5FE26C5}" name="個人／事業所数" totalsRowFunction="sum" totalsRowDxfId="738" dataCellStyle="桁区切り" totalsRowCellStyle="桁区切り"/>
    <tableColumn id="13" xr3:uid="{133CE11D-8F8B-4394-9F83-4E219AA40F24}" name="個人／構成比" dataDxfId="737"/>
    <tableColumn id="14" xr3:uid="{6F6E4E73-692E-49CA-B1B1-849F47E33206}" name="法人／事業所数" totalsRowFunction="sum" totalsRowDxfId="736" dataCellStyle="桁区切り" totalsRowCellStyle="桁区切り"/>
    <tableColumn id="15" xr3:uid="{247256E0-5435-4700-8F5E-7A324FFABB71}" name="法人／構成比" dataDxfId="735"/>
    <tableColumn id="16" xr3:uid="{0A98D8A1-429E-4EF2-B0E2-583F018B9C62}" name="法人以外の団体／事業所数" totalsRowFunction="sum" totalsRowDxfId="734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EA06AD1D-F29E-49B4-B2E6-CF787B68916B}" name="M_TABLE_20309" displayName="M_TABLE_20309" ref="B23:I44" totalsRowShown="0">
  <autoFilter ref="B23:I44" xr:uid="{EA06AD1D-F29E-49B4-B2E6-CF787B68916B}"/>
  <tableColumns count="8">
    <tableColumn id="9" xr3:uid="{2F3DC5C7-DD0F-4356-B309-3DFD246DBDA8}" name="産業中分類上位２０"/>
    <tableColumn id="10" xr3:uid="{F104A4D4-FACB-43A3-8137-E11C1C8B4C52}" name="総数／事業所数" dataCellStyle="桁区切り"/>
    <tableColumn id="11" xr3:uid="{D4AF185A-ED73-46B4-A151-72F201801524}" name="総数／構成比" dataDxfId="733"/>
    <tableColumn id="12" xr3:uid="{CFEB4B26-8931-4E48-8A3C-DF914C7CC393}" name="個人／事業所数" dataCellStyle="桁区切り"/>
    <tableColumn id="13" xr3:uid="{F25CA760-5F3B-4FF0-812D-44CFFAD094C7}" name="個人／構成比" dataDxfId="732"/>
    <tableColumn id="14" xr3:uid="{4687614D-3541-4AAE-8AD2-1DA5E21DA1B2}" name="法人／事業所数" dataCellStyle="桁区切り"/>
    <tableColumn id="15" xr3:uid="{7AAAAA36-C602-4461-A37B-69F799B639FA}" name="法人／構成比" dataDxfId="731"/>
    <tableColumn id="16" xr3:uid="{7D3DBE89-DF6A-4072-9198-6D1937B4FA27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AFD065C1-7D3B-40A8-9448-5286AC00B69D}" name="S_TABLE_20309" displayName="S_TABLE_20309" ref="B47:I69" totalsRowShown="0">
  <autoFilter ref="B47:I69" xr:uid="{AFD065C1-7D3B-40A8-9448-5286AC00B69D}"/>
  <tableColumns count="8">
    <tableColumn id="9" xr3:uid="{DC0BD10F-20DE-4CC5-8DA3-84A3169DC0BB}" name="産業小分類上位２０"/>
    <tableColumn id="10" xr3:uid="{FCA8751B-4A28-4F96-89D5-45F6FF5A5F97}" name="総数／事業所数" dataCellStyle="桁区切り"/>
    <tableColumn id="11" xr3:uid="{7DC84B21-3AB2-4B7C-A3B2-6682B8A423D7}" name="総数／構成比" dataDxfId="730"/>
    <tableColumn id="12" xr3:uid="{EF5C06A3-ABD9-418C-8D94-118BD2C53C7F}" name="個人／事業所数" dataCellStyle="桁区切り"/>
    <tableColumn id="13" xr3:uid="{C9D53850-616F-4575-A21C-38F54BCF7C90}" name="個人／構成比" dataDxfId="729"/>
    <tableColumn id="14" xr3:uid="{A341E327-D839-4FDF-A104-E4B903551D2F}" name="法人／事業所数" dataCellStyle="桁区切り"/>
    <tableColumn id="15" xr3:uid="{B703BDF8-CDCE-497D-9553-CE6F714A6688}" name="法人／構成比" dataDxfId="728"/>
    <tableColumn id="16" xr3:uid="{9A5BE998-4498-4767-AE4C-574D4081D55C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EE952AB7-9CFF-47A8-874A-6E94AC2FA080}" name="LTBL_20321" displayName="LTBL_20321" ref="B4:I20" totalsRowCount="1">
  <autoFilter ref="B4:I19" xr:uid="{EE952AB7-9CFF-47A8-874A-6E94AC2FA080}"/>
  <tableColumns count="8">
    <tableColumn id="9" xr3:uid="{9968F199-9369-4588-98CA-523970A2B350}" name="産業大分類" totalsRowLabel="合計" totalsRowDxfId="727"/>
    <tableColumn id="10" xr3:uid="{2AA6381B-C651-4592-B82B-31CDEA48647B}" name="総数／事業所数" totalsRowFunction="custom" totalsRowDxfId="726" dataCellStyle="桁区切り" totalsRowCellStyle="桁区切り">
      <totalsRowFormula>SUM(LTBL_20321[総数／事業所数])</totalsRowFormula>
    </tableColumn>
    <tableColumn id="11" xr3:uid="{6029F843-29CA-4B61-8121-0FAE449E23F3}" name="総数／構成比" dataDxfId="725"/>
    <tableColumn id="12" xr3:uid="{E662194F-B327-4411-BBE5-0A3EE2D88B18}" name="個人／事業所数" totalsRowFunction="sum" totalsRowDxfId="724" dataCellStyle="桁区切り" totalsRowCellStyle="桁区切り"/>
    <tableColumn id="13" xr3:uid="{FBBA74EB-78AD-4333-8A09-BEFA11827176}" name="個人／構成比" dataDxfId="723"/>
    <tableColumn id="14" xr3:uid="{5D6C0561-B34C-4FD2-AE66-DF632CCCBCB3}" name="法人／事業所数" totalsRowFunction="sum" totalsRowDxfId="722" dataCellStyle="桁区切り" totalsRowCellStyle="桁区切り"/>
    <tableColumn id="15" xr3:uid="{D2720D1B-95CA-43DF-B917-5FC00E819867}" name="法人／構成比" dataDxfId="721"/>
    <tableColumn id="16" xr3:uid="{FA09DB8A-34CF-4B9F-A094-4FB1761C0153}" name="法人以外の団体／事業所数" totalsRowFunction="sum" totalsRowDxfId="720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B981915-8A32-4AD1-8815-EE33021035EB}" name="M_TABLE_20202" displayName="M_TABLE_20202" ref="B23:I43" totalsRowShown="0">
  <autoFilter ref="B23:I43" xr:uid="{3B981915-8A32-4AD1-8815-EE33021035EB}"/>
  <tableColumns count="8">
    <tableColumn id="9" xr3:uid="{F49B5246-BF05-4EB6-B153-7F4CF41A6BD3}" name="産業中分類上位２０"/>
    <tableColumn id="10" xr3:uid="{B800BE08-3F40-4B31-9E5C-936FDED7C377}" name="総数／事業所数" dataCellStyle="桁区切り"/>
    <tableColumn id="11" xr3:uid="{A2D3D579-8A32-4B39-B54F-D7D3C88F69D1}" name="総数／構成比" dataDxfId="1055"/>
    <tableColumn id="12" xr3:uid="{CD578063-2A8F-4187-8A8D-2C3960CD8BE1}" name="個人／事業所数" dataCellStyle="桁区切り"/>
    <tableColumn id="13" xr3:uid="{F5761BB7-9C93-44E5-992D-3C1A32A2AB71}" name="個人／構成比" dataDxfId="1054"/>
    <tableColumn id="14" xr3:uid="{3FB589C0-5F91-4D18-973A-C90FCF32419B}" name="法人／事業所数" dataCellStyle="桁区切り"/>
    <tableColumn id="15" xr3:uid="{31EE4AE9-91D3-4541-AB09-ABDED346BB44}" name="法人／構成比" dataDxfId="1053"/>
    <tableColumn id="16" xr3:uid="{0B622DAC-7DFD-4AA9-A733-208687C7E279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4D214475-E42F-4EB4-A79E-4E42DC7EA7A6}" name="M_TABLE_20321" displayName="M_TABLE_20321" ref="B23:I43" totalsRowShown="0">
  <autoFilter ref="B23:I43" xr:uid="{4D214475-E42F-4EB4-A79E-4E42DC7EA7A6}"/>
  <tableColumns count="8">
    <tableColumn id="9" xr3:uid="{924F76F6-A91C-439E-BC32-5E67F7DAEF13}" name="産業中分類上位２０"/>
    <tableColumn id="10" xr3:uid="{9F051DBB-C72F-4EF5-8925-6B88F9EA2B4A}" name="総数／事業所数" dataCellStyle="桁区切り"/>
    <tableColumn id="11" xr3:uid="{50F3BD05-5143-4960-A53D-5FB69F32F982}" name="総数／構成比" dataDxfId="719"/>
    <tableColumn id="12" xr3:uid="{AC0D71E2-294B-431F-A617-F9AE00AAA071}" name="個人／事業所数" dataCellStyle="桁区切り"/>
    <tableColumn id="13" xr3:uid="{E51FB75B-B88A-473F-88A6-AB5D504FB4BE}" name="個人／構成比" dataDxfId="718"/>
    <tableColumn id="14" xr3:uid="{EC77F2FD-74F6-4526-ACDA-C87DD521CBDD}" name="法人／事業所数" dataCellStyle="桁区切り"/>
    <tableColumn id="15" xr3:uid="{BE5209CE-2AC3-4730-B074-CC02D519ADBC}" name="法人／構成比" dataDxfId="717"/>
    <tableColumn id="16" xr3:uid="{48A70FA4-1811-46A9-A7B4-AC186DA1EAC9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722DB410-18C1-48E7-8B8E-26926F2912A9}" name="S_TABLE_20321" displayName="S_TABLE_20321" ref="B46:I66" totalsRowShown="0">
  <autoFilter ref="B46:I66" xr:uid="{722DB410-18C1-48E7-8B8E-26926F2912A9}"/>
  <tableColumns count="8">
    <tableColumn id="9" xr3:uid="{E3A93268-4335-4888-9419-58DD5A39DB91}" name="産業小分類上位２０"/>
    <tableColumn id="10" xr3:uid="{BA8FFF8C-9D1D-47A7-AE05-8EC5FF1F2602}" name="総数／事業所数" dataCellStyle="桁区切り"/>
    <tableColumn id="11" xr3:uid="{000F929E-9A1F-4B98-993A-27EEC933495D}" name="総数／構成比" dataDxfId="716"/>
    <tableColumn id="12" xr3:uid="{31172FD9-FE95-498C-A79A-F4EB4F135657}" name="個人／事業所数" dataCellStyle="桁区切り"/>
    <tableColumn id="13" xr3:uid="{BF2BB4B7-0026-40ED-A6E0-FCFC3BD22896}" name="個人／構成比" dataDxfId="715"/>
    <tableColumn id="14" xr3:uid="{9D6C2C83-5270-4995-9F3D-FA8631CA3A2D}" name="法人／事業所数" dataCellStyle="桁区切り"/>
    <tableColumn id="15" xr3:uid="{1ACC3BFD-4D1B-40FB-901E-1A2C666D497F}" name="法人／構成比" dataDxfId="714"/>
    <tableColumn id="16" xr3:uid="{2A42D81D-4C28-46A1-9040-01622AB38E02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78ACF60E-174B-4A13-8357-C84C6C9A472B}" name="LTBL_20323" displayName="LTBL_20323" ref="B4:I20" totalsRowCount="1">
  <autoFilter ref="B4:I19" xr:uid="{78ACF60E-174B-4A13-8357-C84C6C9A472B}"/>
  <tableColumns count="8">
    <tableColumn id="9" xr3:uid="{D70A0E9A-8D6C-47D3-B154-93678854E8F8}" name="産業大分類" totalsRowLabel="合計" totalsRowDxfId="713"/>
    <tableColumn id="10" xr3:uid="{ED692BC7-79BD-4E37-A632-33FE631D9472}" name="総数／事業所数" totalsRowFunction="custom" totalsRowDxfId="712" dataCellStyle="桁区切り" totalsRowCellStyle="桁区切り">
      <totalsRowFormula>SUM(LTBL_20323[総数／事業所数])</totalsRowFormula>
    </tableColumn>
    <tableColumn id="11" xr3:uid="{98300657-2157-4496-B1A8-D1CC3981CA8C}" name="総数／構成比" dataDxfId="711"/>
    <tableColumn id="12" xr3:uid="{9E5F5D36-20E0-48F4-9B1F-4448D760C762}" name="個人／事業所数" totalsRowFunction="sum" totalsRowDxfId="710" dataCellStyle="桁区切り" totalsRowCellStyle="桁区切り"/>
    <tableColumn id="13" xr3:uid="{488D432C-82F3-492A-B40F-7DE8E719FEF6}" name="個人／構成比" dataDxfId="709"/>
    <tableColumn id="14" xr3:uid="{49C104DB-753A-482F-AAE8-AF47998F0EAB}" name="法人／事業所数" totalsRowFunction="sum" totalsRowDxfId="708" dataCellStyle="桁区切り" totalsRowCellStyle="桁区切り"/>
    <tableColumn id="15" xr3:uid="{07AF8E4B-DFEA-44C7-B876-8F1EE2AC362C}" name="法人／構成比" dataDxfId="707"/>
    <tableColumn id="16" xr3:uid="{995967B3-9309-4891-82D0-A064F8CC3997}" name="法人以外の団体／事業所数" totalsRowFunction="sum" totalsRowDxfId="706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CA7152AB-4009-49BE-BD03-7F077AF47E45}" name="M_TABLE_20323" displayName="M_TABLE_20323" ref="B23:I45" totalsRowShown="0">
  <autoFilter ref="B23:I45" xr:uid="{CA7152AB-4009-49BE-BD03-7F077AF47E45}"/>
  <tableColumns count="8">
    <tableColumn id="9" xr3:uid="{AA81CAE7-C265-4A40-8F3C-B4508ACB54C1}" name="産業中分類上位２０"/>
    <tableColumn id="10" xr3:uid="{1280299F-41C2-4D39-8C8D-8B8B42CAF91C}" name="総数／事業所数" dataCellStyle="桁区切り"/>
    <tableColumn id="11" xr3:uid="{3AC08FE2-012E-4EFA-A718-F4ACF89D5AB5}" name="総数／構成比" dataDxfId="705"/>
    <tableColumn id="12" xr3:uid="{12D129FF-8ADA-40D7-A7EB-269E4F9249A4}" name="個人／事業所数" dataCellStyle="桁区切り"/>
    <tableColumn id="13" xr3:uid="{02BB5E2B-8159-4343-B59F-07AA62A6CF45}" name="個人／構成比" dataDxfId="704"/>
    <tableColumn id="14" xr3:uid="{83BB24F9-4296-4CCC-BB93-9A43DB224670}" name="法人／事業所数" dataCellStyle="桁区切り"/>
    <tableColumn id="15" xr3:uid="{0D091824-4E4A-4F84-B8BE-3CD2646D29F6}" name="法人／構成比" dataDxfId="703"/>
    <tableColumn id="16" xr3:uid="{93154967-1174-4AC5-B10E-056FC5C92FBB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99182805-63A1-4B80-AADA-E356E59A4CB4}" name="S_TABLE_20323" displayName="S_TABLE_20323" ref="B48:I70" totalsRowShown="0">
  <autoFilter ref="B48:I70" xr:uid="{99182805-63A1-4B80-AADA-E356E59A4CB4}"/>
  <tableColumns count="8">
    <tableColumn id="9" xr3:uid="{7A8EF3F9-9382-4CFD-9AF5-1BE6069B2A43}" name="産業小分類上位２０"/>
    <tableColumn id="10" xr3:uid="{831E293A-B163-4BEF-8D79-36891B4C44D2}" name="総数／事業所数" dataCellStyle="桁区切り"/>
    <tableColumn id="11" xr3:uid="{810AACDA-2029-472A-BE26-9CD3DA42374D}" name="総数／構成比" dataDxfId="702"/>
    <tableColumn id="12" xr3:uid="{4F122539-4B8E-44D8-8858-42503F487667}" name="個人／事業所数" dataCellStyle="桁区切り"/>
    <tableColumn id="13" xr3:uid="{B0DC2793-84DB-4292-9E13-46F5E6838B9D}" name="個人／構成比" dataDxfId="701"/>
    <tableColumn id="14" xr3:uid="{6492016B-4CC0-4B74-A4CD-E10089A85577}" name="法人／事業所数" dataCellStyle="桁区切り"/>
    <tableColumn id="15" xr3:uid="{55B7B49B-5296-40D3-939B-C471AFA85EAA}" name="法人／構成比" dataDxfId="700"/>
    <tableColumn id="16" xr3:uid="{CB70FF48-9584-4253-9809-2DD931F56683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FB21ECDC-4C28-4CCF-9BC7-8EE15CB1FBA2}" name="LTBL_20324" displayName="LTBL_20324" ref="B4:I20" totalsRowCount="1">
  <autoFilter ref="B4:I19" xr:uid="{FB21ECDC-4C28-4CCF-9BC7-8EE15CB1FBA2}"/>
  <tableColumns count="8">
    <tableColumn id="9" xr3:uid="{8689755B-9475-441F-B2CE-DEA521C3D0B8}" name="産業大分類" totalsRowLabel="合計" totalsRowDxfId="699"/>
    <tableColumn id="10" xr3:uid="{D7019489-16F2-43F1-ABD7-D506975ED6C5}" name="総数／事業所数" totalsRowFunction="custom" totalsRowDxfId="698" dataCellStyle="桁区切り" totalsRowCellStyle="桁区切り">
      <totalsRowFormula>SUM(LTBL_20324[総数／事業所数])</totalsRowFormula>
    </tableColumn>
    <tableColumn id="11" xr3:uid="{B82112D8-5405-4B3C-8D6A-D69F852C7D45}" name="総数／構成比" dataDxfId="697"/>
    <tableColumn id="12" xr3:uid="{6D735D10-0A75-4F8D-9925-51B8D348995A}" name="個人／事業所数" totalsRowFunction="sum" totalsRowDxfId="696" dataCellStyle="桁区切り" totalsRowCellStyle="桁区切り"/>
    <tableColumn id="13" xr3:uid="{8580299A-6E8F-49D2-BFD7-F8B0D2924D93}" name="個人／構成比" dataDxfId="695"/>
    <tableColumn id="14" xr3:uid="{83E80B2D-9CAE-4170-9D2E-DF3A45BD1DB0}" name="法人／事業所数" totalsRowFunction="sum" totalsRowDxfId="694" dataCellStyle="桁区切り" totalsRowCellStyle="桁区切り"/>
    <tableColumn id="15" xr3:uid="{813C8511-6C1E-4DF8-9213-AA273848D75A}" name="法人／構成比" dataDxfId="693"/>
    <tableColumn id="16" xr3:uid="{34C97089-75E5-4320-B09E-1A6B17A4CE32}" name="法人以外の団体／事業所数" totalsRowFunction="sum" totalsRowDxfId="692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8D0C9006-6A70-432B-9A86-CFDA0000B99F}" name="M_TABLE_20324" displayName="M_TABLE_20324" ref="B23:I51" totalsRowShown="0">
  <autoFilter ref="B23:I51" xr:uid="{8D0C9006-6A70-432B-9A86-CFDA0000B99F}"/>
  <tableColumns count="8">
    <tableColumn id="9" xr3:uid="{7FBC4D42-E700-47D4-B9BB-56602A659B5A}" name="産業中分類上位２０"/>
    <tableColumn id="10" xr3:uid="{F75E090A-0B2D-4E85-A39A-A4F68565CD47}" name="総数／事業所数" dataCellStyle="桁区切り"/>
    <tableColumn id="11" xr3:uid="{1A8AF0E0-CD60-4E0A-B8BA-8727B9A2852D}" name="総数／構成比" dataDxfId="691"/>
    <tableColumn id="12" xr3:uid="{BE369139-5A6D-4AEC-8314-9D69D3A3697E}" name="個人／事業所数" dataCellStyle="桁区切り"/>
    <tableColumn id="13" xr3:uid="{0331CE62-717A-4098-BA63-D93001FB7519}" name="個人／構成比" dataDxfId="690"/>
    <tableColumn id="14" xr3:uid="{A2E39E59-8A76-42B9-AD13-5BB9959A4CFF}" name="法人／事業所数" dataCellStyle="桁区切り"/>
    <tableColumn id="15" xr3:uid="{B08F21E0-A756-4492-A494-0A260625D36F}" name="法人／構成比" dataDxfId="689"/>
    <tableColumn id="16" xr3:uid="{40138A99-E75A-4C05-A68E-1EC541042795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2FC0A86A-A2F6-4F4E-8053-9EA7B9093ACA}" name="S_TABLE_20324" displayName="S_TABLE_20324" ref="B54:I77" totalsRowShown="0">
  <autoFilter ref="B54:I77" xr:uid="{2FC0A86A-A2F6-4F4E-8053-9EA7B9093ACA}"/>
  <tableColumns count="8">
    <tableColumn id="9" xr3:uid="{F2D65157-A0D0-4053-96C0-3EF88AADCC45}" name="産業小分類上位２０"/>
    <tableColumn id="10" xr3:uid="{D3D938C5-16F7-4039-8893-7FE0178B2009}" name="総数／事業所数" dataCellStyle="桁区切り"/>
    <tableColumn id="11" xr3:uid="{E785FEAC-326C-49A6-9FFB-B1CF3F6A9B8A}" name="総数／構成比" dataDxfId="688"/>
    <tableColumn id="12" xr3:uid="{EC2CC9EF-1D17-44A4-899F-24DAC0FEC86C}" name="個人／事業所数" dataCellStyle="桁区切り"/>
    <tableColumn id="13" xr3:uid="{CD85EFDB-4CAB-4C81-8139-FD1EDBBC81CF}" name="個人／構成比" dataDxfId="687"/>
    <tableColumn id="14" xr3:uid="{640DFAB1-9659-43AF-965D-A420BC92582D}" name="法人／事業所数" dataCellStyle="桁区切り"/>
    <tableColumn id="15" xr3:uid="{11C68E4A-341D-42EE-BDBF-343D7E6F4E0E}" name="法人／構成比" dataDxfId="686"/>
    <tableColumn id="16" xr3:uid="{845DAC36-B498-463F-A87F-FE70A8E882BA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22E9C6DC-C6A6-4DDA-9681-FD5DB1AA8F60}" name="LTBL_20349" displayName="LTBL_20349" ref="B4:I20" totalsRowCount="1">
  <autoFilter ref="B4:I19" xr:uid="{22E9C6DC-C6A6-4DDA-9681-FD5DB1AA8F60}"/>
  <tableColumns count="8">
    <tableColumn id="9" xr3:uid="{38BDBDAD-B45D-43CA-BE03-89A5BF5A6D15}" name="産業大分類" totalsRowLabel="合計" totalsRowDxfId="685"/>
    <tableColumn id="10" xr3:uid="{C1912825-6BD2-4B62-91B9-24F641D6A17D}" name="総数／事業所数" totalsRowFunction="custom" totalsRowDxfId="684" dataCellStyle="桁区切り" totalsRowCellStyle="桁区切り">
      <totalsRowFormula>SUM(LTBL_20349[総数／事業所数])</totalsRowFormula>
    </tableColumn>
    <tableColumn id="11" xr3:uid="{3B9718D5-821E-4C0C-811F-204C9881678D}" name="総数／構成比" dataDxfId="683"/>
    <tableColumn id="12" xr3:uid="{351D5B4F-D8B8-4050-9489-174EFFDDC022}" name="個人／事業所数" totalsRowFunction="sum" totalsRowDxfId="682" dataCellStyle="桁区切り" totalsRowCellStyle="桁区切り"/>
    <tableColumn id="13" xr3:uid="{6D4D8864-392A-4289-A883-C4A8320095B9}" name="個人／構成比" dataDxfId="681"/>
    <tableColumn id="14" xr3:uid="{431DB01A-DC37-4204-9D42-562E9986F020}" name="法人／事業所数" totalsRowFunction="sum" totalsRowDxfId="680" dataCellStyle="桁区切り" totalsRowCellStyle="桁区切り"/>
    <tableColumn id="15" xr3:uid="{2D677E6E-7128-48DF-8C60-7DC6AD598557}" name="法人／構成比" dataDxfId="679"/>
    <tableColumn id="16" xr3:uid="{791A7C30-C9C5-4BA9-AE9B-9C08F960AEC4}" name="法人以外の団体／事業所数" totalsRowFunction="sum" totalsRowDxfId="678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BA7EFFDE-269E-4EF9-B95C-A0F5F13C5CF0}" name="M_TABLE_20349" displayName="M_TABLE_20349" ref="B23:I45" totalsRowShown="0">
  <autoFilter ref="B23:I45" xr:uid="{BA7EFFDE-269E-4EF9-B95C-A0F5F13C5CF0}"/>
  <tableColumns count="8">
    <tableColumn id="9" xr3:uid="{BBC71258-D042-4178-9BBB-E106642E2768}" name="産業中分類上位２０"/>
    <tableColumn id="10" xr3:uid="{AEFEAC80-CED6-4687-85A5-39C698942576}" name="総数／事業所数" dataCellStyle="桁区切り"/>
    <tableColumn id="11" xr3:uid="{F8CAB1B7-3D79-4349-BFB7-A19A7FFCF5CD}" name="総数／構成比" dataDxfId="677"/>
    <tableColumn id="12" xr3:uid="{478BAA08-6E49-45C6-8930-4CCC878CCFF7}" name="個人／事業所数" dataCellStyle="桁区切り"/>
    <tableColumn id="13" xr3:uid="{C539D3EE-E00C-43FE-99D0-1B1FB6C4657F}" name="個人／構成比" dataDxfId="676"/>
    <tableColumn id="14" xr3:uid="{45AF3646-AB9D-4A20-A4B4-67B249AD1255}" name="法人／事業所数" dataCellStyle="桁区切り"/>
    <tableColumn id="15" xr3:uid="{8857BABE-F56B-408C-9F11-E0B640F40824}" name="法人／構成比" dataDxfId="675"/>
    <tableColumn id="16" xr3:uid="{2E9DA18F-34A0-43BA-A80E-596156FB5A19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C9E5A01-94D0-4F99-95A7-B87F038FCE59}" name="S_TABLE_20202" displayName="S_TABLE_20202" ref="B46:I66" totalsRowShown="0">
  <autoFilter ref="B46:I66" xr:uid="{5C9E5A01-94D0-4F99-95A7-B87F038FCE59}"/>
  <tableColumns count="8">
    <tableColumn id="9" xr3:uid="{FD163392-F78F-4DA9-8133-EEADDD278215}" name="産業小分類上位２０"/>
    <tableColumn id="10" xr3:uid="{04343B75-E407-423E-A26B-8911B6C3EFCC}" name="総数／事業所数" dataCellStyle="桁区切り"/>
    <tableColumn id="11" xr3:uid="{2A66801A-E369-40FF-91A8-D05BC4CE3196}" name="総数／構成比" dataDxfId="1052"/>
    <tableColumn id="12" xr3:uid="{D0922A98-0FA4-44CB-B83F-EB5365FA45DF}" name="個人／事業所数" dataCellStyle="桁区切り"/>
    <tableColumn id="13" xr3:uid="{2CFD5E66-290A-47D1-A95B-B57171E3C279}" name="個人／構成比" dataDxfId="1051"/>
    <tableColumn id="14" xr3:uid="{159427D2-2DDB-4242-9DE1-36DA86EDE1E8}" name="法人／事業所数" dataCellStyle="桁区切り"/>
    <tableColumn id="15" xr3:uid="{3E586E4A-E481-457E-884C-E0A8216A2204}" name="法人／構成比" dataDxfId="1050"/>
    <tableColumn id="16" xr3:uid="{0BF6BCC9-21A2-41BA-8D9E-D485CEB45151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86221139-5CCA-494C-A8D8-63A8EE3F5B2E}" name="S_TABLE_20349" displayName="S_TABLE_20349" ref="B48:I82" totalsRowShown="0">
  <autoFilter ref="B48:I82" xr:uid="{86221139-5CCA-494C-A8D8-63A8EE3F5B2E}"/>
  <tableColumns count="8">
    <tableColumn id="9" xr3:uid="{6E9212A2-CC39-43B9-A63D-B1591B0D5C2D}" name="産業小分類上位２０"/>
    <tableColumn id="10" xr3:uid="{195FB125-7FC2-4C88-9657-D8FD7487188C}" name="総数／事業所数" dataCellStyle="桁区切り"/>
    <tableColumn id="11" xr3:uid="{C560C3D8-2292-43E4-BC39-42BB7E77049E}" name="総数／構成比" dataDxfId="674"/>
    <tableColumn id="12" xr3:uid="{0FA033DA-0F55-4751-BB48-0E0309E0E5AE}" name="個人／事業所数" dataCellStyle="桁区切り"/>
    <tableColumn id="13" xr3:uid="{EE8E1EA2-90AF-4496-A8AB-ED8593FE59CC}" name="個人／構成比" dataDxfId="673"/>
    <tableColumn id="14" xr3:uid="{597A7C45-D94D-4A81-A57A-B9E516219219}" name="法人／事業所数" dataCellStyle="桁区切り"/>
    <tableColumn id="15" xr3:uid="{7B21ADB1-5DEF-40C0-AEF9-B45CF063BE2A}" name="法人／構成比" dataDxfId="672"/>
    <tableColumn id="16" xr3:uid="{FE6883E9-8448-4FE2-B348-0C94B9B3AB20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A6442598-92AF-43BE-BFAF-8B1AD4416110}" name="LTBL_20350" displayName="LTBL_20350" ref="B4:I20" totalsRowCount="1">
  <autoFilter ref="B4:I19" xr:uid="{A6442598-92AF-43BE-BFAF-8B1AD4416110}"/>
  <tableColumns count="8">
    <tableColumn id="9" xr3:uid="{8494E09F-FA9C-4351-82FC-7B281ED8B934}" name="産業大分類" totalsRowLabel="合計" totalsRowDxfId="671"/>
    <tableColumn id="10" xr3:uid="{667C34E8-1D4C-4A85-BD73-41A3A57C330D}" name="総数／事業所数" totalsRowFunction="custom" totalsRowDxfId="670" dataCellStyle="桁区切り" totalsRowCellStyle="桁区切り">
      <totalsRowFormula>SUM(LTBL_20350[総数／事業所数])</totalsRowFormula>
    </tableColumn>
    <tableColumn id="11" xr3:uid="{943122C6-5324-4A5C-B888-23D43F3B5415}" name="総数／構成比" dataDxfId="669"/>
    <tableColumn id="12" xr3:uid="{A00B3E48-E1AD-4D29-BB71-41BD68ACCC5A}" name="個人／事業所数" totalsRowFunction="sum" totalsRowDxfId="668" dataCellStyle="桁区切り" totalsRowCellStyle="桁区切り"/>
    <tableColumn id="13" xr3:uid="{CF5D36D8-D7D3-40A3-A9A7-DD0B9FC58C89}" name="個人／構成比" dataDxfId="667"/>
    <tableColumn id="14" xr3:uid="{B11AC0B5-302D-4550-86A9-9F56CBC22392}" name="法人／事業所数" totalsRowFunction="sum" totalsRowDxfId="666" dataCellStyle="桁区切り" totalsRowCellStyle="桁区切り"/>
    <tableColumn id="15" xr3:uid="{FFB80740-2057-44FC-A662-19AD3A753568}" name="法人／構成比" dataDxfId="665"/>
    <tableColumn id="16" xr3:uid="{A90E564C-0980-40CD-B85D-1CFE285A3A2F}" name="法人以外の団体／事業所数" totalsRowFunction="sum" totalsRowDxfId="664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D59233EE-762D-4339-986E-5D34C9CD919F}" name="M_TABLE_20350" displayName="M_TABLE_20350" ref="B23:I49" totalsRowShown="0">
  <autoFilter ref="B23:I49" xr:uid="{D59233EE-762D-4339-986E-5D34C9CD919F}"/>
  <tableColumns count="8">
    <tableColumn id="9" xr3:uid="{F0BD3C09-1674-45CD-ACC4-3B7250CDBAC6}" name="産業中分類上位２０"/>
    <tableColumn id="10" xr3:uid="{BD1CB0BD-6683-46B8-9B21-5950BAB5A1F0}" name="総数／事業所数" dataCellStyle="桁区切り"/>
    <tableColumn id="11" xr3:uid="{D1D76350-4D90-4844-8798-DB8271732922}" name="総数／構成比" dataDxfId="663"/>
    <tableColumn id="12" xr3:uid="{49CFFADD-2C78-4708-BBA6-E7E94B5BF5A7}" name="個人／事業所数" dataCellStyle="桁区切り"/>
    <tableColumn id="13" xr3:uid="{6107DEF8-E15A-48C5-AC5D-77F5FE6F1B19}" name="個人／構成比" dataDxfId="662"/>
    <tableColumn id="14" xr3:uid="{8C7DA719-9A27-4327-A972-368D4509F7D9}" name="法人／事業所数" dataCellStyle="桁区切り"/>
    <tableColumn id="15" xr3:uid="{4442C54B-A300-46F2-9B86-8F30B441986F}" name="法人／構成比" dataDxfId="661"/>
    <tableColumn id="16" xr3:uid="{A27228F5-90DB-41BA-A0C8-3E0EE93977C7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EE39457C-3318-433D-9723-6A4FF68FA35D}" name="S_TABLE_20350" displayName="S_TABLE_20350" ref="B52:I75" totalsRowShown="0">
  <autoFilter ref="B52:I75" xr:uid="{EE39457C-3318-433D-9723-6A4FF68FA35D}"/>
  <tableColumns count="8">
    <tableColumn id="9" xr3:uid="{9783FF57-4999-454C-AD39-9777939D973F}" name="産業小分類上位２０"/>
    <tableColumn id="10" xr3:uid="{627CEA8D-898B-4874-B493-AE589B0AB9CA}" name="総数／事業所数" dataCellStyle="桁区切り"/>
    <tableColumn id="11" xr3:uid="{CF20F720-5F16-42F7-8E95-AC220D920775}" name="総数／構成比" dataDxfId="660"/>
    <tableColumn id="12" xr3:uid="{4BEF8494-F66C-4D47-9329-CB9A968F198C}" name="個人／事業所数" dataCellStyle="桁区切り"/>
    <tableColumn id="13" xr3:uid="{6D89B0C0-6C47-464A-A17F-00F548F40A05}" name="個人／構成比" dataDxfId="659"/>
    <tableColumn id="14" xr3:uid="{0D66F596-47E5-4A66-96B2-71E002D89697}" name="法人／事業所数" dataCellStyle="桁区切り"/>
    <tableColumn id="15" xr3:uid="{37FD42C4-415F-45F0-9020-B475999FFD21}" name="法人／構成比" dataDxfId="658"/>
    <tableColumn id="16" xr3:uid="{148709B0-E0B1-42D8-84AE-16D23A94432F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7D632DD0-4277-4CC9-A258-2E0F10CA5DF5}" name="LTBL_20361" displayName="LTBL_20361" ref="B4:I20" totalsRowCount="1">
  <autoFilter ref="B4:I19" xr:uid="{7D632DD0-4277-4CC9-A258-2E0F10CA5DF5}"/>
  <tableColumns count="8">
    <tableColumn id="9" xr3:uid="{17C79984-8441-49BF-B80C-70A53CAA593D}" name="産業大分類" totalsRowLabel="合計" totalsRowDxfId="657"/>
    <tableColumn id="10" xr3:uid="{32D64ABC-B459-4E35-963B-A32965035B82}" name="総数／事業所数" totalsRowFunction="custom" totalsRowDxfId="656" dataCellStyle="桁区切り" totalsRowCellStyle="桁区切り">
      <totalsRowFormula>SUM(LTBL_20361[総数／事業所数])</totalsRowFormula>
    </tableColumn>
    <tableColumn id="11" xr3:uid="{A59EE682-9F78-4434-8089-1567DA63649E}" name="総数／構成比" dataDxfId="655"/>
    <tableColumn id="12" xr3:uid="{96D386AD-ED8E-4142-82B8-F6919C3146DA}" name="個人／事業所数" totalsRowFunction="sum" totalsRowDxfId="654" dataCellStyle="桁区切り" totalsRowCellStyle="桁区切り"/>
    <tableColumn id="13" xr3:uid="{827C8B3F-DFAA-4205-9369-473EE573C73B}" name="個人／構成比" dataDxfId="653"/>
    <tableColumn id="14" xr3:uid="{375772B2-356D-48C4-AEFA-AB4B284DB9FB}" name="法人／事業所数" totalsRowFunction="sum" totalsRowDxfId="652" dataCellStyle="桁区切り" totalsRowCellStyle="桁区切り"/>
    <tableColumn id="15" xr3:uid="{5398058F-3586-49E7-9CEA-CB766224BB5E}" name="法人／構成比" dataDxfId="651"/>
    <tableColumn id="16" xr3:uid="{B8D2E914-0364-4F0F-9EA0-485BBE97E130}" name="法人以外の団体／事業所数" totalsRowFunction="sum" totalsRowDxfId="650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698AB2F6-11F4-4E22-AD4F-2A43B8BA2DDA}" name="M_TABLE_20361" displayName="M_TABLE_20361" ref="B23:I47" totalsRowShown="0">
  <autoFilter ref="B23:I47" xr:uid="{698AB2F6-11F4-4E22-AD4F-2A43B8BA2DDA}"/>
  <tableColumns count="8">
    <tableColumn id="9" xr3:uid="{48659464-F1A7-4350-B045-87D562302F01}" name="産業中分類上位２０"/>
    <tableColumn id="10" xr3:uid="{1E3D9295-3033-48E4-8E5F-138FAE078413}" name="総数／事業所数" dataCellStyle="桁区切り"/>
    <tableColumn id="11" xr3:uid="{CFD01EB4-581C-4BE1-8A18-D5A8760EF2F9}" name="総数／構成比" dataDxfId="649"/>
    <tableColumn id="12" xr3:uid="{CFC8509B-0514-49EC-9403-DE611FC17C80}" name="個人／事業所数" dataCellStyle="桁区切り"/>
    <tableColumn id="13" xr3:uid="{DB201E08-4BC2-453B-99E5-CC55B4CB17D8}" name="個人／構成比" dataDxfId="648"/>
    <tableColumn id="14" xr3:uid="{AE2CA2B5-2B16-46EB-B892-B45925E7EF51}" name="法人／事業所数" dataCellStyle="桁区切り"/>
    <tableColumn id="15" xr3:uid="{9D6623A6-8633-4FBB-AD0F-727602D057B8}" name="法人／構成比" dataDxfId="647"/>
    <tableColumn id="16" xr3:uid="{6E61DE95-DF93-43EE-BAFB-1E8DB5D5275E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9E0AC11D-59DC-42AF-8103-BB6F16AC1D22}" name="S_TABLE_20361" displayName="S_TABLE_20361" ref="B50:I72" totalsRowShown="0">
  <autoFilter ref="B50:I72" xr:uid="{9E0AC11D-59DC-42AF-8103-BB6F16AC1D22}"/>
  <tableColumns count="8">
    <tableColumn id="9" xr3:uid="{654E75F1-8141-42C9-BB49-E8378C6E2D19}" name="産業小分類上位２０"/>
    <tableColumn id="10" xr3:uid="{F5DD0E2E-02E9-4383-9F45-7A75B3D395DD}" name="総数／事業所数" dataCellStyle="桁区切り"/>
    <tableColumn id="11" xr3:uid="{F0568FFF-9A66-4017-A583-CA01824376A4}" name="総数／構成比" dataDxfId="646"/>
    <tableColumn id="12" xr3:uid="{DACA516D-52D2-4FB4-A154-4132383A1DF4}" name="個人／事業所数" dataCellStyle="桁区切り"/>
    <tableColumn id="13" xr3:uid="{CF34DB53-972C-4EA4-A6BA-1323ABBBFACB}" name="個人／構成比" dataDxfId="645"/>
    <tableColumn id="14" xr3:uid="{33BDDC50-9855-4911-B9B6-634D0AAFEF8E}" name="法人／事業所数" dataCellStyle="桁区切り"/>
    <tableColumn id="15" xr3:uid="{30589385-34FA-47A6-9CCC-2E099A8EA4FD}" name="法人／構成比" dataDxfId="644"/>
    <tableColumn id="16" xr3:uid="{D4483BCF-CF61-4D5F-A57E-6B0B0B2BE635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17877790-FDF8-46D1-9D14-9C21DB52B204}" name="LTBL_20362" displayName="LTBL_20362" ref="B4:I20" totalsRowCount="1">
  <autoFilter ref="B4:I19" xr:uid="{17877790-FDF8-46D1-9D14-9C21DB52B204}"/>
  <tableColumns count="8">
    <tableColumn id="9" xr3:uid="{1254D29D-F704-478B-AD90-4F051048C864}" name="産業大分類" totalsRowLabel="合計" totalsRowDxfId="643"/>
    <tableColumn id="10" xr3:uid="{97E581E8-103D-41F2-A1BE-C854913FB54A}" name="総数／事業所数" totalsRowFunction="custom" totalsRowDxfId="642" dataCellStyle="桁区切り" totalsRowCellStyle="桁区切り">
      <totalsRowFormula>SUM(LTBL_20362[総数／事業所数])</totalsRowFormula>
    </tableColumn>
    <tableColumn id="11" xr3:uid="{2A5FD08F-B66F-4DFA-9DBC-36927C48F1F6}" name="総数／構成比" dataDxfId="641"/>
    <tableColumn id="12" xr3:uid="{F95A566D-50BB-4D1C-B2C1-4526C8633C95}" name="個人／事業所数" totalsRowFunction="sum" totalsRowDxfId="640" dataCellStyle="桁区切り" totalsRowCellStyle="桁区切り"/>
    <tableColumn id="13" xr3:uid="{2B8C277A-1F61-4EA9-98D8-02911A0F1C8A}" name="個人／構成比" dataDxfId="639"/>
    <tableColumn id="14" xr3:uid="{25793128-89F5-41CC-94E9-065A386675BE}" name="法人／事業所数" totalsRowFunction="sum" totalsRowDxfId="638" dataCellStyle="桁区切り" totalsRowCellStyle="桁区切り"/>
    <tableColumn id="15" xr3:uid="{CF3D3AB3-6D69-462D-86F4-06D738F08990}" name="法人／構成比" dataDxfId="637"/>
    <tableColumn id="16" xr3:uid="{68FE0364-2BA0-48A4-8C86-F58DFB377C1E}" name="法人以外の団体／事業所数" totalsRowFunction="sum" totalsRowDxfId="636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5155DF42-BFB1-4934-82D2-336474BFEAC0}" name="M_TABLE_20362" displayName="M_TABLE_20362" ref="B23:I46" totalsRowShown="0">
  <autoFilter ref="B23:I46" xr:uid="{5155DF42-BFB1-4934-82D2-336474BFEAC0}"/>
  <tableColumns count="8">
    <tableColumn id="9" xr3:uid="{38AA1705-6085-42A6-AD18-83BEDC958E04}" name="産業中分類上位２０"/>
    <tableColumn id="10" xr3:uid="{79A6376E-46E7-424F-9E1E-F69A09D0BE64}" name="総数／事業所数" dataCellStyle="桁区切り"/>
    <tableColumn id="11" xr3:uid="{1FF564F2-8454-432C-B05D-B6B4C29EF4A0}" name="総数／構成比" dataDxfId="635"/>
    <tableColumn id="12" xr3:uid="{7F450BDD-9851-48BC-8D66-D7BBEDCE6F9D}" name="個人／事業所数" dataCellStyle="桁区切り"/>
    <tableColumn id="13" xr3:uid="{BF177A23-FB6C-4558-B49A-A62B9695FC3A}" name="個人／構成比" dataDxfId="634"/>
    <tableColumn id="14" xr3:uid="{2EC233CE-44CA-4631-A4E9-2C99EB73B913}" name="法人／事業所数" dataCellStyle="桁区切り"/>
    <tableColumn id="15" xr3:uid="{2A54F469-7911-45F7-BAFA-C1C513CB6308}" name="法人／構成比" dataDxfId="633"/>
    <tableColumn id="16" xr3:uid="{D4D05931-6359-4327-84BA-F25362BACC1F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ED1947B6-0E80-4B1A-8FEB-0BC6C30039CD}" name="S_TABLE_20362" displayName="S_TABLE_20362" ref="B49:I71" totalsRowShown="0">
  <autoFilter ref="B49:I71" xr:uid="{ED1947B6-0E80-4B1A-8FEB-0BC6C30039CD}"/>
  <tableColumns count="8">
    <tableColumn id="9" xr3:uid="{97F7C926-7F50-4476-B516-9F0C55296DC2}" name="産業小分類上位２０"/>
    <tableColumn id="10" xr3:uid="{3C14B86D-78D1-4F36-8E77-2F9E3D807F3A}" name="総数／事業所数" dataCellStyle="桁区切り"/>
    <tableColumn id="11" xr3:uid="{EE51834A-2E86-4712-A7A4-C56F7ADB7985}" name="総数／構成比" dataDxfId="632"/>
    <tableColumn id="12" xr3:uid="{650E6009-B794-4616-96FB-35F901A93F8A}" name="個人／事業所数" dataCellStyle="桁区切り"/>
    <tableColumn id="13" xr3:uid="{86C68288-375C-4B91-8EB2-8CD85D9A427A}" name="個人／構成比" dataDxfId="631"/>
    <tableColumn id="14" xr3:uid="{8DE1D8A6-17CA-4881-B5F1-E5FB0D6680E7}" name="法人／事業所数" dataCellStyle="桁区切り"/>
    <tableColumn id="15" xr3:uid="{42C4412F-1396-4C9E-AF08-0AAD0A0F0DF1}" name="法人／構成比" dataDxfId="630"/>
    <tableColumn id="16" xr3:uid="{126D30B3-A5C5-4FE5-8E27-6DB359C7591D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40.bin"/><Relationship Id="rId4" Type="http://schemas.openxmlformats.org/officeDocument/2006/relationships/table" Target="../tables/table11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3.xml"/><Relationship Id="rId2" Type="http://schemas.openxmlformats.org/officeDocument/2006/relationships/table" Target="../tables/table112.xml"/><Relationship Id="rId1" Type="http://schemas.openxmlformats.org/officeDocument/2006/relationships/printerSettings" Target="../printerSettings/printerSettings41.bin"/><Relationship Id="rId4" Type="http://schemas.openxmlformats.org/officeDocument/2006/relationships/table" Target="../tables/table114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6.xml"/><Relationship Id="rId2" Type="http://schemas.openxmlformats.org/officeDocument/2006/relationships/table" Target="../tables/table115.xml"/><Relationship Id="rId1" Type="http://schemas.openxmlformats.org/officeDocument/2006/relationships/printerSettings" Target="../printerSettings/printerSettings42.bin"/><Relationship Id="rId4" Type="http://schemas.openxmlformats.org/officeDocument/2006/relationships/table" Target="../tables/table117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9.xml"/><Relationship Id="rId2" Type="http://schemas.openxmlformats.org/officeDocument/2006/relationships/table" Target="../tables/table118.xml"/><Relationship Id="rId1" Type="http://schemas.openxmlformats.org/officeDocument/2006/relationships/printerSettings" Target="../printerSettings/printerSettings43.bin"/><Relationship Id="rId4" Type="http://schemas.openxmlformats.org/officeDocument/2006/relationships/table" Target="../tables/table120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44.bin"/><Relationship Id="rId4" Type="http://schemas.openxmlformats.org/officeDocument/2006/relationships/table" Target="../tables/table12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5.xml"/><Relationship Id="rId2" Type="http://schemas.openxmlformats.org/officeDocument/2006/relationships/table" Target="../tables/table124.xml"/><Relationship Id="rId1" Type="http://schemas.openxmlformats.org/officeDocument/2006/relationships/printerSettings" Target="../printerSettings/printerSettings45.bin"/><Relationship Id="rId4" Type="http://schemas.openxmlformats.org/officeDocument/2006/relationships/table" Target="../tables/table12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8.xml"/><Relationship Id="rId2" Type="http://schemas.openxmlformats.org/officeDocument/2006/relationships/table" Target="../tables/table127.xml"/><Relationship Id="rId1" Type="http://schemas.openxmlformats.org/officeDocument/2006/relationships/printerSettings" Target="../printerSettings/printerSettings46.bin"/><Relationship Id="rId4" Type="http://schemas.openxmlformats.org/officeDocument/2006/relationships/table" Target="../tables/table129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1.xml"/><Relationship Id="rId2" Type="http://schemas.openxmlformats.org/officeDocument/2006/relationships/table" Target="../tables/table130.xml"/><Relationship Id="rId1" Type="http://schemas.openxmlformats.org/officeDocument/2006/relationships/printerSettings" Target="../printerSettings/printerSettings47.bin"/><Relationship Id="rId4" Type="http://schemas.openxmlformats.org/officeDocument/2006/relationships/table" Target="../tables/table132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48.bin"/><Relationship Id="rId4" Type="http://schemas.openxmlformats.org/officeDocument/2006/relationships/table" Target="../tables/table1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7.xml"/><Relationship Id="rId2" Type="http://schemas.openxmlformats.org/officeDocument/2006/relationships/table" Target="../tables/table136.xml"/><Relationship Id="rId1" Type="http://schemas.openxmlformats.org/officeDocument/2006/relationships/printerSettings" Target="../printerSettings/printerSettings49.bin"/><Relationship Id="rId4" Type="http://schemas.openxmlformats.org/officeDocument/2006/relationships/table" Target="../tables/table138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0.xml"/><Relationship Id="rId2" Type="http://schemas.openxmlformats.org/officeDocument/2006/relationships/table" Target="../tables/table139.xml"/><Relationship Id="rId1" Type="http://schemas.openxmlformats.org/officeDocument/2006/relationships/printerSettings" Target="../printerSettings/printerSettings50.bin"/><Relationship Id="rId4" Type="http://schemas.openxmlformats.org/officeDocument/2006/relationships/table" Target="../tables/table141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3.xml"/><Relationship Id="rId2" Type="http://schemas.openxmlformats.org/officeDocument/2006/relationships/table" Target="../tables/table142.xml"/><Relationship Id="rId1" Type="http://schemas.openxmlformats.org/officeDocument/2006/relationships/printerSettings" Target="../printerSettings/printerSettings51.bin"/><Relationship Id="rId4" Type="http://schemas.openxmlformats.org/officeDocument/2006/relationships/table" Target="../tables/table144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52.bin"/><Relationship Id="rId4" Type="http://schemas.openxmlformats.org/officeDocument/2006/relationships/table" Target="../tables/table147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9.xml"/><Relationship Id="rId2" Type="http://schemas.openxmlformats.org/officeDocument/2006/relationships/table" Target="../tables/table148.xml"/><Relationship Id="rId1" Type="http://schemas.openxmlformats.org/officeDocument/2006/relationships/printerSettings" Target="../printerSettings/printerSettings53.bin"/><Relationship Id="rId4" Type="http://schemas.openxmlformats.org/officeDocument/2006/relationships/table" Target="../tables/table150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2.xml"/><Relationship Id="rId2" Type="http://schemas.openxmlformats.org/officeDocument/2006/relationships/table" Target="../tables/table151.xml"/><Relationship Id="rId1" Type="http://schemas.openxmlformats.org/officeDocument/2006/relationships/printerSettings" Target="../printerSettings/printerSettings54.bin"/><Relationship Id="rId4" Type="http://schemas.openxmlformats.org/officeDocument/2006/relationships/table" Target="../tables/table153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5.xml"/><Relationship Id="rId2" Type="http://schemas.openxmlformats.org/officeDocument/2006/relationships/table" Target="../tables/table154.xml"/><Relationship Id="rId1" Type="http://schemas.openxmlformats.org/officeDocument/2006/relationships/printerSettings" Target="../printerSettings/printerSettings55.bin"/><Relationship Id="rId4" Type="http://schemas.openxmlformats.org/officeDocument/2006/relationships/table" Target="../tables/table156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56.bin"/><Relationship Id="rId4" Type="http://schemas.openxmlformats.org/officeDocument/2006/relationships/table" Target="../tables/table159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1.xml"/><Relationship Id="rId2" Type="http://schemas.openxmlformats.org/officeDocument/2006/relationships/table" Target="../tables/table160.xml"/><Relationship Id="rId1" Type="http://schemas.openxmlformats.org/officeDocument/2006/relationships/printerSettings" Target="../printerSettings/printerSettings57.bin"/><Relationship Id="rId4" Type="http://schemas.openxmlformats.org/officeDocument/2006/relationships/table" Target="../tables/table162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4.xml"/><Relationship Id="rId2" Type="http://schemas.openxmlformats.org/officeDocument/2006/relationships/table" Target="../tables/table163.xml"/><Relationship Id="rId1" Type="http://schemas.openxmlformats.org/officeDocument/2006/relationships/printerSettings" Target="../printerSettings/printerSettings58.bin"/><Relationship Id="rId4" Type="http://schemas.openxmlformats.org/officeDocument/2006/relationships/table" Target="../tables/table16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7.xml"/><Relationship Id="rId2" Type="http://schemas.openxmlformats.org/officeDocument/2006/relationships/table" Target="../tables/table166.xml"/><Relationship Id="rId1" Type="http://schemas.openxmlformats.org/officeDocument/2006/relationships/printerSettings" Target="../printerSettings/printerSettings59.bin"/><Relationship Id="rId4" Type="http://schemas.openxmlformats.org/officeDocument/2006/relationships/table" Target="../tables/table168.x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0.xml"/><Relationship Id="rId2" Type="http://schemas.openxmlformats.org/officeDocument/2006/relationships/table" Target="../tables/table169.xml"/><Relationship Id="rId1" Type="http://schemas.openxmlformats.org/officeDocument/2006/relationships/printerSettings" Target="../printerSettings/printerSettings60.bin"/><Relationship Id="rId4" Type="http://schemas.openxmlformats.org/officeDocument/2006/relationships/table" Target="../tables/table171.x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3.xml"/><Relationship Id="rId2" Type="http://schemas.openxmlformats.org/officeDocument/2006/relationships/table" Target="../tables/table172.xml"/><Relationship Id="rId1" Type="http://schemas.openxmlformats.org/officeDocument/2006/relationships/printerSettings" Target="../printerSettings/printerSettings61.bin"/><Relationship Id="rId4" Type="http://schemas.openxmlformats.org/officeDocument/2006/relationships/table" Target="../tables/table174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6.xml"/><Relationship Id="rId2" Type="http://schemas.openxmlformats.org/officeDocument/2006/relationships/table" Target="../tables/table175.xml"/><Relationship Id="rId1" Type="http://schemas.openxmlformats.org/officeDocument/2006/relationships/printerSettings" Target="../printerSettings/printerSettings62.bin"/><Relationship Id="rId4" Type="http://schemas.openxmlformats.org/officeDocument/2006/relationships/table" Target="../tables/table177.x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9.xml"/><Relationship Id="rId2" Type="http://schemas.openxmlformats.org/officeDocument/2006/relationships/table" Target="../tables/table178.xml"/><Relationship Id="rId1" Type="http://schemas.openxmlformats.org/officeDocument/2006/relationships/printerSettings" Target="../printerSettings/printerSettings63.bin"/><Relationship Id="rId4" Type="http://schemas.openxmlformats.org/officeDocument/2006/relationships/table" Target="../tables/table180.xm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2.xml"/><Relationship Id="rId2" Type="http://schemas.openxmlformats.org/officeDocument/2006/relationships/table" Target="../tables/table181.xml"/><Relationship Id="rId1" Type="http://schemas.openxmlformats.org/officeDocument/2006/relationships/printerSettings" Target="../printerSettings/printerSettings64.bin"/><Relationship Id="rId4" Type="http://schemas.openxmlformats.org/officeDocument/2006/relationships/table" Target="../tables/table183.xm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5.xml"/><Relationship Id="rId2" Type="http://schemas.openxmlformats.org/officeDocument/2006/relationships/table" Target="../tables/table184.xml"/><Relationship Id="rId1" Type="http://schemas.openxmlformats.org/officeDocument/2006/relationships/printerSettings" Target="../printerSettings/printerSettings65.bin"/><Relationship Id="rId4" Type="http://schemas.openxmlformats.org/officeDocument/2006/relationships/table" Target="../tables/table186.xm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8.xml"/><Relationship Id="rId2" Type="http://schemas.openxmlformats.org/officeDocument/2006/relationships/table" Target="../tables/table187.xml"/><Relationship Id="rId1" Type="http://schemas.openxmlformats.org/officeDocument/2006/relationships/printerSettings" Target="../printerSettings/printerSettings66.bin"/><Relationship Id="rId4" Type="http://schemas.openxmlformats.org/officeDocument/2006/relationships/table" Target="../tables/table189.xml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1.xml"/><Relationship Id="rId2" Type="http://schemas.openxmlformats.org/officeDocument/2006/relationships/table" Target="../tables/table190.xml"/><Relationship Id="rId1" Type="http://schemas.openxmlformats.org/officeDocument/2006/relationships/printerSettings" Target="../printerSettings/printerSettings67.bin"/><Relationship Id="rId4" Type="http://schemas.openxmlformats.org/officeDocument/2006/relationships/table" Target="../tables/table192.xml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4.xml"/><Relationship Id="rId2" Type="http://schemas.openxmlformats.org/officeDocument/2006/relationships/table" Target="../tables/table193.xml"/><Relationship Id="rId1" Type="http://schemas.openxmlformats.org/officeDocument/2006/relationships/printerSettings" Target="../printerSettings/printerSettings68.bin"/><Relationship Id="rId4" Type="http://schemas.openxmlformats.org/officeDocument/2006/relationships/table" Target="../tables/table19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7.xml"/><Relationship Id="rId2" Type="http://schemas.openxmlformats.org/officeDocument/2006/relationships/table" Target="../tables/table196.xml"/><Relationship Id="rId1" Type="http://schemas.openxmlformats.org/officeDocument/2006/relationships/printerSettings" Target="../printerSettings/printerSettings69.bin"/><Relationship Id="rId4" Type="http://schemas.openxmlformats.org/officeDocument/2006/relationships/table" Target="../tables/table198.xml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0.xml"/><Relationship Id="rId2" Type="http://schemas.openxmlformats.org/officeDocument/2006/relationships/table" Target="../tables/table199.xml"/><Relationship Id="rId1" Type="http://schemas.openxmlformats.org/officeDocument/2006/relationships/printerSettings" Target="../printerSettings/printerSettings70.bin"/><Relationship Id="rId4" Type="http://schemas.openxmlformats.org/officeDocument/2006/relationships/table" Target="../tables/table201.xml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3.xml"/><Relationship Id="rId2" Type="http://schemas.openxmlformats.org/officeDocument/2006/relationships/table" Target="../tables/table202.xml"/><Relationship Id="rId1" Type="http://schemas.openxmlformats.org/officeDocument/2006/relationships/printerSettings" Target="../printerSettings/printerSettings71.bin"/><Relationship Id="rId4" Type="http://schemas.openxmlformats.org/officeDocument/2006/relationships/table" Target="../tables/table204.xml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6.xml"/><Relationship Id="rId2" Type="http://schemas.openxmlformats.org/officeDocument/2006/relationships/table" Target="../tables/table205.xml"/><Relationship Id="rId1" Type="http://schemas.openxmlformats.org/officeDocument/2006/relationships/printerSettings" Target="../printerSettings/printerSettings72.bin"/><Relationship Id="rId4" Type="http://schemas.openxmlformats.org/officeDocument/2006/relationships/table" Target="../tables/table207.xml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9.xml"/><Relationship Id="rId2" Type="http://schemas.openxmlformats.org/officeDocument/2006/relationships/table" Target="../tables/table208.xml"/><Relationship Id="rId1" Type="http://schemas.openxmlformats.org/officeDocument/2006/relationships/printerSettings" Target="../printerSettings/printerSettings73.bin"/><Relationship Id="rId4" Type="http://schemas.openxmlformats.org/officeDocument/2006/relationships/table" Target="../tables/table210.xml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2.xml"/><Relationship Id="rId2" Type="http://schemas.openxmlformats.org/officeDocument/2006/relationships/table" Target="../tables/table211.xml"/><Relationship Id="rId1" Type="http://schemas.openxmlformats.org/officeDocument/2006/relationships/printerSettings" Target="../printerSettings/printerSettings74.bin"/><Relationship Id="rId4" Type="http://schemas.openxmlformats.org/officeDocument/2006/relationships/table" Target="../tables/table213.xml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5.xml"/><Relationship Id="rId2" Type="http://schemas.openxmlformats.org/officeDocument/2006/relationships/table" Target="../tables/table214.xml"/><Relationship Id="rId1" Type="http://schemas.openxmlformats.org/officeDocument/2006/relationships/printerSettings" Target="../printerSettings/printerSettings75.bin"/><Relationship Id="rId4" Type="http://schemas.openxmlformats.org/officeDocument/2006/relationships/table" Target="../tables/table216.xml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8.xml"/><Relationship Id="rId2" Type="http://schemas.openxmlformats.org/officeDocument/2006/relationships/table" Target="../tables/table217.xml"/><Relationship Id="rId1" Type="http://schemas.openxmlformats.org/officeDocument/2006/relationships/printerSettings" Target="../printerSettings/printerSettings76.bin"/><Relationship Id="rId4" Type="http://schemas.openxmlformats.org/officeDocument/2006/relationships/table" Target="../tables/table219.xml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1.xml"/><Relationship Id="rId2" Type="http://schemas.openxmlformats.org/officeDocument/2006/relationships/table" Target="../tables/table220.xml"/><Relationship Id="rId1" Type="http://schemas.openxmlformats.org/officeDocument/2006/relationships/printerSettings" Target="../printerSettings/printerSettings77.bin"/><Relationship Id="rId4" Type="http://schemas.openxmlformats.org/officeDocument/2006/relationships/table" Target="../tables/table222.xml"/></Relationships>
</file>

<file path=xl/worksheets/_rels/sheet7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4.xml"/><Relationship Id="rId2" Type="http://schemas.openxmlformats.org/officeDocument/2006/relationships/table" Target="../tables/table223.xml"/><Relationship Id="rId1" Type="http://schemas.openxmlformats.org/officeDocument/2006/relationships/printerSettings" Target="../printerSettings/printerSettings78.bin"/><Relationship Id="rId4" Type="http://schemas.openxmlformats.org/officeDocument/2006/relationships/table" Target="../tables/table22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8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7.xml"/><Relationship Id="rId2" Type="http://schemas.openxmlformats.org/officeDocument/2006/relationships/table" Target="../tables/table226.xml"/><Relationship Id="rId1" Type="http://schemas.openxmlformats.org/officeDocument/2006/relationships/printerSettings" Target="../printerSettings/printerSettings79.bin"/><Relationship Id="rId4" Type="http://schemas.openxmlformats.org/officeDocument/2006/relationships/table" Target="../tables/table228.xml"/></Relationships>
</file>

<file path=xl/worksheets/_rels/sheet8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0.xml"/><Relationship Id="rId2" Type="http://schemas.openxmlformats.org/officeDocument/2006/relationships/table" Target="../tables/table229.xml"/><Relationship Id="rId1" Type="http://schemas.openxmlformats.org/officeDocument/2006/relationships/printerSettings" Target="../printerSettings/printerSettings80.bin"/><Relationship Id="rId4" Type="http://schemas.openxmlformats.org/officeDocument/2006/relationships/table" Target="../tables/table231.xml"/></Relationships>
</file>

<file path=xl/worksheets/_rels/sheet8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3.xml"/><Relationship Id="rId2" Type="http://schemas.openxmlformats.org/officeDocument/2006/relationships/table" Target="../tables/table232.xml"/><Relationship Id="rId1" Type="http://schemas.openxmlformats.org/officeDocument/2006/relationships/printerSettings" Target="../printerSettings/printerSettings81.bin"/><Relationship Id="rId4" Type="http://schemas.openxmlformats.org/officeDocument/2006/relationships/table" Target="../tables/table23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8A447-3A4A-417F-8A9F-68361992209D}">
  <dimension ref="A1:B82"/>
  <sheetViews>
    <sheetView tabSelected="1" workbookViewId="0"/>
  </sheetViews>
  <sheetFormatPr defaultRowHeight="13.2" x14ac:dyDescent="0.2"/>
  <sheetData>
    <row r="1" spans="1:2" x14ac:dyDescent="0.2">
      <c r="A1" t="s">
        <v>522</v>
      </c>
    </row>
    <row r="2" spans="1:2" x14ac:dyDescent="0.2">
      <c r="B2" s="13" t="s">
        <v>362</v>
      </c>
    </row>
    <row r="3" spans="1:2" x14ac:dyDescent="0.2">
      <c r="B3" s="13" t="s">
        <v>173</v>
      </c>
    </row>
    <row r="4" spans="1:2" x14ac:dyDescent="0.2">
      <c r="B4" s="13" t="s">
        <v>360</v>
      </c>
    </row>
    <row r="5" spans="1:2" x14ac:dyDescent="0.2">
      <c r="B5" s="13" t="s">
        <v>444</v>
      </c>
    </row>
    <row r="6" spans="1:2" x14ac:dyDescent="0.2">
      <c r="B6" s="13" t="s">
        <v>445</v>
      </c>
    </row>
    <row r="7" spans="1:2" x14ac:dyDescent="0.2">
      <c r="B7" s="13" t="s">
        <v>446</v>
      </c>
    </row>
    <row r="8" spans="1:2" x14ac:dyDescent="0.2">
      <c r="B8" s="13" t="s">
        <v>447</v>
      </c>
    </row>
    <row r="9" spans="1:2" x14ac:dyDescent="0.2">
      <c r="B9" s="13" t="s">
        <v>448</v>
      </c>
    </row>
    <row r="10" spans="1:2" x14ac:dyDescent="0.2">
      <c r="B10" s="13" t="s">
        <v>449</v>
      </c>
    </row>
    <row r="11" spans="1:2" x14ac:dyDescent="0.2">
      <c r="B11" s="13" t="s">
        <v>450</v>
      </c>
    </row>
    <row r="12" spans="1:2" x14ac:dyDescent="0.2">
      <c r="B12" s="13" t="s">
        <v>451</v>
      </c>
    </row>
    <row r="13" spans="1:2" x14ac:dyDescent="0.2">
      <c r="B13" s="13" t="s">
        <v>452</v>
      </c>
    </row>
    <row r="14" spans="1:2" x14ac:dyDescent="0.2">
      <c r="B14" s="13" t="s">
        <v>453</v>
      </c>
    </row>
    <row r="15" spans="1:2" x14ac:dyDescent="0.2">
      <c r="B15" s="13" t="s">
        <v>454</v>
      </c>
    </row>
    <row r="16" spans="1:2" x14ac:dyDescent="0.2">
      <c r="B16" s="13" t="s">
        <v>455</v>
      </c>
    </row>
    <row r="17" spans="2:2" x14ac:dyDescent="0.2">
      <c r="B17" s="13" t="s">
        <v>456</v>
      </c>
    </row>
    <row r="18" spans="2:2" x14ac:dyDescent="0.2">
      <c r="B18" s="13" t="s">
        <v>457</v>
      </c>
    </row>
    <row r="19" spans="2:2" x14ac:dyDescent="0.2">
      <c r="B19" s="13" t="s">
        <v>458</v>
      </c>
    </row>
    <row r="20" spans="2:2" x14ac:dyDescent="0.2">
      <c r="B20" s="13" t="s">
        <v>459</v>
      </c>
    </row>
    <row r="21" spans="2:2" x14ac:dyDescent="0.2">
      <c r="B21" s="13" t="s">
        <v>460</v>
      </c>
    </row>
    <row r="22" spans="2:2" x14ac:dyDescent="0.2">
      <c r="B22" s="13" t="s">
        <v>461</v>
      </c>
    </row>
    <row r="23" spans="2:2" x14ac:dyDescent="0.2">
      <c r="B23" s="13" t="s">
        <v>462</v>
      </c>
    </row>
    <row r="24" spans="2:2" x14ac:dyDescent="0.2">
      <c r="B24" s="13" t="s">
        <v>463</v>
      </c>
    </row>
    <row r="25" spans="2:2" x14ac:dyDescent="0.2">
      <c r="B25" s="13" t="s">
        <v>464</v>
      </c>
    </row>
    <row r="26" spans="2:2" x14ac:dyDescent="0.2">
      <c r="B26" s="13" t="s">
        <v>465</v>
      </c>
    </row>
    <row r="27" spans="2:2" x14ac:dyDescent="0.2">
      <c r="B27" s="13" t="s">
        <v>466</v>
      </c>
    </row>
    <row r="28" spans="2:2" x14ac:dyDescent="0.2">
      <c r="B28" s="13" t="s">
        <v>467</v>
      </c>
    </row>
    <row r="29" spans="2:2" x14ac:dyDescent="0.2">
      <c r="B29" s="13" t="s">
        <v>468</v>
      </c>
    </row>
    <row r="30" spans="2:2" x14ac:dyDescent="0.2">
      <c r="B30" s="13" t="s">
        <v>469</v>
      </c>
    </row>
    <row r="31" spans="2:2" x14ac:dyDescent="0.2">
      <c r="B31" s="13" t="s">
        <v>470</v>
      </c>
    </row>
    <row r="32" spans="2:2" x14ac:dyDescent="0.2">
      <c r="B32" s="13" t="s">
        <v>471</v>
      </c>
    </row>
    <row r="33" spans="2:2" x14ac:dyDescent="0.2">
      <c r="B33" s="13" t="s">
        <v>472</v>
      </c>
    </row>
    <row r="34" spans="2:2" x14ac:dyDescent="0.2">
      <c r="B34" s="13" t="s">
        <v>473</v>
      </c>
    </row>
    <row r="35" spans="2:2" x14ac:dyDescent="0.2">
      <c r="B35" s="13" t="s">
        <v>474</v>
      </c>
    </row>
    <row r="36" spans="2:2" x14ac:dyDescent="0.2">
      <c r="B36" s="13" t="s">
        <v>475</v>
      </c>
    </row>
    <row r="37" spans="2:2" x14ac:dyDescent="0.2">
      <c r="B37" s="13" t="s">
        <v>476</v>
      </c>
    </row>
    <row r="38" spans="2:2" x14ac:dyDescent="0.2">
      <c r="B38" s="13" t="s">
        <v>477</v>
      </c>
    </row>
    <row r="39" spans="2:2" x14ac:dyDescent="0.2">
      <c r="B39" s="13" t="s">
        <v>478</v>
      </c>
    </row>
    <row r="40" spans="2:2" x14ac:dyDescent="0.2">
      <c r="B40" s="13" t="s">
        <v>479</v>
      </c>
    </row>
    <row r="41" spans="2:2" x14ac:dyDescent="0.2">
      <c r="B41" s="13" t="s">
        <v>480</v>
      </c>
    </row>
    <row r="42" spans="2:2" x14ac:dyDescent="0.2">
      <c r="B42" s="13" t="s">
        <v>481</v>
      </c>
    </row>
    <row r="43" spans="2:2" x14ac:dyDescent="0.2">
      <c r="B43" s="13" t="s">
        <v>482</v>
      </c>
    </row>
    <row r="44" spans="2:2" x14ac:dyDescent="0.2">
      <c r="B44" s="13" t="s">
        <v>483</v>
      </c>
    </row>
    <row r="45" spans="2:2" x14ac:dyDescent="0.2">
      <c r="B45" s="13" t="s">
        <v>484</v>
      </c>
    </row>
    <row r="46" spans="2:2" x14ac:dyDescent="0.2">
      <c r="B46" s="13" t="s">
        <v>485</v>
      </c>
    </row>
    <row r="47" spans="2:2" x14ac:dyDescent="0.2">
      <c r="B47" s="13" t="s">
        <v>486</v>
      </c>
    </row>
    <row r="48" spans="2:2" x14ac:dyDescent="0.2">
      <c r="B48" s="13" t="s">
        <v>487</v>
      </c>
    </row>
    <row r="49" spans="2:2" x14ac:dyDescent="0.2">
      <c r="B49" s="13" t="s">
        <v>488</v>
      </c>
    </row>
    <row r="50" spans="2:2" x14ac:dyDescent="0.2">
      <c r="B50" s="13" t="s">
        <v>489</v>
      </c>
    </row>
    <row r="51" spans="2:2" x14ac:dyDescent="0.2">
      <c r="B51" s="13" t="s">
        <v>490</v>
      </c>
    </row>
    <row r="52" spans="2:2" x14ac:dyDescent="0.2">
      <c r="B52" s="13" t="s">
        <v>491</v>
      </c>
    </row>
    <row r="53" spans="2:2" x14ac:dyDescent="0.2">
      <c r="B53" s="13" t="s">
        <v>492</v>
      </c>
    </row>
    <row r="54" spans="2:2" x14ac:dyDescent="0.2">
      <c r="B54" s="13" t="s">
        <v>493</v>
      </c>
    </row>
    <row r="55" spans="2:2" x14ac:dyDescent="0.2">
      <c r="B55" s="13" t="s">
        <v>494</v>
      </c>
    </row>
    <row r="56" spans="2:2" x14ac:dyDescent="0.2">
      <c r="B56" s="13" t="s">
        <v>495</v>
      </c>
    </row>
    <row r="57" spans="2:2" x14ac:dyDescent="0.2">
      <c r="B57" s="13" t="s">
        <v>496</v>
      </c>
    </row>
    <row r="58" spans="2:2" x14ac:dyDescent="0.2">
      <c r="B58" s="13" t="s">
        <v>497</v>
      </c>
    </row>
    <row r="59" spans="2:2" x14ac:dyDescent="0.2">
      <c r="B59" s="13" t="s">
        <v>498</v>
      </c>
    </row>
    <row r="60" spans="2:2" x14ac:dyDescent="0.2">
      <c r="B60" s="13" t="s">
        <v>499</v>
      </c>
    </row>
    <row r="61" spans="2:2" x14ac:dyDescent="0.2">
      <c r="B61" s="13" t="s">
        <v>500</v>
      </c>
    </row>
    <row r="62" spans="2:2" x14ac:dyDescent="0.2">
      <c r="B62" s="13" t="s">
        <v>501</v>
      </c>
    </row>
    <row r="63" spans="2:2" x14ac:dyDescent="0.2">
      <c r="B63" s="13" t="s">
        <v>502</v>
      </c>
    </row>
    <row r="64" spans="2:2" x14ac:dyDescent="0.2">
      <c r="B64" s="13" t="s">
        <v>503</v>
      </c>
    </row>
    <row r="65" spans="2:2" x14ac:dyDescent="0.2">
      <c r="B65" s="13" t="s">
        <v>504</v>
      </c>
    </row>
    <row r="66" spans="2:2" x14ac:dyDescent="0.2">
      <c r="B66" s="13" t="s">
        <v>505</v>
      </c>
    </row>
    <row r="67" spans="2:2" x14ac:dyDescent="0.2">
      <c r="B67" s="13" t="s">
        <v>506</v>
      </c>
    </row>
    <row r="68" spans="2:2" x14ac:dyDescent="0.2">
      <c r="B68" s="13" t="s">
        <v>507</v>
      </c>
    </row>
    <row r="69" spans="2:2" x14ac:dyDescent="0.2">
      <c r="B69" s="13" t="s">
        <v>508</v>
      </c>
    </row>
    <row r="70" spans="2:2" x14ac:dyDescent="0.2">
      <c r="B70" s="13" t="s">
        <v>509</v>
      </c>
    </row>
    <row r="71" spans="2:2" x14ac:dyDescent="0.2">
      <c r="B71" s="13" t="s">
        <v>510</v>
      </c>
    </row>
    <row r="72" spans="2:2" x14ac:dyDescent="0.2">
      <c r="B72" s="13" t="s">
        <v>511</v>
      </c>
    </row>
    <row r="73" spans="2:2" x14ac:dyDescent="0.2">
      <c r="B73" s="13" t="s">
        <v>512</v>
      </c>
    </row>
    <row r="74" spans="2:2" x14ac:dyDescent="0.2">
      <c r="B74" s="13" t="s">
        <v>513</v>
      </c>
    </row>
    <row r="75" spans="2:2" x14ac:dyDescent="0.2">
      <c r="B75" s="13" t="s">
        <v>514</v>
      </c>
    </row>
    <row r="76" spans="2:2" x14ac:dyDescent="0.2">
      <c r="B76" s="13" t="s">
        <v>515</v>
      </c>
    </row>
    <row r="77" spans="2:2" x14ac:dyDescent="0.2">
      <c r="B77" s="13" t="s">
        <v>516</v>
      </c>
    </row>
    <row r="78" spans="2:2" x14ac:dyDescent="0.2">
      <c r="B78" s="13" t="s">
        <v>517</v>
      </c>
    </row>
    <row r="79" spans="2:2" x14ac:dyDescent="0.2">
      <c r="B79" s="13" t="s">
        <v>518</v>
      </c>
    </row>
    <row r="80" spans="2:2" x14ac:dyDescent="0.2">
      <c r="B80" s="13" t="s">
        <v>519</v>
      </c>
    </row>
    <row r="81" spans="2:2" x14ac:dyDescent="0.2">
      <c r="B81" s="13" t="s">
        <v>520</v>
      </c>
    </row>
    <row r="82" spans="2:2" x14ac:dyDescent="0.2">
      <c r="B82" s="13" t="s">
        <v>521</v>
      </c>
    </row>
  </sheetData>
  <phoneticPr fontId="1"/>
  <hyperlinks>
    <hyperlink ref="B2" location="'産業大分類'!a1" display="産業大分類" xr:uid="{32345323-6E0F-4D79-BAB6-D4F833446D9D}"/>
    <hyperlink ref="B3" location="'産業中分類'!a1" display="産業中分類" xr:uid="{400DC975-D26E-4386-AFC0-2BADB6C11B92}"/>
    <hyperlink ref="B4" location="'産業小分類'!a1" display="産業小分類" xr:uid="{33A32F06-F864-4055-B6EE-1A615E26A68C}"/>
    <hyperlink ref="B5" location="'長野県'!a1" display="長野県" xr:uid="{B4156EE4-8B3E-49F1-8720-79BA2BAE5F79}"/>
    <hyperlink ref="B6" location="'長野市'!a1" display="長野市" xr:uid="{63BB6880-F79C-409E-855E-A579D435FE2F}"/>
    <hyperlink ref="B7" location="'松本市'!a1" display="松本市" xr:uid="{D447A304-4FB5-45F2-A415-3BAEA63F1906}"/>
    <hyperlink ref="B8" location="'上田市'!a1" display="上田市" xr:uid="{E33CE0EB-8026-4B1B-8A61-43F8DB917E9C}"/>
    <hyperlink ref="B9" location="'岡谷市'!a1" display="岡谷市" xr:uid="{28DD9D8A-64D3-49A5-8381-1B390191CCBC}"/>
    <hyperlink ref="B10" location="'飯田市'!a1" display="飯田市" xr:uid="{DD062D57-810B-4E1B-96A4-38D0976CCCD1}"/>
    <hyperlink ref="B11" location="'諏訪市'!a1" display="諏訪市" xr:uid="{069DFD37-E662-41DA-9FF4-FBB297B8169B}"/>
    <hyperlink ref="B12" location="'須坂市'!a1" display="須坂市" xr:uid="{B07266AD-92BE-4C40-972E-9C0AA3949440}"/>
    <hyperlink ref="B13" location="'小諸市'!a1" display="小諸市" xr:uid="{642A5C9F-786C-4ED8-8C3E-B8C953FDE248}"/>
    <hyperlink ref="B14" location="'伊那市'!a1" display="伊那市" xr:uid="{FFF33270-C6C1-4D5C-B54A-87E5452C0A70}"/>
    <hyperlink ref="B15" location="'駒ヶ根市'!a1" display="駒ヶ根市" xr:uid="{0B8A55E2-EA2E-4B61-9EFE-E1509F404E34}"/>
    <hyperlink ref="B16" location="'中野市'!a1" display="中野市" xr:uid="{29BF7FAC-B72F-42FA-BCB8-951C3AEA363A}"/>
    <hyperlink ref="B17" location="'大町市'!a1" display="大町市" xr:uid="{1C64C62C-3E6A-46C7-8739-1CD5BB24FE27}"/>
    <hyperlink ref="B18" location="'飯山市'!a1" display="飯山市" xr:uid="{78D9B5A4-9FBF-47E7-B48C-E06E76BB2C2F}"/>
    <hyperlink ref="B19" location="'茅野市'!a1" display="茅野市" xr:uid="{9152F398-7CEA-41E3-8048-6837E59515F9}"/>
    <hyperlink ref="B20" location="'塩尻市'!a1" display="塩尻市" xr:uid="{AE1FD9FC-73BC-43C4-9E0A-F96D6ECB0A1B}"/>
    <hyperlink ref="B21" location="'佐久市'!a1" display="佐久市" xr:uid="{E9E932E1-B256-4DEC-AA2C-8B008AC6A0C7}"/>
    <hyperlink ref="B22" location="'千曲市'!a1" display="千曲市" xr:uid="{09B052F7-F2CF-4508-B933-BE1B15F5D4B6}"/>
    <hyperlink ref="B23" location="'東御市'!a1" display="東御市" xr:uid="{2913B439-6249-4F4D-99B4-98802BFEB4D0}"/>
    <hyperlink ref="B24" location="'安曇野市'!a1" display="安曇野市" xr:uid="{83651D4E-474D-497D-A61A-383647020F27}"/>
    <hyperlink ref="B25" location="'南佐久郡小海町'!a1" display="南佐久郡小海町" xr:uid="{FEAE1250-0483-490D-8590-11C29E9216B9}"/>
    <hyperlink ref="B26" location="'南佐久郡川上村'!a1" display="南佐久郡川上村" xr:uid="{98438481-517A-45C6-9DE9-9D3F297BC73B}"/>
    <hyperlink ref="B27" location="'南佐久郡南牧村'!a1" display="南佐久郡南牧村" xr:uid="{7BCCF084-20EE-4E13-BAC1-20FC1190164C}"/>
    <hyperlink ref="B28" location="'南佐久郡南相木村'!a1" display="南佐久郡南相木村" xr:uid="{B9D02A8B-989B-4AEC-957F-57091B2AD9C3}"/>
    <hyperlink ref="B29" location="'南佐久郡北相木村'!a1" display="南佐久郡北相木村" xr:uid="{E01BEE45-2AA1-4311-97AA-5DDA48765D2F}"/>
    <hyperlink ref="B30" location="'南佐久郡佐久穂町'!a1" display="南佐久郡佐久穂町" xr:uid="{16D93B69-DB6E-4E9F-AAE6-C746278F4AFB}"/>
    <hyperlink ref="B31" location="'北佐久郡軽井沢町'!a1" display="北佐久郡軽井沢町" xr:uid="{E8119FA2-4C1D-4C9C-B909-A4F0DC04622D}"/>
    <hyperlink ref="B32" location="'北佐久郡御代田町'!a1" display="北佐久郡御代田町" xr:uid="{D2CEC92A-9D11-48DF-A2EA-96ABE3734952}"/>
    <hyperlink ref="B33" location="'北佐久郡立科町'!a1" display="北佐久郡立科町" xr:uid="{F920825B-1C98-4F74-A81A-DE361348C445}"/>
    <hyperlink ref="B34" location="'小県郡青木村'!a1" display="小県郡青木村" xr:uid="{80EA0DA3-94A3-4351-BCFE-180656133BF0}"/>
    <hyperlink ref="B35" location="'小県郡長和町'!a1" display="小県郡長和町" xr:uid="{EC73ECE5-4F20-49EB-AA83-B8F6F72B3473}"/>
    <hyperlink ref="B36" location="'諏訪郡下諏訪町'!a1" display="諏訪郡下諏訪町" xr:uid="{C1EB81FA-B10D-4ABB-BA7F-4A6E0D93E218}"/>
    <hyperlink ref="B37" location="'諏訪郡富士見町'!a1" display="諏訪郡富士見町" xr:uid="{3528EE89-BE96-4F27-A0F4-77BE510CCD64}"/>
    <hyperlink ref="B38" location="'諏訪郡原村'!a1" display="諏訪郡原村" xr:uid="{57A884FC-296E-4B58-9CBE-343897F7F5E4}"/>
    <hyperlink ref="B39" location="'上伊那郡辰野町'!a1" display="上伊那郡辰野町" xr:uid="{DC6235B2-24D1-480B-8583-9FF881195C15}"/>
    <hyperlink ref="B40" location="'上伊那郡箕輪町'!a1" display="上伊那郡箕輪町" xr:uid="{7EB93098-84B3-4E0D-A9FD-3C89E225CBF2}"/>
    <hyperlink ref="B41" location="'上伊那郡飯島町'!a1" display="上伊那郡飯島町" xr:uid="{EB0D9A28-D6D6-485B-AF12-C182CEF3F22A}"/>
    <hyperlink ref="B42" location="'上伊那郡南箕輪村'!a1" display="上伊那郡南箕輪村" xr:uid="{203232C5-6CD1-4E3E-83B0-75CE8FC5E3BB}"/>
    <hyperlink ref="B43" location="'上伊那郡中川村'!a1" display="上伊那郡中川村" xr:uid="{AB6F56A3-17DF-4FB6-8EDE-01D685A0D279}"/>
    <hyperlink ref="B44" location="'上伊那郡宮田村'!a1" display="上伊那郡宮田村" xr:uid="{1604874D-F0F5-4159-BEEA-96108FC64A66}"/>
    <hyperlink ref="B45" location="'下伊那郡松川町'!a1" display="下伊那郡松川町" xr:uid="{248467C7-A999-44EF-B0E6-5CF0FCBBCE4E}"/>
    <hyperlink ref="B46" location="'下伊那郡高森町'!a1" display="下伊那郡高森町" xr:uid="{8E968726-8A10-48A4-8032-241AA25D0A83}"/>
    <hyperlink ref="B47" location="'下伊那郡阿南町'!a1" display="下伊那郡阿南町" xr:uid="{FD20EF02-84F6-4A4F-ACCE-FECA11D7E3CB}"/>
    <hyperlink ref="B48" location="'下伊那郡阿智村'!a1" display="下伊那郡阿智村" xr:uid="{6F025D57-6F52-4B22-B824-B4E21EDC7F67}"/>
    <hyperlink ref="B49" location="'下伊那郡平谷村'!a1" display="下伊那郡平谷村" xr:uid="{818C7CD5-DABC-462E-BBB1-24597294E3BD}"/>
    <hyperlink ref="B50" location="'下伊那郡根羽村'!a1" display="下伊那郡根羽村" xr:uid="{C9EDD2ED-49FC-4DD4-88D5-12BBDC04E340}"/>
    <hyperlink ref="B51" location="'下伊那郡下條村'!a1" display="下伊那郡下條村" xr:uid="{43DC4BD9-B17E-4FFF-9219-25DA29683976}"/>
    <hyperlink ref="B52" location="'下伊那郡売木村'!a1" display="下伊那郡売木村" xr:uid="{FE7FB092-F21D-47C2-BF20-672E4A1302A2}"/>
    <hyperlink ref="B53" location="'下伊那郡天龍村'!a1" display="下伊那郡天龍村" xr:uid="{D4448BF8-69DB-429D-B27D-78F59E717D6A}"/>
    <hyperlink ref="B54" location="'下伊那郡泰阜村'!a1" display="下伊那郡泰阜村" xr:uid="{DE782CC4-38D1-4716-A861-7D8ABE6A7BCD}"/>
    <hyperlink ref="B55" location="'下伊那郡喬木村'!a1" display="下伊那郡喬木村" xr:uid="{94AAD570-380C-48DE-B4E6-64E777B81B1C}"/>
    <hyperlink ref="B56" location="'下伊那郡豊丘村'!a1" display="下伊那郡豊丘村" xr:uid="{0DEC9926-097C-4C69-96AB-AD51402DDF06}"/>
    <hyperlink ref="B57" location="'下伊那郡大鹿村'!a1" display="下伊那郡大鹿村" xr:uid="{76755D0D-60FE-41DD-828E-0AA886770A0B}"/>
    <hyperlink ref="B58" location="'木曽郡上松町'!a1" display="木曽郡上松町" xr:uid="{CAF898BD-E759-4D9B-B997-681E45FB9461}"/>
    <hyperlink ref="B59" location="'木曽郡南木曽町'!a1" display="木曽郡南木曽町" xr:uid="{1883DEB5-91E3-4DBB-AE74-77758C3F3BD4}"/>
    <hyperlink ref="B60" location="'木曽郡木祖村'!a1" display="木曽郡木祖村" xr:uid="{0B811BCD-089B-4899-A9C6-8E612ACF73B9}"/>
    <hyperlink ref="B61" location="'木曽郡王滝村'!a1" display="木曽郡王滝村" xr:uid="{3F5C04F9-2E88-448A-ACCE-592879D14F86}"/>
    <hyperlink ref="B62" location="'木曽郡大桑村'!a1" display="木曽郡大桑村" xr:uid="{AC2218D3-7F00-4CC5-9007-AD20E3511B37}"/>
    <hyperlink ref="B63" location="'木曽郡木曽町'!a1" display="木曽郡木曽町" xr:uid="{5B84E29B-7FF1-42C2-BAC4-E3755AB8BA61}"/>
    <hyperlink ref="B64" location="'東筑摩郡麻績村'!a1" display="東筑摩郡麻績村" xr:uid="{C7A2B99D-0161-4E02-9F99-08E8B00A5A3B}"/>
    <hyperlink ref="B65" location="'東筑摩郡生坂村'!a1" display="東筑摩郡生坂村" xr:uid="{2EA3F0C8-03A1-45CE-89D2-FC318F4B4E16}"/>
    <hyperlink ref="B66" location="'東筑摩郡山形村'!a1" display="東筑摩郡山形村" xr:uid="{ABAFEA06-AF3E-4CFB-960C-8C854F64C6A2}"/>
    <hyperlink ref="B67" location="'東筑摩郡朝日村'!a1" display="東筑摩郡朝日村" xr:uid="{1139157D-4E86-4CEC-AA4C-6C0B5C03CF87}"/>
    <hyperlink ref="B68" location="'東筑摩郡筑北村'!a1" display="東筑摩郡筑北村" xr:uid="{B2DFE478-E752-4764-B210-935CBD729BD6}"/>
    <hyperlink ref="B69" location="'北安曇郡池田町'!a1" display="北安曇郡池田町" xr:uid="{6E40A203-5806-4713-8203-22D57B77F6EF}"/>
    <hyperlink ref="B70" location="'北安曇郡松川村'!a1" display="北安曇郡松川村" xr:uid="{BAB3262A-5CB8-409B-A0E1-38695F9ACDF3}"/>
    <hyperlink ref="B71" location="'北安曇郡白馬村'!a1" display="北安曇郡白馬村" xr:uid="{1C0E5349-C017-4E65-9109-A3875A827101}"/>
    <hyperlink ref="B72" location="'北安曇郡小谷村'!a1" display="北安曇郡小谷村" xr:uid="{404CF549-97D3-42B1-B131-43134731B101}"/>
    <hyperlink ref="B73" location="'埴科郡坂城町'!a1" display="埴科郡坂城町" xr:uid="{888DEEB4-1F1F-4D8D-8B7D-BBD02D0AC8ED}"/>
    <hyperlink ref="B74" location="'上高井郡小布施町'!a1" display="上高井郡小布施町" xr:uid="{BA388032-1265-40B9-961F-60FE1965F229}"/>
    <hyperlink ref="B75" location="'上高井郡高山村'!a1" display="上高井郡高山村" xr:uid="{DDA6D875-6516-49BF-B157-BDC3E6818D09}"/>
    <hyperlink ref="B76" location="'下高井郡山ノ内町'!a1" display="下高井郡山ノ内町" xr:uid="{5C68B05A-5BD3-4334-868C-6399BF38958F}"/>
    <hyperlink ref="B77" location="'下高井郡木島平村'!a1" display="下高井郡木島平村" xr:uid="{939AD173-BBCF-4FED-98A2-C548EBA60574}"/>
    <hyperlink ref="B78" location="'下高井郡野沢温泉村'!a1" display="下高井郡野沢温泉村" xr:uid="{8D347583-C4A9-46E6-A1CC-69C832EB1499}"/>
    <hyperlink ref="B79" location="'上水内郡信濃町'!a1" display="上水内郡信濃町" xr:uid="{3D43A237-676B-4728-8193-2FE5BA548C53}"/>
    <hyperlink ref="B80" location="'上水内郡小川村'!a1" display="上水内郡小川村" xr:uid="{67F8F609-FB4C-4B27-8B2D-9EF5F525E087}"/>
    <hyperlink ref="B81" location="'上水内郡飯綱町'!a1" display="上水内郡飯綱町" xr:uid="{80172A52-72F8-4F1F-B78E-832481CBDC1D}"/>
    <hyperlink ref="B82" location="'下水内郡栄村'!a1" display="下水内郡栄村" xr:uid="{F1D28D2A-E78A-4A87-B287-AE54DD3F209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65321-CB3A-455B-A3AB-EF9B89A70DD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371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2</v>
      </c>
      <c r="D5" s="8">
        <v>0.06</v>
      </c>
      <c r="E5" s="12">
        <v>0</v>
      </c>
      <c r="F5" s="8">
        <v>0</v>
      </c>
      <c r="G5" s="12">
        <v>2</v>
      </c>
      <c r="H5" s="8">
        <v>0.13</v>
      </c>
      <c r="I5" s="12">
        <v>0</v>
      </c>
    </row>
    <row r="6" spans="2:9" ht="15" customHeight="1" x14ac:dyDescent="0.2">
      <c r="B6" t="s">
        <v>79</v>
      </c>
      <c r="C6" s="12">
        <v>438</v>
      </c>
      <c r="D6" s="8">
        <v>12.27</v>
      </c>
      <c r="E6" s="12">
        <v>171</v>
      </c>
      <c r="F6" s="8">
        <v>8.52</v>
      </c>
      <c r="G6" s="12">
        <v>267</v>
      </c>
      <c r="H6" s="8">
        <v>17.91</v>
      </c>
      <c r="I6" s="12">
        <v>0</v>
      </c>
    </row>
    <row r="7" spans="2:9" ht="15" customHeight="1" x14ac:dyDescent="0.2">
      <c r="B7" t="s">
        <v>80</v>
      </c>
      <c r="C7" s="12">
        <v>347</v>
      </c>
      <c r="D7" s="8">
        <v>9.7200000000000006</v>
      </c>
      <c r="E7" s="12">
        <v>124</v>
      </c>
      <c r="F7" s="8">
        <v>6.18</v>
      </c>
      <c r="G7" s="12">
        <v>223</v>
      </c>
      <c r="H7" s="8">
        <v>14.96</v>
      </c>
      <c r="I7" s="12">
        <v>0</v>
      </c>
    </row>
    <row r="8" spans="2:9" ht="15" customHeight="1" x14ac:dyDescent="0.2">
      <c r="B8" t="s">
        <v>81</v>
      </c>
      <c r="C8" s="12">
        <v>14</v>
      </c>
      <c r="D8" s="8">
        <v>0.39</v>
      </c>
      <c r="E8" s="12">
        <v>1</v>
      </c>
      <c r="F8" s="8">
        <v>0.05</v>
      </c>
      <c r="G8" s="12">
        <v>13</v>
      </c>
      <c r="H8" s="8">
        <v>0.87</v>
      </c>
      <c r="I8" s="12">
        <v>0</v>
      </c>
    </row>
    <row r="9" spans="2:9" ht="15" customHeight="1" x14ac:dyDescent="0.2">
      <c r="B9" t="s">
        <v>82</v>
      </c>
      <c r="C9" s="12">
        <v>31</v>
      </c>
      <c r="D9" s="8">
        <v>0.87</v>
      </c>
      <c r="E9" s="12">
        <v>3</v>
      </c>
      <c r="F9" s="8">
        <v>0.15</v>
      </c>
      <c r="G9" s="12">
        <v>26</v>
      </c>
      <c r="H9" s="8">
        <v>1.74</v>
      </c>
      <c r="I9" s="12">
        <v>0</v>
      </c>
    </row>
    <row r="10" spans="2:9" ht="15" customHeight="1" x14ac:dyDescent="0.2">
      <c r="B10" t="s">
        <v>83</v>
      </c>
      <c r="C10" s="12">
        <v>27</v>
      </c>
      <c r="D10" s="8">
        <v>0.76</v>
      </c>
      <c r="E10" s="12">
        <v>10</v>
      </c>
      <c r="F10" s="8">
        <v>0.5</v>
      </c>
      <c r="G10" s="12">
        <v>16</v>
      </c>
      <c r="H10" s="8">
        <v>1.07</v>
      </c>
      <c r="I10" s="12">
        <v>1</v>
      </c>
    </row>
    <row r="11" spans="2:9" ht="15" customHeight="1" x14ac:dyDescent="0.2">
      <c r="B11" t="s">
        <v>84</v>
      </c>
      <c r="C11" s="12">
        <v>714</v>
      </c>
      <c r="D11" s="8">
        <v>20.010000000000002</v>
      </c>
      <c r="E11" s="12">
        <v>336</v>
      </c>
      <c r="F11" s="8">
        <v>16.73</v>
      </c>
      <c r="G11" s="12">
        <v>377</v>
      </c>
      <c r="H11" s="8">
        <v>25.29</v>
      </c>
      <c r="I11" s="12">
        <v>1</v>
      </c>
    </row>
    <row r="12" spans="2:9" ht="15" customHeight="1" x14ac:dyDescent="0.2">
      <c r="B12" t="s">
        <v>85</v>
      </c>
      <c r="C12" s="12">
        <v>31</v>
      </c>
      <c r="D12" s="8">
        <v>0.87</v>
      </c>
      <c r="E12" s="12">
        <v>6</v>
      </c>
      <c r="F12" s="8">
        <v>0.3</v>
      </c>
      <c r="G12" s="12">
        <v>25</v>
      </c>
      <c r="H12" s="8">
        <v>1.68</v>
      </c>
      <c r="I12" s="12">
        <v>0</v>
      </c>
    </row>
    <row r="13" spans="2:9" ht="15" customHeight="1" x14ac:dyDescent="0.2">
      <c r="B13" t="s">
        <v>86</v>
      </c>
      <c r="C13" s="12">
        <v>427</v>
      </c>
      <c r="D13" s="8">
        <v>11.96</v>
      </c>
      <c r="E13" s="12">
        <v>280</v>
      </c>
      <c r="F13" s="8">
        <v>13.94</v>
      </c>
      <c r="G13" s="12">
        <v>146</v>
      </c>
      <c r="H13" s="8">
        <v>9.7899999999999991</v>
      </c>
      <c r="I13" s="12">
        <v>0</v>
      </c>
    </row>
    <row r="14" spans="2:9" ht="15" customHeight="1" x14ac:dyDescent="0.2">
      <c r="B14" t="s">
        <v>87</v>
      </c>
      <c r="C14" s="12">
        <v>186</v>
      </c>
      <c r="D14" s="8">
        <v>5.21</v>
      </c>
      <c r="E14" s="12">
        <v>96</v>
      </c>
      <c r="F14" s="8">
        <v>4.78</v>
      </c>
      <c r="G14" s="12">
        <v>83</v>
      </c>
      <c r="H14" s="8">
        <v>5.57</v>
      </c>
      <c r="I14" s="12">
        <v>1</v>
      </c>
    </row>
    <row r="15" spans="2:9" ht="15" customHeight="1" x14ac:dyDescent="0.2">
      <c r="B15" t="s">
        <v>88</v>
      </c>
      <c r="C15" s="12">
        <v>525</v>
      </c>
      <c r="D15" s="8">
        <v>14.71</v>
      </c>
      <c r="E15" s="12">
        <v>407</v>
      </c>
      <c r="F15" s="8">
        <v>20.27</v>
      </c>
      <c r="G15" s="12">
        <v>115</v>
      </c>
      <c r="H15" s="8">
        <v>7.71</v>
      </c>
      <c r="I15" s="12">
        <v>0</v>
      </c>
    </row>
    <row r="16" spans="2:9" ht="15" customHeight="1" x14ac:dyDescent="0.2">
      <c r="B16" t="s">
        <v>89</v>
      </c>
      <c r="C16" s="12">
        <v>415</v>
      </c>
      <c r="D16" s="8">
        <v>11.63</v>
      </c>
      <c r="E16" s="12">
        <v>347</v>
      </c>
      <c r="F16" s="8">
        <v>17.28</v>
      </c>
      <c r="G16" s="12">
        <v>66</v>
      </c>
      <c r="H16" s="8">
        <v>4.43</v>
      </c>
      <c r="I16" s="12">
        <v>0</v>
      </c>
    </row>
    <row r="17" spans="2:9" ht="15" customHeight="1" x14ac:dyDescent="0.2">
      <c r="B17" t="s">
        <v>90</v>
      </c>
      <c r="C17" s="12">
        <v>115</v>
      </c>
      <c r="D17" s="8">
        <v>3.22</v>
      </c>
      <c r="E17" s="12">
        <v>66</v>
      </c>
      <c r="F17" s="8">
        <v>3.29</v>
      </c>
      <c r="G17" s="12">
        <v>23</v>
      </c>
      <c r="H17" s="8">
        <v>1.54</v>
      </c>
      <c r="I17" s="12">
        <v>1</v>
      </c>
    </row>
    <row r="18" spans="2:9" ht="15" customHeight="1" x14ac:dyDescent="0.2">
      <c r="B18" t="s">
        <v>91</v>
      </c>
      <c r="C18" s="12">
        <v>177</v>
      </c>
      <c r="D18" s="8">
        <v>4.96</v>
      </c>
      <c r="E18" s="12">
        <v>110</v>
      </c>
      <c r="F18" s="8">
        <v>5.48</v>
      </c>
      <c r="G18" s="12">
        <v>46</v>
      </c>
      <c r="H18" s="8">
        <v>3.09</v>
      </c>
      <c r="I18" s="12">
        <v>0</v>
      </c>
    </row>
    <row r="19" spans="2:9" ht="15" customHeight="1" x14ac:dyDescent="0.2">
      <c r="B19" t="s">
        <v>92</v>
      </c>
      <c r="C19" s="12">
        <v>120</v>
      </c>
      <c r="D19" s="8">
        <v>3.36</v>
      </c>
      <c r="E19" s="12">
        <v>51</v>
      </c>
      <c r="F19" s="8">
        <v>2.54</v>
      </c>
      <c r="G19" s="12">
        <v>63</v>
      </c>
      <c r="H19" s="8">
        <v>4.2300000000000004</v>
      </c>
      <c r="I19" s="12">
        <v>4</v>
      </c>
    </row>
    <row r="20" spans="2:9" ht="15" customHeight="1" x14ac:dyDescent="0.2">
      <c r="B20" s="9" t="s">
        <v>363</v>
      </c>
      <c r="C20" s="12">
        <f>SUM(LTBL_20205[総数／事業所数])</f>
        <v>3569</v>
      </c>
      <c r="E20" s="12">
        <f>SUBTOTAL(109,LTBL_20205[個人／事業所数])</f>
        <v>2008</v>
      </c>
      <c r="G20" s="12">
        <f>SUBTOTAL(109,LTBL_20205[法人／事業所数])</f>
        <v>1491</v>
      </c>
      <c r="I20" s="12">
        <f>SUBTOTAL(109,LTBL_20205[法人以外の団体／事業所数])</f>
        <v>8</v>
      </c>
    </row>
    <row r="21" spans="2:9" ht="15" customHeight="1" x14ac:dyDescent="0.2">
      <c r="E21" s="11">
        <f>LTBL_20205[[#Totals],[個人／事業所数]]/LTBL_20205[[#Totals],[総数／事業所数]]</f>
        <v>0.56262258335668258</v>
      </c>
      <c r="G21" s="11">
        <f>LTBL_20205[[#Totals],[法人／事業所数]]/LTBL_20205[[#Totals],[総数／事業所数]]</f>
        <v>0.41776407957411038</v>
      </c>
      <c r="I21" s="11">
        <f>LTBL_20205[[#Totals],[法人以外の団体／事業所数]]/LTBL_20205[[#Totals],[総数／事業所数]]</f>
        <v>2.2415242364808071E-3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472</v>
      </c>
      <c r="D24" s="8">
        <v>13.22</v>
      </c>
      <c r="E24" s="12">
        <v>385</v>
      </c>
      <c r="F24" s="8">
        <v>19.170000000000002</v>
      </c>
      <c r="G24" s="12">
        <v>87</v>
      </c>
      <c r="H24" s="8">
        <v>5.84</v>
      </c>
      <c r="I24" s="12">
        <v>0</v>
      </c>
    </row>
    <row r="25" spans="2:9" ht="15" customHeight="1" x14ac:dyDescent="0.2">
      <c r="B25" t="s">
        <v>111</v>
      </c>
      <c r="C25" s="12">
        <v>384</v>
      </c>
      <c r="D25" s="8">
        <v>10.76</v>
      </c>
      <c r="E25" s="12">
        <v>272</v>
      </c>
      <c r="F25" s="8">
        <v>13.55</v>
      </c>
      <c r="G25" s="12">
        <v>111</v>
      </c>
      <c r="H25" s="8">
        <v>7.44</v>
      </c>
      <c r="I25" s="12">
        <v>0</v>
      </c>
    </row>
    <row r="26" spans="2:9" ht="15" customHeight="1" x14ac:dyDescent="0.2">
      <c r="B26" t="s">
        <v>116</v>
      </c>
      <c r="C26" s="12">
        <v>359</v>
      </c>
      <c r="D26" s="8">
        <v>10.06</v>
      </c>
      <c r="E26" s="12">
        <v>320</v>
      </c>
      <c r="F26" s="8">
        <v>15.94</v>
      </c>
      <c r="G26" s="12">
        <v>39</v>
      </c>
      <c r="H26" s="8">
        <v>2.62</v>
      </c>
      <c r="I26" s="12">
        <v>0</v>
      </c>
    </row>
    <row r="27" spans="2:9" ht="15" customHeight="1" x14ac:dyDescent="0.2">
      <c r="B27" t="s">
        <v>110</v>
      </c>
      <c r="C27" s="12">
        <v>239</v>
      </c>
      <c r="D27" s="8">
        <v>6.7</v>
      </c>
      <c r="E27" s="12">
        <v>124</v>
      </c>
      <c r="F27" s="8">
        <v>6.18</v>
      </c>
      <c r="G27" s="12">
        <v>115</v>
      </c>
      <c r="H27" s="8">
        <v>7.71</v>
      </c>
      <c r="I27" s="12">
        <v>0</v>
      </c>
    </row>
    <row r="28" spans="2:9" ht="15" customHeight="1" x14ac:dyDescent="0.2">
      <c r="B28" t="s">
        <v>101</v>
      </c>
      <c r="C28" s="12">
        <v>183</v>
      </c>
      <c r="D28" s="8">
        <v>5.13</v>
      </c>
      <c r="E28" s="12">
        <v>54</v>
      </c>
      <c r="F28" s="8">
        <v>2.69</v>
      </c>
      <c r="G28" s="12">
        <v>129</v>
      </c>
      <c r="H28" s="8">
        <v>8.65</v>
      </c>
      <c r="I28" s="12">
        <v>0</v>
      </c>
    </row>
    <row r="29" spans="2:9" ht="15" customHeight="1" x14ac:dyDescent="0.2">
      <c r="B29" t="s">
        <v>102</v>
      </c>
      <c r="C29" s="12">
        <v>155</v>
      </c>
      <c r="D29" s="8">
        <v>4.34</v>
      </c>
      <c r="E29" s="12">
        <v>91</v>
      </c>
      <c r="F29" s="8">
        <v>4.53</v>
      </c>
      <c r="G29" s="12">
        <v>64</v>
      </c>
      <c r="H29" s="8">
        <v>4.29</v>
      </c>
      <c r="I29" s="12">
        <v>0</v>
      </c>
    </row>
    <row r="30" spans="2:9" ht="15" customHeight="1" x14ac:dyDescent="0.2">
      <c r="B30" t="s">
        <v>108</v>
      </c>
      <c r="C30" s="12">
        <v>125</v>
      </c>
      <c r="D30" s="8">
        <v>3.5</v>
      </c>
      <c r="E30" s="12">
        <v>77</v>
      </c>
      <c r="F30" s="8">
        <v>3.83</v>
      </c>
      <c r="G30" s="12">
        <v>47</v>
      </c>
      <c r="H30" s="8">
        <v>3.15</v>
      </c>
      <c r="I30" s="12">
        <v>1</v>
      </c>
    </row>
    <row r="31" spans="2:9" ht="15" customHeight="1" x14ac:dyDescent="0.2">
      <c r="B31" t="s">
        <v>118</v>
      </c>
      <c r="C31" s="12">
        <v>117</v>
      </c>
      <c r="D31" s="8">
        <v>3.28</v>
      </c>
      <c r="E31" s="12">
        <v>109</v>
      </c>
      <c r="F31" s="8">
        <v>5.43</v>
      </c>
      <c r="G31" s="12">
        <v>8</v>
      </c>
      <c r="H31" s="8">
        <v>0.54</v>
      </c>
      <c r="I31" s="12">
        <v>0</v>
      </c>
    </row>
    <row r="32" spans="2:9" ht="15" customHeight="1" x14ac:dyDescent="0.2">
      <c r="B32" t="s">
        <v>117</v>
      </c>
      <c r="C32" s="12">
        <v>115</v>
      </c>
      <c r="D32" s="8">
        <v>3.22</v>
      </c>
      <c r="E32" s="12">
        <v>66</v>
      </c>
      <c r="F32" s="8">
        <v>3.29</v>
      </c>
      <c r="G32" s="12">
        <v>23</v>
      </c>
      <c r="H32" s="8">
        <v>1.54</v>
      </c>
      <c r="I32" s="12">
        <v>1</v>
      </c>
    </row>
    <row r="33" spans="2:9" ht="15" customHeight="1" x14ac:dyDescent="0.2">
      <c r="B33" t="s">
        <v>107</v>
      </c>
      <c r="C33" s="12">
        <v>109</v>
      </c>
      <c r="D33" s="8">
        <v>3.05</v>
      </c>
      <c r="E33" s="12">
        <v>56</v>
      </c>
      <c r="F33" s="8">
        <v>2.79</v>
      </c>
      <c r="G33" s="12">
        <v>53</v>
      </c>
      <c r="H33" s="8">
        <v>3.55</v>
      </c>
      <c r="I33" s="12">
        <v>0</v>
      </c>
    </row>
    <row r="34" spans="2:9" ht="15" customHeight="1" x14ac:dyDescent="0.2">
      <c r="B34" t="s">
        <v>103</v>
      </c>
      <c r="C34" s="12">
        <v>100</v>
      </c>
      <c r="D34" s="8">
        <v>2.8</v>
      </c>
      <c r="E34" s="12">
        <v>26</v>
      </c>
      <c r="F34" s="8">
        <v>1.29</v>
      </c>
      <c r="G34" s="12">
        <v>74</v>
      </c>
      <c r="H34" s="8">
        <v>4.96</v>
      </c>
      <c r="I34" s="12">
        <v>0</v>
      </c>
    </row>
    <row r="35" spans="2:9" ht="15" customHeight="1" x14ac:dyDescent="0.2">
      <c r="B35" t="s">
        <v>109</v>
      </c>
      <c r="C35" s="12">
        <v>93</v>
      </c>
      <c r="D35" s="8">
        <v>2.61</v>
      </c>
      <c r="E35" s="12">
        <v>45</v>
      </c>
      <c r="F35" s="8">
        <v>2.2400000000000002</v>
      </c>
      <c r="G35" s="12">
        <v>48</v>
      </c>
      <c r="H35" s="8">
        <v>3.22</v>
      </c>
      <c r="I35" s="12">
        <v>0</v>
      </c>
    </row>
    <row r="36" spans="2:9" ht="15" customHeight="1" x14ac:dyDescent="0.2">
      <c r="B36" t="s">
        <v>112</v>
      </c>
      <c r="C36" s="12">
        <v>93</v>
      </c>
      <c r="D36" s="8">
        <v>2.61</v>
      </c>
      <c r="E36" s="12">
        <v>65</v>
      </c>
      <c r="F36" s="8">
        <v>3.24</v>
      </c>
      <c r="G36" s="12">
        <v>28</v>
      </c>
      <c r="H36" s="8">
        <v>1.88</v>
      </c>
      <c r="I36" s="12">
        <v>0</v>
      </c>
    </row>
    <row r="37" spans="2:9" ht="15" customHeight="1" x14ac:dyDescent="0.2">
      <c r="B37" t="s">
        <v>113</v>
      </c>
      <c r="C37" s="12">
        <v>86</v>
      </c>
      <c r="D37" s="8">
        <v>2.41</v>
      </c>
      <c r="E37" s="12">
        <v>31</v>
      </c>
      <c r="F37" s="8">
        <v>1.54</v>
      </c>
      <c r="G37" s="12">
        <v>48</v>
      </c>
      <c r="H37" s="8">
        <v>3.22</v>
      </c>
      <c r="I37" s="12">
        <v>1</v>
      </c>
    </row>
    <row r="38" spans="2:9" ht="15" customHeight="1" x14ac:dyDescent="0.2">
      <c r="B38" t="s">
        <v>119</v>
      </c>
      <c r="C38" s="12">
        <v>60</v>
      </c>
      <c r="D38" s="8">
        <v>1.68</v>
      </c>
      <c r="E38" s="12">
        <v>1</v>
      </c>
      <c r="F38" s="8">
        <v>0.05</v>
      </c>
      <c r="G38" s="12">
        <v>38</v>
      </c>
      <c r="H38" s="8">
        <v>2.5499999999999998</v>
      </c>
      <c r="I38" s="12">
        <v>0</v>
      </c>
    </row>
    <row r="39" spans="2:9" ht="15" customHeight="1" x14ac:dyDescent="0.2">
      <c r="B39" t="s">
        <v>120</v>
      </c>
      <c r="C39" s="12">
        <v>48</v>
      </c>
      <c r="D39" s="8">
        <v>1.34</v>
      </c>
      <c r="E39" s="12">
        <v>32</v>
      </c>
      <c r="F39" s="8">
        <v>1.59</v>
      </c>
      <c r="G39" s="12">
        <v>15</v>
      </c>
      <c r="H39" s="8">
        <v>1.01</v>
      </c>
      <c r="I39" s="12">
        <v>0</v>
      </c>
    </row>
    <row r="40" spans="2:9" ht="15" customHeight="1" x14ac:dyDescent="0.2">
      <c r="B40" t="s">
        <v>127</v>
      </c>
      <c r="C40" s="12">
        <v>39</v>
      </c>
      <c r="D40" s="8">
        <v>1.0900000000000001</v>
      </c>
      <c r="E40" s="12">
        <v>9</v>
      </c>
      <c r="F40" s="8">
        <v>0.45</v>
      </c>
      <c r="G40" s="12">
        <v>30</v>
      </c>
      <c r="H40" s="8">
        <v>2.0099999999999998</v>
      </c>
      <c r="I40" s="12">
        <v>0</v>
      </c>
    </row>
    <row r="41" spans="2:9" ht="15" customHeight="1" x14ac:dyDescent="0.2">
      <c r="B41" t="s">
        <v>105</v>
      </c>
      <c r="C41" s="12">
        <v>38</v>
      </c>
      <c r="D41" s="8">
        <v>1.06</v>
      </c>
      <c r="E41" s="12">
        <v>10</v>
      </c>
      <c r="F41" s="8">
        <v>0.5</v>
      </c>
      <c r="G41" s="12">
        <v>28</v>
      </c>
      <c r="H41" s="8">
        <v>1.88</v>
      </c>
      <c r="I41" s="12">
        <v>0</v>
      </c>
    </row>
    <row r="42" spans="2:9" ht="15" customHeight="1" x14ac:dyDescent="0.2">
      <c r="B42" t="s">
        <v>128</v>
      </c>
      <c r="C42" s="12">
        <v>34</v>
      </c>
      <c r="D42" s="8">
        <v>0.95</v>
      </c>
      <c r="E42" s="12">
        <v>8</v>
      </c>
      <c r="F42" s="8">
        <v>0.4</v>
      </c>
      <c r="G42" s="12">
        <v>26</v>
      </c>
      <c r="H42" s="8">
        <v>1.74</v>
      </c>
      <c r="I42" s="12">
        <v>0</v>
      </c>
    </row>
    <row r="43" spans="2:9" ht="15" customHeight="1" x14ac:dyDescent="0.2">
      <c r="B43" t="s">
        <v>106</v>
      </c>
      <c r="C43" s="12">
        <v>34</v>
      </c>
      <c r="D43" s="8">
        <v>0.95</v>
      </c>
      <c r="E43" s="12">
        <v>6</v>
      </c>
      <c r="F43" s="8">
        <v>0.3</v>
      </c>
      <c r="G43" s="12">
        <v>28</v>
      </c>
      <c r="H43" s="8">
        <v>1.88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183</v>
      </c>
      <c r="C47" s="12">
        <v>280</v>
      </c>
      <c r="D47" s="8">
        <v>7.85</v>
      </c>
      <c r="E47" s="12">
        <v>232</v>
      </c>
      <c r="F47" s="8">
        <v>11.55</v>
      </c>
      <c r="G47" s="12">
        <v>47</v>
      </c>
      <c r="H47" s="8">
        <v>3.15</v>
      </c>
      <c r="I47" s="12">
        <v>0</v>
      </c>
    </row>
    <row r="48" spans="2:9" ht="15" customHeight="1" x14ac:dyDescent="0.2">
      <c r="B48" t="s">
        <v>191</v>
      </c>
      <c r="C48" s="12">
        <v>205</v>
      </c>
      <c r="D48" s="8">
        <v>5.74</v>
      </c>
      <c r="E48" s="12">
        <v>191</v>
      </c>
      <c r="F48" s="8">
        <v>9.51</v>
      </c>
      <c r="G48" s="12">
        <v>14</v>
      </c>
      <c r="H48" s="8">
        <v>0.94</v>
      </c>
      <c r="I48" s="12">
        <v>0</v>
      </c>
    </row>
    <row r="49" spans="2:9" ht="15" customHeight="1" x14ac:dyDescent="0.2">
      <c r="B49" t="s">
        <v>187</v>
      </c>
      <c r="C49" s="12">
        <v>127</v>
      </c>
      <c r="D49" s="8">
        <v>3.56</v>
      </c>
      <c r="E49" s="12">
        <v>87</v>
      </c>
      <c r="F49" s="8">
        <v>4.33</v>
      </c>
      <c r="G49" s="12">
        <v>40</v>
      </c>
      <c r="H49" s="8">
        <v>2.68</v>
      </c>
      <c r="I49" s="12">
        <v>0</v>
      </c>
    </row>
    <row r="50" spans="2:9" ht="15" customHeight="1" x14ac:dyDescent="0.2">
      <c r="B50" t="s">
        <v>188</v>
      </c>
      <c r="C50" s="12">
        <v>120</v>
      </c>
      <c r="D50" s="8">
        <v>3.36</v>
      </c>
      <c r="E50" s="12">
        <v>103</v>
      </c>
      <c r="F50" s="8">
        <v>5.13</v>
      </c>
      <c r="G50" s="12">
        <v>17</v>
      </c>
      <c r="H50" s="8">
        <v>1.1399999999999999</v>
      </c>
      <c r="I50" s="12">
        <v>0</v>
      </c>
    </row>
    <row r="51" spans="2:9" ht="15" customHeight="1" x14ac:dyDescent="0.2">
      <c r="B51" t="s">
        <v>189</v>
      </c>
      <c r="C51" s="12">
        <v>100</v>
      </c>
      <c r="D51" s="8">
        <v>2.8</v>
      </c>
      <c r="E51" s="12">
        <v>96</v>
      </c>
      <c r="F51" s="8">
        <v>4.78</v>
      </c>
      <c r="G51" s="12">
        <v>4</v>
      </c>
      <c r="H51" s="8">
        <v>0.27</v>
      </c>
      <c r="I51" s="12">
        <v>0</v>
      </c>
    </row>
    <row r="52" spans="2:9" ht="15" customHeight="1" x14ac:dyDescent="0.2">
      <c r="B52" t="s">
        <v>190</v>
      </c>
      <c r="C52" s="12">
        <v>92</v>
      </c>
      <c r="D52" s="8">
        <v>2.58</v>
      </c>
      <c r="E52" s="12">
        <v>87</v>
      </c>
      <c r="F52" s="8">
        <v>4.33</v>
      </c>
      <c r="G52" s="12">
        <v>5</v>
      </c>
      <c r="H52" s="8">
        <v>0.34</v>
      </c>
      <c r="I52" s="12">
        <v>0</v>
      </c>
    </row>
    <row r="53" spans="2:9" ht="15" customHeight="1" x14ac:dyDescent="0.2">
      <c r="B53" t="s">
        <v>193</v>
      </c>
      <c r="C53" s="12">
        <v>82</v>
      </c>
      <c r="D53" s="8">
        <v>2.2999999999999998</v>
      </c>
      <c r="E53" s="12">
        <v>78</v>
      </c>
      <c r="F53" s="8">
        <v>3.88</v>
      </c>
      <c r="G53" s="12">
        <v>4</v>
      </c>
      <c r="H53" s="8">
        <v>0.27</v>
      </c>
      <c r="I53" s="12">
        <v>0</v>
      </c>
    </row>
    <row r="54" spans="2:9" ht="15" customHeight="1" x14ac:dyDescent="0.2">
      <c r="B54" t="s">
        <v>181</v>
      </c>
      <c r="C54" s="12">
        <v>74</v>
      </c>
      <c r="D54" s="8">
        <v>2.0699999999999998</v>
      </c>
      <c r="E54" s="12">
        <v>50</v>
      </c>
      <c r="F54" s="8">
        <v>2.4900000000000002</v>
      </c>
      <c r="G54" s="12">
        <v>24</v>
      </c>
      <c r="H54" s="8">
        <v>1.61</v>
      </c>
      <c r="I54" s="12">
        <v>0</v>
      </c>
    </row>
    <row r="55" spans="2:9" ht="15" customHeight="1" x14ac:dyDescent="0.2">
      <c r="B55" t="s">
        <v>194</v>
      </c>
      <c r="C55" s="12">
        <v>61</v>
      </c>
      <c r="D55" s="8">
        <v>1.71</v>
      </c>
      <c r="E55" s="12">
        <v>32</v>
      </c>
      <c r="F55" s="8">
        <v>1.59</v>
      </c>
      <c r="G55" s="12">
        <v>29</v>
      </c>
      <c r="H55" s="8">
        <v>1.95</v>
      </c>
      <c r="I55" s="12">
        <v>0</v>
      </c>
    </row>
    <row r="56" spans="2:9" ht="15" customHeight="1" x14ac:dyDescent="0.2">
      <c r="B56" t="s">
        <v>174</v>
      </c>
      <c r="C56" s="12">
        <v>60</v>
      </c>
      <c r="D56" s="8">
        <v>1.68</v>
      </c>
      <c r="E56" s="12">
        <v>14</v>
      </c>
      <c r="F56" s="8">
        <v>0.7</v>
      </c>
      <c r="G56" s="12">
        <v>46</v>
      </c>
      <c r="H56" s="8">
        <v>3.09</v>
      </c>
      <c r="I56" s="12">
        <v>0</v>
      </c>
    </row>
    <row r="57" spans="2:9" ht="15" customHeight="1" x14ac:dyDescent="0.2">
      <c r="B57" t="s">
        <v>184</v>
      </c>
      <c r="C57" s="12">
        <v>60</v>
      </c>
      <c r="D57" s="8">
        <v>1.68</v>
      </c>
      <c r="E57" s="12">
        <v>20</v>
      </c>
      <c r="F57" s="8">
        <v>1</v>
      </c>
      <c r="G57" s="12">
        <v>34</v>
      </c>
      <c r="H57" s="8">
        <v>2.2799999999999998</v>
      </c>
      <c r="I57" s="12">
        <v>0</v>
      </c>
    </row>
    <row r="58" spans="2:9" ht="15" customHeight="1" x14ac:dyDescent="0.2">
      <c r="B58" t="s">
        <v>180</v>
      </c>
      <c r="C58" s="12">
        <v>59</v>
      </c>
      <c r="D58" s="8">
        <v>1.65</v>
      </c>
      <c r="E58" s="12">
        <v>25</v>
      </c>
      <c r="F58" s="8">
        <v>1.25</v>
      </c>
      <c r="G58" s="12">
        <v>34</v>
      </c>
      <c r="H58" s="8">
        <v>2.2799999999999998</v>
      </c>
      <c r="I58" s="12">
        <v>0</v>
      </c>
    </row>
    <row r="59" spans="2:9" ht="15" customHeight="1" x14ac:dyDescent="0.2">
      <c r="B59" t="s">
        <v>196</v>
      </c>
      <c r="C59" s="12">
        <v>52</v>
      </c>
      <c r="D59" s="8">
        <v>1.46</v>
      </c>
      <c r="E59" s="12">
        <v>29</v>
      </c>
      <c r="F59" s="8">
        <v>1.44</v>
      </c>
      <c r="G59" s="12">
        <v>23</v>
      </c>
      <c r="H59" s="8">
        <v>1.54</v>
      </c>
      <c r="I59" s="12">
        <v>0</v>
      </c>
    </row>
    <row r="60" spans="2:9" ht="15" customHeight="1" x14ac:dyDescent="0.2">
      <c r="B60" t="s">
        <v>192</v>
      </c>
      <c r="C60" s="12">
        <v>52</v>
      </c>
      <c r="D60" s="8">
        <v>1.46</v>
      </c>
      <c r="E60" s="12">
        <v>42</v>
      </c>
      <c r="F60" s="8">
        <v>2.09</v>
      </c>
      <c r="G60" s="12">
        <v>10</v>
      </c>
      <c r="H60" s="8">
        <v>0.67</v>
      </c>
      <c r="I60" s="12">
        <v>0</v>
      </c>
    </row>
    <row r="61" spans="2:9" ht="15" customHeight="1" x14ac:dyDescent="0.2">
      <c r="B61" t="s">
        <v>182</v>
      </c>
      <c r="C61" s="12">
        <v>50</v>
      </c>
      <c r="D61" s="8">
        <v>1.4</v>
      </c>
      <c r="E61" s="12">
        <v>7</v>
      </c>
      <c r="F61" s="8">
        <v>0.35</v>
      </c>
      <c r="G61" s="12">
        <v>43</v>
      </c>
      <c r="H61" s="8">
        <v>2.88</v>
      </c>
      <c r="I61" s="12">
        <v>0</v>
      </c>
    </row>
    <row r="62" spans="2:9" ht="15" customHeight="1" x14ac:dyDescent="0.2">
      <c r="B62" t="s">
        <v>176</v>
      </c>
      <c r="C62" s="12">
        <v>48</v>
      </c>
      <c r="D62" s="8">
        <v>1.34</v>
      </c>
      <c r="E62" s="12">
        <v>19</v>
      </c>
      <c r="F62" s="8">
        <v>0.95</v>
      </c>
      <c r="G62" s="12">
        <v>29</v>
      </c>
      <c r="H62" s="8">
        <v>1.95</v>
      </c>
      <c r="I62" s="12">
        <v>0</v>
      </c>
    </row>
    <row r="63" spans="2:9" ht="15" customHeight="1" x14ac:dyDescent="0.2">
      <c r="B63" t="s">
        <v>200</v>
      </c>
      <c r="C63" s="12">
        <v>48</v>
      </c>
      <c r="D63" s="8">
        <v>1.34</v>
      </c>
      <c r="E63" s="12">
        <v>32</v>
      </c>
      <c r="F63" s="8">
        <v>1.59</v>
      </c>
      <c r="G63" s="12">
        <v>15</v>
      </c>
      <c r="H63" s="8">
        <v>1.01</v>
      </c>
      <c r="I63" s="12">
        <v>0</v>
      </c>
    </row>
    <row r="64" spans="2:9" ht="15" customHeight="1" x14ac:dyDescent="0.2">
      <c r="B64" t="s">
        <v>175</v>
      </c>
      <c r="C64" s="12">
        <v>45</v>
      </c>
      <c r="D64" s="8">
        <v>1.26</v>
      </c>
      <c r="E64" s="12">
        <v>12</v>
      </c>
      <c r="F64" s="8">
        <v>0.6</v>
      </c>
      <c r="G64" s="12">
        <v>33</v>
      </c>
      <c r="H64" s="8">
        <v>2.21</v>
      </c>
      <c r="I64" s="12">
        <v>0</v>
      </c>
    </row>
    <row r="65" spans="2:9" ht="15" customHeight="1" x14ac:dyDescent="0.2">
      <c r="B65" t="s">
        <v>177</v>
      </c>
      <c r="C65" s="12">
        <v>45</v>
      </c>
      <c r="D65" s="8">
        <v>1.26</v>
      </c>
      <c r="E65" s="12">
        <v>12</v>
      </c>
      <c r="F65" s="8">
        <v>0.6</v>
      </c>
      <c r="G65" s="12">
        <v>33</v>
      </c>
      <c r="H65" s="8">
        <v>2.21</v>
      </c>
      <c r="I65" s="12">
        <v>0</v>
      </c>
    </row>
    <row r="66" spans="2:9" ht="15" customHeight="1" x14ac:dyDescent="0.2">
      <c r="B66" t="s">
        <v>186</v>
      </c>
      <c r="C66" s="12">
        <v>44</v>
      </c>
      <c r="D66" s="8">
        <v>1.23</v>
      </c>
      <c r="E66" s="12">
        <v>34</v>
      </c>
      <c r="F66" s="8">
        <v>1.69</v>
      </c>
      <c r="G66" s="12">
        <v>10</v>
      </c>
      <c r="H66" s="8">
        <v>0.67</v>
      </c>
      <c r="I66" s="12">
        <v>0</v>
      </c>
    </row>
    <row r="68" spans="2:9" ht="15" customHeight="1" x14ac:dyDescent="0.2">
      <c r="B68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3F4A-CBC5-47BB-A592-22D72B3E474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372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234</v>
      </c>
      <c r="D6" s="8">
        <v>12.34</v>
      </c>
      <c r="E6" s="12">
        <v>62</v>
      </c>
      <c r="F6" s="8">
        <v>6.77</v>
      </c>
      <c r="G6" s="12">
        <v>172</v>
      </c>
      <c r="H6" s="8">
        <v>17.920000000000002</v>
      </c>
      <c r="I6" s="12">
        <v>0</v>
      </c>
    </row>
    <row r="7" spans="2:9" ht="15" customHeight="1" x14ac:dyDescent="0.2">
      <c r="B7" t="s">
        <v>80</v>
      </c>
      <c r="C7" s="12">
        <v>216</v>
      </c>
      <c r="D7" s="8">
        <v>11.39</v>
      </c>
      <c r="E7" s="12">
        <v>57</v>
      </c>
      <c r="F7" s="8">
        <v>6.22</v>
      </c>
      <c r="G7" s="12">
        <v>158</v>
      </c>
      <c r="H7" s="8">
        <v>16.46</v>
      </c>
      <c r="I7" s="12">
        <v>0</v>
      </c>
    </row>
    <row r="8" spans="2:9" ht="15" customHeight="1" x14ac:dyDescent="0.2">
      <c r="B8" t="s">
        <v>81</v>
      </c>
      <c r="C8" s="12">
        <v>13</v>
      </c>
      <c r="D8" s="8">
        <v>0.69</v>
      </c>
      <c r="E8" s="12">
        <v>0</v>
      </c>
      <c r="F8" s="8">
        <v>0</v>
      </c>
      <c r="G8" s="12">
        <v>13</v>
      </c>
      <c r="H8" s="8">
        <v>1.35</v>
      </c>
      <c r="I8" s="12">
        <v>0</v>
      </c>
    </row>
    <row r="9" spans="2:9" ht="15" customHeight="1" x14ac:dyDescent="0.2">
      <c r="B9" t="s">
        <v>82</v>
      </c>
      <c r="C9" s="12">
        <v>19</v>
      </c>
      <c r="D9" s="8">
        <v>1</v>
      </c>
      <c r="E9" s="12">
        <v>0</v>
      </c>
      <c r="F9" s="8">
        <v>0</v>
      </c>
      <c r="G9" s="12">
        <v>19</v>
      </c>
      <c r="H9" s="8">
        <v>1.98</v>
      </c>
      <c r="I9" s="12">
        <v>0</v>
      </c>
    </row>
    <row r="10" spans="2:9" ht="15" customHeight="1" x14ac:dyDescent="0.2">
      <c r="B10" t="s">
        <v>83</v>
      </c>
      <c r="C10" s="12">
        <v>15</v>
      </c>
      <c r="D10" s="8">
        <v>0.79</v>
      </c>
      <c r="E10" s="12">
        <v>3</v>
      </c>
      <c r="F10" s="8">
        <v>0.33</v>
      </c>
      <c r="G10" s="12">
        <v>12</v>
      </c>
      <c r="H10" s="8">
        <v>1.25</v>
      </c>
      <c r="I10" s="12">
        <v>0</v>
      </c>
    </row>
    <row r="11" spans="2:9" ht="15" customHeight="1" x14ac:dyDescent="0.2">
      <c r="B11" t="s">
        <v>84</v>
      </c>
      <c r="C11" s="12">
        <v>357</v>
      </c>
      <c r="D11" s="8">
        <v>18.82</v>
      </c>
      <c r="E11" s="12">
        <v>124</v>
      </c>
      <c r="F11" s="8">
        <v>13.54</v>
      </c>
      <c r="G11" s="12">
        <v>232</v>
      </c>
      <c r="H11" s="8">
        <v>24.17</v>
      </c>
      <c r="I11" s="12">
        <v>1</v>
      </c>
    </row>
    <row r="12" spans="2:9" ht="15" customHeight="1" x14ac:dyDescent="0.2">
      <c r="B12" t="s">
        <v>85</v>
      </c>
      <c r="C12" s="12">
        <v>17</v>
      </c>
      <c r="D12" s="8">
        <v>0.9</v>
      </c>
      <c r="E12" s="12">
        <v>5</v>
      </c>
      <c r="F12" s="8">
        <v>0.55000000000000004</v>
      </c>
      <c r="G12" s="12">
        <v>12</v>
      </c>
      <c r="H12" s="8">
        <v>1.25</v>
      </c>
      <c r="I12" s="12">
        <v>0</v>
      </c>
    </row>
    <row r="13" spans="2:9" ht="15" customHeight="1" x14ac:dyDescent="0.2">
      <c r="B13" t="s">
        <v>86</v>
      </c>
      <c r="C13" s="12">
        <v>301</v>
      </c>
      <c r="D13" s="8">
        <v>15.87</v>
      </c>
      <c r="E13" s="12">
        <v>196</v>
      </c>
      <c r="F13" s="8">
        <v>21.4</v>
      </c>
      <c r="G13" s="12">
        <v>104</v>
      </c>
      <c r="H13" s="8">
        <v>10.83</v>
      </c>
      <c r="I13" s="12">
        <v>0</v>
      </c>
    </row>
    <row r="14" spans="2:9" ht="15" customHeight="1" x14ac:dyDescent="0.2">
      <c r="B14" t="s">
        <v>87</v>
      </c>
      <c r="C14" s="12">
        <v>105</v>
      </c>
      <c r="D14" s="8">
        <v>5.54</v>
      </c>
      <c r="E14" s="12">
        <v>58</v>
      </c>
      <c r="F14" s="8">
        <v>6.33</v>
      </c>
      <c r="G14" s="12">
        <v>47</v>
      </c>
      <c r="H14" s="8">
        <v>4.9000000000000004</v>
      </c>
      <c r="I14" s="12">
        <v>0</v>
      </c>
    </row>
    <row r="15" spans="2:9" ht="15" customHeight="1" x14ac:dyDescent="0.2">
      <c r="B15" t="s">
        <v>88</v>
      </c>
      <c r="C15" s="12">
        <v>260</v>
      </c>
      <c r="D15" s="8">
        <v>13.71</v>
      </c>
      <c r="E15" s="12">
        <v>187</v>
      </c>
      <c r="F15" s="8">
        <v>20.41</v>
      </c>
      <c r="G15" s="12">
        <v>73</v>
      </c>
      <c r="H15" s="8">
        <v>7.6</v>
      </c>
      <c r="I15" s="12">
        <v>0</v>
      </c>
    </row>
    <row r="16" spans="2:9" ht="15" customHeight="1" x14ac:dyDescent="0.2">
      <c r="B16" t="s">
        <v>89</v>
      </c>
      <c r="C16" s="12">
        <v>174</v>
      </c>
      <c r="D16" s="8">
        <v>9.17</v>
      </c>
      <c r="E16" s="12">
        <v>129</v>
      </c>
      <c r="F16" s="8">
        <v>14.08</v>
      </c>
      <c r="G16" s="12">
        <v>43</v>
      </c>
      <c r="H16" s="8">
        <v>4.4800000000000004</v>
      </c>
      <c r="I16" s="12">
        <v>1</v>
      </c>
    </row>
    <row r="17" spans="2:9" ht="15" customHeight="1" x14ac:dyDescent="0.2">
      <c r="B17" t="s">
        <v>90</v>
      </c>
      <c r="C17" s="12">
        <v>63</v>
      </c>
      <c r="D17" s="8">
        <v>3.32</v>
      </c>
      <c r="E17" s="12">
        <v>36</v>
      </c>
      <c r="F17" s="8">
        <v>3.93</v>
      </c>
      <c r="G17" s="12">
        <v>19</v>
      </c>
      <c r="H17" s="8">
        <v>1.98</v>
      </c>
      <c r="I17" s="12">
        <v>0</v>
      </c>
    </row>
    <row r="18" spans="2:9" ht="15" customHeight="1" x14ac:dyDescent="0.2">
      <c r="B18" t="s">
        <v>91</v>
      </c>
      <c r="C18" s="12">
        <v>67</v>
      </c>
      <c r="D18" s="8">
        <v>3.53</v>
      </c>
      <c r="E18" s="12">
        <v>43</v>
      </c>
      <c r="F18" s="8">
        <v>4.6900000000000004</v>
      </c>
      <c r="G18" s="12">
        <v>21</v>
      </c>
      <c r="H18" s="8">
        <v>2.19</v>
      </c>
      <c r="I18" s="12">
        <v>0</v>
      </c>
    </row>
    <row r="19" spans="2:9" ht="15" customHeight="1" x14ac:dyDescent="0.2">
      <c r="B19" t="s">
        <v>92</v>
      </c>
      <c r="C19" s="12">
        <v>56</v>
      </c>
      <c r="D19" s="8">
        <v>2.95</v>
      </c>
      <c r="E19" s="12">
        <v>16</v>
      </c>
      <c r="F19" s="8">
        <v>1.75</v>
      </c>
      <c r="G19" s="12">
        <v>35</v>
      </c>
      <c r="H19" s="8">
        <v>3.65</v>
      </c>
      <c r="I19" s="12">
        <v>0</v>
      </c>
    </row>
    <row r="20" spans="2:9" ht="15" customHeight="1" x14ac:dyDescent="0.2">
      <c r="B20" s="9" t="s">
        <v>363</v>
      </c>
      <c r="C20" s="12">
        <f>SUM(LTBL_20206[総数／事業所数])</f>
        <v>1897</v>
      </c>
      <c r="E20" s="12">
        <f>SUBTOTAL(109,LTBL_20206[個人／事業所数])</f>
        <v>916</v>
      </c>
      <c r="G20" s="12">
        <f>SUBTOTAL(109,LTBL_20206[法人／事業所数])</f>
        <v>960</v>
      </c>
      <c r="I20" s="12">
        <f>SUBTOTAL(109,LTBL_20206[法人以外の団体／事業所数])</f>
        <v>2</v>
      </c>
    </row>
    <row r="21" spans="2:9" ht="15" customHeight="1" x14ac:dyDescent="0.2">
      <c r="E21" s="11">
        <f>LTBL_20206[[#Totals],[個人／事業所数]]/LTBL_20206[[#Totals],[総数／事業所数]]</f>
        <v>0.48286768581971534</v>
      </c>
      <c r="G21" s="11">
        <f>LTBL_20206[[#Totals],[法人／事業所数]]/LTBL_20206[[#Totals],[総数／事業所数]]</f>
        <v>0.50606220347917763</v>
      </c>
      <c r="I21" s="11">
        <f>LTBL_20206[[#Totals],[法人以外の団体／事業所数]]/LTBL_20206[[#Totals],[総数／事業所数]]</f>
        <v>1.0542962572482868E-3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111</v>
      </c>
      <c r="C24" s="12">
        <v>261</v>
      </c>
      <c r="D24" s="8">
        <v>13.76</v>
      </c>
      <c r="E24" s="12">
        <v>192</v>
      </c>
      <c r="F24" s="8">
        <v>20.96</v>
      </c>
      <c r="G24" s="12">
        <v>68</v>
      </c>
      <c r="H24" s="8">
        <v>7.08</v>
      </c>
      <c r="I24" s="12">
        <v>0</v>
      </c>
    </row>
    <row r="25" spans="2:9" ht="15" customHeight="1" x14ac:dyDescent="0.2">
      <c r="B25" t="s">
        <v>115</v>
      </c>
      <c r="C25" s="12">
        <v>209</v>
      </c>
      <c r="D25" s="8">
        <v>11.02</v>
      </c>
      <c r="E25" s="12">
        <v>172</v>
      </c>
      <c r="F25" s="8">
        <v>18.78</v>
      </c>
      <c r="G25" s="12">
        <v>37</v>
      </c>
      <c r="H25" s="8">
        <v>3.85</v>
      </c>
      <c r="I25" s="12">
        <v>0</v>
      </c>
    </row>
    <row r="26" spans="2:9" ht="15" customHeight="1" x14ac:dyDescent="0.2">
      <c r="B26" t="s">
        <v>116</v>
      </c>
      <c r="C26" s="12">
        <v>148</v>
      </c>
      <c r="D26" s="8">
        <v>7.8</v>
      </c>
      <c r="E26" s="12">
        <v>118</v>
      </c>
      <c r="F26" s="8">
        <v>12.88</v>
      </c>
      <c r="G26" s="12">
        <v>29</v>
      </c>
      <c r="H26" s="8">
        <v>3.02</v>
      </c>
      <c r="I26" s="12">
        <v>1</v>
      </c>
    </row>
    <row r="27" spans="2:9" ht="15" customHeight="1" x14ac:dyDescent="0.2">
      <c r="B27" t="s">
        <v>101</v>
      </c>
      <c r="C27" s="12">
        <v>104</v>
      </c>
      <c r="D27" s="8">
        <v>5.48</v>
      </c>
      <c r="E27" s="12">
        <v>22</v>
      </c>
      <c r="F27" s="8">
        <v>2.4</v>
      </c>
      <c r="G27" s="12">
        <v>82</v>
      </c>
      <c r="H27" s="8">
        <v>8.5399999999999991</v>
      </c>
      <c r="I27" s="12">
        <v>0</v>
      </c>
    </row>
    <row r="28" spans="2:9" ht="15" customHeight="1" x14ac:dyDescent="0.2">
      <c r="B28" t="s">
        <v>110</v>
      </c>
      <c r="C28" s="12">
        <v>91</v>
      </c>
      <c r="D28" s="8">
        <v>4.8</v>
      </c>
      <c r="E28" s="12">
        <v>41</v>
      </c>
      <c r="F28" s="8">
        <v>4.4800000000000004</v>
      </c>
      <c r="G28" s="12">
        <v>50</v>
      </c>
      <c r="H28" s="8">
        <v>5.21</v>
      </c>
      <c r="I28" s="12">
        <v>0</v>
      </c>
    </row>
    <row r="29" spans="2:9" ht="15" customHeight="1" x14ac:dyDescent="0.2">
      <c r="B29" t="s">
        <v>102</v>
      </c>
      <c r="C29" s="12">
        <v>65</v>
      </c>
      <c r="D29" s="8">
        <v>3.43</v>
      </c>
      <c r="E29" s="12">
        <v>26</v>
      </c>
      <c r="F29" s="8">
        <v>2.84</v>
      </c>
      <c r="G29" s="12">
        <v>39</v>
      </c>
      <c r="H29" s="8">
        <v>4.0599999999999996</v>
      </c>
      <c r="I29" s="12">
        <v>0</v>
      </c>
    </row>
    <row r="30" spans="2:9" ht="15" customHeight="1" x14ac:dyDescent="0.2">
      <c r="B30" t="s">
        <v>103</v>
      </c>
      <c r="C30" s="12">
        <v>65</v>
      </c>
      <c r="D30" s="8">
        <v>3.43</v>
      </c>
      <c r="E30" s="12">
        <v>14</v>
      </c>
      <c r="F30" s="8">
        <v>1.53</v>
      </c>
      <c r="G30" s="12">
        <v>51</v>
      </c>
      <c r="H30" s="8">
        <v>5.31</v>
      </c>
      <c r="I30" s="12">
        <v>0</v>
      </c>
    </row>
    <row r="31" spans="2:9" ht="15" customHeight="1" x14ac:dyDescent="0.2">
      <c r="B31" t="s">
        <v>117</v>
      </c>
      <c r="C31" s="12">
        <v>63</v>
      </c>
      <c r="D31" s="8">
        <v>3.32</v>
      </c>
      <c r="E31" s="12">
        <v>36</v>
      </c>
      <c r="F31" s="8">
        <v>3.93</v>
      </c>
      <c r="G31" s="12">
        <v>19</v>
      </c>
      <c r="H31" s="8">
        <v>1.98</v>
      </c>
      <c r="I31" s="12">
        <v>0</v>
      </c>
    </row>
    <row r="32" spans="2:9" ht="15" customHeight="1" x14ac:dyDescent="0.2">
      <c r="B32" t="s">
        <v>112</v>
      </c>
      <c r="C32" s="12">
        <v>60</v>
      </c>
      <c r="D32" s="8">
        <v>3.16</v>
      </c>
      <c r="E32" s="12">
        <v>43</v>
      </c>
      <c r="F32" s="8">
        <v>4.6900000000000004</v>
      </c>
      <c r="G32" s="12">
        <v>17</v>
      </c>
      <c r="H32" s="8">
        <v>1.77</v>
      </c>
      <c r="I32" s="12">
        <v>0</v>
      </c>
    </row>
    <row r="33" spans="2:9" ht="15" customHeight="1" x14ac:dyDescent="0.2">
      <c r="B33" t="s">
        <v>108</v>
      </c>
      <c r="C33" s="12">
        <v>59</v>
      </c>
      <c r="D33" s="8">
        <v>3.11</v>
      </c>
      <c r="E33" s="12">
        <v>30</v>
      </c>
      <c r="F33" s="8">
        <v>3.28</v>
      </c>
      <c r="G33" s="12">
        <v>29</v>
      </c>
      <c r="H33" s="8">
        <v>3.02</v>
      </c>
      <c r="I33" s="12">
        <v>0</v>
      </c>
    </row>
    <row r="34" spans="2:9" ht="15" customHeight="1" x14ac:dyDescent="0.2">
      <c r="B34" t="s">
        <v>118</v>
      </c>
      <c r="C34" s="12">
        <v>52</v>
      </c>
      <c r="D34" s="8">
        <v>2.74</v>
      </c>
      <c r="E34" s="12">
        <v>43</v>
      </c>
      <c r="F34" s="8">
        <v>4.6900000000000004</v>
      </c>
      <c r="G34" s="12">
        <v>9</v>
      </c>
      <c r="H34" s="8">
        <v>0.94</v>
      </c>
      <c r="I34" s="12">
        <v>0</v>
      </c>
    </row>
    <row r="35" spans="2:9" ht="15" customHeight="1" x14ac:dyDescent="0.2">
      <c r="B35" t="s">
        <v>106</v>
      </c>
      <c r="C35" s="12">
        <v>46</v>
      </c>
      <c r="D35" s="8">
        <v>2.42</v>
      </c>
      <c r="E35" s="12">
        <v>2</v>
      </c>
      <c r="F35" s="8">
        <v>0.22</v>
      </c>
      <c r="G35" s="12">
        <v>44</v>
      </c>
      <c r="H35" s="8">
        <v>4.58</v>
      </c>
      <c r="I35" s="12">
        <v>0</v>
      </c>
    </row>
    <row r="36" spans="2:9" ht="15" customHeight="1" x14ac:dyDescent="0.2">
      <c r="B36" t="s">
        <v>107</v>
      </c>
      <c r="C36" s="12">
        <v>42</v>
      </c>
      <c r="D36" s="8">
        <v>2.21</v>
      </c>
      <c r="E36" s="12">
        <v>21</v>
      </c>
      <c r="F36" s="8">
        <v>2.29</v>
      </c>
      <c r="G36" s="12">
        <v>21</v>
      </c>
      <c r="H36" s="8">
        <v>2.19</v>
      </c>
      <c r="I36" s="12">
        <v>0</v>
      </c>
    </row>
    <row r="37" spans="2:9" ht="15" customHeight="1" x14ac:dyDescent="0.2">
      <c r="B37" t="s">
        <v>109</v>
      </c>
      <c r="C37" s="12">
        <v>41</v>
      </c>
      <c r="D37" s="8">
        <v>2.16</v>
      </c>
      <c r="E37" s="12">
        <v>18</v>
      </c>
      <c r="F37" s="8">
        <v>1.97</v>
      </c>
      <c r="G37" s="12">
        <v>23</v>
      </c>
      <c r="H37" s="8">
        <v>2.4</v>
      </c>
      <c r="I37" s="12">
        <v>0</v>
      </c>
    </row>
    <row r="38" spans="2:9" ht="15" customHeight="1" x14ac:dyDescent="0.2">
      <c r="B38" t="s">
        <v>113</v>
      </c>
      <c r="C38" s="12">
        <v>41</v>
      </c>
      <c r="D38" s="8">
        <v>2.16</v>
      </c>
      <c r="E38" s="12">
        <v>14</v>
      </c>
      <c r="F38" s="8">
        <v>1.53</v>
      </c>
      <c r="G38" s="12">
        <v>27</v>
      </c>
      <c r="H38" s="8">
        <v>2.81</v>
      </c>
      <c r="I38" s="12">
        <v>0</v>
      </c>
    </row>
    <row r="39" spans="2:9" ht="15" customHeight="1" x14ac:dyDescent="0.2">
      <c r="B39" t="s">
        <v>105</v>
      </c>
      <c r="C39" s="12">
        <v>39</v>
      </c>
      <c r="D39" s="8">
        <v>2.06</v>
      </c>
      <c r="E39" s="12">
        <v>5</v>
      </c>
      <c r="F39" s="8">
        <v>0.55000000000000004</v>
      </c>
      <c r="G39" s="12">
        <v>34</v>
      </c>
      <c r="H39" s="8">
        <v>3.54</v>
      </c>
      <c r="I39" s="12">
        <v>0</v>
      </c>
    </row>
    <row r="40" spans="2:9" ht="15" customHeight="1" x14ac:dyDescent="0.2">
      <c r="B40" t="s">
        <v>104</v>
      </c>
      <c r="C40" s="12">
        <v>33</v>
      </c>
      <c r="D40" s="8">
        <v>1.74</v>
      </c>
      <c r="E40" s="12">
        <v>6</v>
      </c>
      <c r="F40" s="8">
        <v>0.66</v>
      </c>
      <c r="G40" s="12">
        <v>27</v>
      </c>
      <c r="H40" s="8">
        <v>2.81</v>
      </c>
      <c r="I40" s="12">
        <v>0</v>
      </c>
    </row>
    <row r="41" spans="2:9" ht="15" customHeight="1" x14ac:dyDescent="0.2">
      <c r="B41" t="s">
        <v>123</v>
      </c>
      <c r="C41" s="12">
        <v>28</v>
      </c>
      <c r="D41" s="8">
        <v>1.48</v>
      </c>
      <c r="E41" s="12">
        <v>3</v>
      </c>
      <c r="F41" s="8">
        <v>0.33</v>
      </c>
      <c r="G41" s="12">
        <v>25</v>
      </c>
      <c r="H41" s="8">
        <v>2.6</v>
      </c>
      <c r="I41" s="12">
        <v>0</v>
      </c>
    </row>
    <row r="42" spans="2:9" ht="15" customHeight="1" x14ac:dyDescent="0.2">
      <c r="B42" t="s">
        <v>122</v>
      </c>
      <c r="C42" s="12">
        <v>27</v>
      </c>
      <c r="D42" s="8">
        <v>1.42</v>
      </c>
      <c r="E42" s="12">
        <v>6</v>
      </c>
      <c r="F42" s="8">
        <v>0.66</v>
      </c>
      <c r="G42" s="12">
        <v>21</v>
      </c>
      <c r="H42" s="8">
        <v>2.19</v>
      </c>
      <c r="I42" s="12">
        <v>0</v>
      </c>
    </row>
    <row r="43" spans="2:9" ht="15" customHeight="1" x14ac:dyDescent="0.2">
      <c r="B43" t="s">
        <v>129</v>
      </c>
      <c r="C43" s="12">
        <v>27</v>
      </c>
      <c r="D43" s="8">
        <v>1.42</v>
      </c>
      <c r="E43" s="12">
        <v>4</v>
      </c>
      <c r="F43" s="8">
        <v>0.44</v>
      </c>
      <c r="G43" s="12">
        <v>23</v>
      </c>
      <c r="H43" s="8">
        <v>2.4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183</v>
      </c>
      <c r="C47" s="12">
        <v>180</v>
      </c>
      <c r="D47" s="8">
        <v>9.49</v>
      </c>
      <c r="E47" s="12">
        <v>150</v>
      </c>
      <c r="F47" s="8">
        <v>16.38</v>
      </c>
      <c r="G47" s="12">
        <v>30</v>
      </c>
      <c r="H47" s="8">
        <v>3.13</v>
      </c>
      <c r="I47" s="12">
        <v>0</v>
      </c>
    </row>
    <row r="48" spans="2:9" ht="15" customHeight="1" x14ac:dyDescent="0.2">
      <c r="B48" t="s">
        <v>191</v>
      </c>
      <c r="C48" s="12">
        <v>84</v>
      </c>
      <c r="D48" s="8">
        <v>4.43</v>
      </c>
      <c r="E48" s="12">
        <v>70</v>
      </c>
      <c r="F48" s="8">
        <v>7.64</v>
      </c>
      <c r="G48" s="12">
        <v>14</v>
      </c>
      <c r="H48" s="8">
        <v>1.46</v>
      </c>
      <c r="I48" s="12">
        <v>0</v>
      </c>
    </row>
    <row r="49" spans="2:9" ht="15" customHeight="1" x14ac:dyDescent="0.2">
      <c r="B49" t="s">
        <v>189</v>
      </c>
      <c r="C49" s="12">
        <v>63</v>
      </c>
      <c r="D49" s="8">
        <v>3.32</v>
      </c>
      <c r="E49" s="12">
        <v>57</v>
      </c>
      <c r="F49" s="8">
        <v>6.22</v>
      </c>
      <c r="G49" s="12">
        <v>6</v>
      </c>
      <c r="H49" s="8">
        <v>0.63</v>
      </c>
      <c r="I49" s="12">
        <v>0</v>
      </c>
    </row>
    <row r="50" spans="2:9" ht="15" customHeight="1" x14ac:dyDescent="0.2">
      <c r="B50" t="s">
        <v>188</v>
      </c>
      <c r="C50" s="12">
        <v>45</v>
      </c>
      <c r="D50" s="8">
        <v>2.37</v>
      </c>
      <c r="E50" s="12">
        <v>37</v>
      </c>
      <c r="F50" s="8">
        <v>4.04</v>
      </c>
      <c r="G50" s="12">
        <v>8</v>
      </c>
      <c r="H50" s="8">
        <v>0.83</v>
      </c>
      <c r="I50" s="12">
        <v>0</v>
      </c>
    </row>
    <row r="51" spans="2:9" ht="15" customHeight="1" x14ac:dyDescent="0.2">
      <c r="B51" t="s">
        <v>187</v>
      </c>
      <c r="C51" s="12">
        <v>42</v>
      </c>
      <c r="D51" s="8">
        <v>2.21</v>
      </c>
      <c r="E51" s="12">
        <v>32</v>
      </c>
      <c r="F51" s="8">
        <v>3.49</v>
      </c>
      <c r="G51" s="12">
        <v>10</v>
      </c>
      <c r="H51" s="8">
        <v>1.04</v>
      </c>
      <c r="I51" s="12">
        <v>0</v>
      </c>
    </row>
    <row r="52" spans="2:9" ht="15" customHeight="1" x14ac:dyDescent="0.2">
      <c r="B52" t="s">
        <v>193</v>
      </c>
      <c r="C52" s="12">
        <v>39</v>
      </c>
      <c r="D52" s="8">
        <v>2.06</v>
      </c>
      <c r="E52" s="12">
        <v>32</v>
      </c>
      <c r="F52" s="8">
        <v>3.49</v>
      </c>
      <c r="G52" s="12">
        <v>7</v>
      </c>
      <c r="H52" s="8">
        <v>0.73</v>
      </c>
      <c r="I52" s="12">
        <v>0</v>
      </c>
    </row>
    <row r="53" spans="2:9" ht="15" customHeight="1" x14ac:dyDescent="0.2">
      <c r="B53" t="s">
        <v>190</v>
      </c>
      <c r="C53" s="12">
        <v>37</v>
      </c>
      <c r="D53" s="8">
        <v>1.95</v>
      </c>
      <c r="E53" s="12">
        <v>33</v>
      </c>
      <c r="F53" s="8">
        <v>3.6</v>
      </c>
      <c r="G53" s="12">
        <v>4</v>
      </c>
      <c r="H53" s="8">
        <v>0.42</v>
      </c>
      <c r="I53" s="12">
        <v>0</v>
      </c>
    </row>
    <row r="54" spans="2:9" ht="15" customHeight="1" x14ac:dyDescent="0.2">
      <c r="B54" t="s">
        <v>182</v>
      </c>
      <c r="C54" s="12">
        <v>36</v>
      </c>
      <c r="D54" s="8">
        <v>1.9</v>
      </c>
      <c r="E54" s="12">
        <v>11</v>
      </c>
      <c r="F54" s="8">
        <v>1.2</v>
      </c>
      <c r="G54" s="12">
        <v>24</v>
      </c>
      <c r="H54" s="8">
        <v>2.5</v>
      </c>
      <c r="I54" s="12">
        <v>0</v>
      </c>
    </row>
    <row r="55" spans="2:9" ht="15" customHeight="1" x14ac:dyDescent="0.2">
      <c r="B55" t="s">
        <v>174</v>
      </c>
      <c r="C55" s="12">
        <v>35</v>
      </c>
      <c r="D55" s="8">
        <v>1.85</v>
      </c>
      <c r="E55" s="12">
        <v>8</v>
      </c>
      <c r="F55" s="8">
        <v>0.87</v>
      </c>
      <c r="G55" s="12">
        <v>27</v>
      </c>
      <c r="H55" s="8">
        <v>2.81</v>
      </c>
      <c r="I55" s="12">
        <v>0</v>
      </c>
    </row>
    <row r="56" spans="2:9" ht="15" customHeight="1" x14ac:dyDescent="0.2">
      <c r="B56" t="s">
        <v>178</v>
      </c>
      <c r="C56" s="12">
        <v>35</v>
      </c>
      <c r="D56" s="8">
        <v>1.85</v>
      </c>
      <c r="E56" s="12">
        <v>9</v>
      </c>
      <c r="F56" s="8">
        <v>0.98</v>
      </c>
      <c r="G56" s="12">
        <v>26</v>
      </c>
      <c r="H56" s="8">
        <v>2.71</v>
      </c>
      <c r="I56" s="12">
        <v>0</v>
      </c>
    </row>
    <row r="57" spans="2:9" ht="15" customHeight="1" x14ac:dyDescent="0.2">
      <c r="B57" t="s">
        <v>192</v>
      </c>
      <c r="C57" s="12">
        <v>35</v>
      </c>
      <c r="D57" s="8">
        <v>1.85</v>
      </c>
      <c r="E57" s="12">
        <v>27</v>
      </c>
      <c r="F57" s="8">
        <v>2.95</v>
      </c>
      <c r="G57" s="12">
        <v>8</v>
      </c>
      <c r="H57" s="8">
        <v>0.83</v>
      </c>
      <c r="I57" s="12">
        <v>0</v>
      </c>
    </row>
    <row r="58" spans="2:9" ht="15" customHeight="1" x14ac:dyDescent="0.2">
      <c r="B58" t="s">
        <v>195</v>
      </c>
      <c r="C58" s="12">
        <v>34</v>
      </c>
      <c r="D58" s="8">
        <v>1.79</v>
      </c>
      <c r="E58" s="12">
        <v>31</v>
      </c>
      <c r="F58" s="8">
        <v>3.38</v>
      </c>
      <c r="G58" s="12">
        <v>3</v>
      </c>
      <c r="H58" s="8">
        <v>0.31</v>
      </c>
      <c r="I58" s="12">
        <v>0</v>
      </c>
    </row>
    <row r="59" spans="2:9" ht="15" customHeight="1" x14ac:dyDescent="0.2">
      <c r="B59" t="s">
        <v>176</v>
      </c>
      <c r="C59" s="12">
        <v>29</v>
      </c>
      <c r="D59" s="8">
        <v>1.53</v>
      </c>
      <c r="E59" s="12">
        <v>9</v>
      </c>
      <c r="F59" s="8">
        <v>0.98</v>
      </c>
      <c r="G59" s="12">
        <v>20</v>
      </c>
      <c r="H59" s="8">
        <v>2.08</v>
      </c>
      <c r="I59" s="12">
        <v>0</v>
      </c>
    </row>
    <row r="60" spans="2:9" ht="15" customHeight="1" x14ac:dyDescent="0.2">
      <c r="B60" t="s">
        <v>180</v>
      </c>
      <c r="C60" s="12">
        <v>27</v>
      </c>
      <c r="D60" s="8">
        <v>1.42</v>
      </c>
      <c r="E60" s="12">
        <v>12</v>
      </c>
      <c r="F60" s="8">
        <v>1.31</v>
      </c>
      <c r="G60" s="12">
        <v>15</v>
      </c>
      <c r="H60" s="8">
        <v>1.56</v>
      </c>
      <c r="I60" s="12">
        <v>0</v>
      </c>
    </row>
    <row r="61" spans="2:9" ht="15" customHeight="1" x14ac:dyDescent="0.2">
      <c r="B61" t="s">
        <v>181</v>
      </c>
      <c r="C61" s="12">
        <v>27</v>
      </c>
      <c r="D61" s="8">
        <v>1.42</v>
      </c>
      <c r="E61" s="12">
        <v>15</v>
      </c>
      <c r="F61" s="8">
        <v>1.64</v>
      </c>
      <c r="G61" s="12">
        <v>12</v>
      </c>
      <c r="H61" s="8">
        <v>1.25</v>
      </c>
      <c r="I61" s="12">
        <v>0</v>
      </c>
    </row>
    <row r="62" spans="2:9" ht="15" customHeight="1" x14ac:dyDescent="0.2">
      <c r="B62" t="s">
        <v>206</v>
      </c>
      <c r="C62" s="12">
        <v>26</v>
      </c>
      <c r="D62" s="8">
        <v>1.37</v>
      </c>
      <c r="E62" s="12">
        <v>1</v>
      </c>
      <c r="F62" s="8">
        <v>0.11</v>
      </c>
      <c r="G62" s="12">
        <v>25</v>
      </c>
      <c r="H62" s="8">
        <v>2.6</v>
      </c>
      <c r="I62" s="12">
        <v>0</v>
      </c>
    </row>
    <row r="63" spans="2:9" ht="15" customHeight="1" x14ac:dyDescent="0.2">
      <c r="B63" t="s">
        <v>194</v>
      </c>
      <c r="C63" s="12">
        <v>25</v>
      </c>
      <c r="D63" s="8">
        <v>1.32</v>
      </c>
      <c r="E63" s="12">
        <v>11</v>
      </c>
      <c r="F63" s="8">
        <v>1.2</v>
      </c>
      <c r="G63" s="12">
        <v>14</v>
      </c>
      <c r="H63" s="8">
        <v>1.46</v>
      </c>
      <c r="I63" s="12">
        <v>0</v>
      </c>
    </row>
    <row r="64" spans="2:9" ht="15" customHeight="1" x14ac:dyDescent="0.2">
      <c r="B64" t="s">
        <v>175</v>
      </c>
      <c r="C64" s="12">
        <v>23</v>
      </c>
      <c r="D64" s="8">
        <v>1.21</v>
      </c>
      <c r="E64" s="12">
        <v>1</v>
      </c>
      <c r="F64" s="8">
        <v>0.11</v>
      </c>
      <c r="G64" s="12">
        <v>22</v>
      </c>
      <c r="H64" s="8">
        <v>2.29</v>
      </c>
      <c r="I64" s="12">
        <v>0</v>
      </c>
    </row>
    <row r="65" spans="2:9" ht="15" customHeight="1" x14ac:dyDescent="0.2">
      <c r="B65" t="s">
        <v>179</v>
      </c>
      <c r="C65" s="12">
        <v>23</v>
      </c>
      <c r="D65" s="8">
        <v>1.21</v>
      </c>
      <c r="E65" s="12">
        <v>11</v>
      </c>
      <c r="F65" s="8">
        <v>1.2</v>
      </c>
      <c r="G65" s="12">
        <v>12</v>
      </c>
      <c r="H65" s="8">
        <v>1.25</v>
      </c>
      <c r="I65" s="12">
        <v>0</v>
      </c>
    </row>
    <row r="66" spans="2:9" ht="15" customHeight="1" x14ac:dyDescent="0.2">
      <c r="B66" t="s">
        <v>184</v>
      </c>
      <c r="C66" s="12">
        <v>23</v>
      </c>
      <c r="D66" s="8">
        <v>1.21</v>
      </c>
      <c r="E66" s="12">
        <v>8</v>
      </c>
      <c r="F66" s="8">
        <v>0.87</v>
      </c>
      <c r="G66" s="12">
        <v>15</v>
      </c>
      <c r="H66" s="8">
        <v>1.56</v>
      </c>
      <c r="I66" s="12">
        <v>0</v>
      </c>
    </row>
    <row r="67" spans="2:9" ht="15" customHeight="1" x14ac:dyDescent="0.2">
      <c r="B67" t="s">
        <v>207</v>
      </c>
      <c r="C67" s="12">
        <v>23</v>
      </c>
      <c r="D67" s="8">
        <v>1.21</v>
      </c>
      <c r="E67" s="12">
        <v>1</v>
      </c>
      <c r="F67" s="8">
        <v>0.11</v>
      </c>
      <c r="G67" s="12">
        <v>22</v>
      </c>
      <c r="H67" s="8">
        <v>2.29</v>
      </c>
      <c r="I67" s="12">
        <v>0</v>
      </c>
    </row>
    <row r="69" spans="2:9" ht="15" customHeight="1" x14ac:dyDescent="0.2">
      <c r="B69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57941-4023-42E7-83FC-7C330522CF79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373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0.16</v>
      </c>
      <c r="I5" s="12">
        <v>0</v>
      </c>
    </row>
    <row r="6" spans="2:9" ht="15" customHeight="1" x14ac:dyDescent="0.2">
      <c r="B6" t="s">
        <v>79</v>
      </c>
      <c r="C6" s="12">
        <v>184</v>
      </c>
      <c r="D6" s="8">
        <v>13.23</v>
      </c>
      <c r="E6" s="12">
        <v>55</v>
      </c>
      <c r="F6" s="8">
        <v>7.49</v>
      </c>
      <c r="G6" s="12">
        <v>129</v>
      </c>
      <c r="H6" s="8">
        <v>20.190000000000001</v>
      </c>
      <c r="I6" s="12">
        <v>0</v>
      </c>
    </row>
    <row r="7" spans="2:9" ht="15" customHeight="1" x14ac:dyDescent="0.2">
      <c r="B7" t="s">
        <v>80</v>
      </c>
      <c r="C7" s="12">
        <v>175</v>
      </c>
      <c r="D7" s="8">
        <v>12.58</v>
      </c>
      <c r="E7" s="12">
        <v>49</v>
      </c>
      <c r="F7" s="8">
        <v>6.68</v>
      </c>
      <c r="G7" s="12">
        <v>126</v>
      </c>
      <c r="H7" s="8">
        <v>19.72</v>
      </c>
      <c r="I7" s="12">
        <v>0</v>
      </c>
    </row>
    <row r="8" spans="2:9" ht="15" customHeight="1" x14ac:dyDescent="0.2">
      <c r="B8" t="s">
        <v>81</v>
      </c>
      <c r="C8" s="12">
        <v>3</v>
      </c>
      <c r="D8" s="8">
        <v>0.22</v>
      </c>
      <c r="E8" s="12">
        <v>0</v>
      </c>
      <c r="F8" s="8">
        <v>0</v>
      </c>
      <c r="G8" s="12">
        <v>3</v>
      </c>
      <c r="H8" s="8">
        <v>0.47</v>
      </c>
      <c r="I8" s="12">
        <v>0</v>
      </c>
    </row>
    <row r="9" spans="2:9" ht="15" customHeight="1" x14ac:dyDescent="0.2">
      <c r="B9" t="s">
        <v>82</v>
      </c>
      <c r="C9" s="12">
        <v>6</v>
      </c>
      <c r="D9" s="8">
        <v>0.43</v>
      </c>
      <c r="E9" s="12">
        <v>0</v>
      </c>
      <c r="F9" s="8">
        <v>0</v>
      </c>
      <c r="G9" s="12">
        <v>6</v>
      </c>
      <c r="H9" s="8">
        <v>0.94</v>
      </c>
      <c r="I9" s="12">
        <v>0</v>
      </c>
    </row>
    <row r="10" spans="2:9" ht="15" customHeight="1" x14ac:dyDescent="0.2">
      <c r="B10" t="s">
        <v>83</v>
      </c>
      <c r="C10" s="12">
        <v>8</v>
      </c>
      <c r="D10" s="8">
        <v>0.57999999999999996</v>
      </c>
      <c r="E10" s="12">
        <v>1</v>
      </c>
      <c r="F10" s="8">
        <v>0.14000000000000001</v>
      </c>
      <c r="G10" s="12">
        <v>7</v>
      </c>
      <c r="H10" s="8">
        <v>1.1000000000000001</v>
      </c>
      <c r="I10" s="12">
        <v>0</v>
      </c>
    </row>
    <row r="11" spans="2:9" ht="15" customHeight="1" x14ac:dyDescent="0.2">
      <c r="B11" t="s">
        <v>84</v>
      </c>
      <c r="C11" s="12">
        <v>312</v>
      </c>
      <c r="D11" s="8">
        <v>22.43</v>
      </c>
      <c r="E11" s="12">
        <v>143</v>
      </c>
      <c r="F11" s="8">
        <v>19.48</v>
      </c>
      <c r="G11" s="12">
        <v>169</v>
      </c>
      <c r="H11" s="8">
        <v>26.45</v>
      </c>
      <c r="I11" s="12">
        <v>0</v>
      </c>
    </row>
    <row r="12" spans="2:9" ht="15" customHeight="1" x14ac:dyDescent="0.2">
      <c r="B12" t="s">
        <v>85</v>
      </c>
      <c r="C12" s="12">
        <v>5</v>
      </c>
      <c r="D12" s="8">
        <v>0.36</v>
      </c>
      <c r="E12" s="12">
        <v>1</v>
      </c>
      <c r="F12" s="8">
        <v>0.14000000000000001</v>
      </c>
      <c r="G12" s="12">
        <v>4</v>
      </c>
      <c r="H12" s="8">
        <v>0.63</v>
      </c>
      <c r="I12" s="12">
        <v>0</v>
      </c>
    </row>
    <row r="13" spans="2:9" ht="15" customHeight="1" x14ac:dyDescent="0.2">
      <c r="B13" t="s">
        <v>86</v>
      </c>
      <c r="C13" s="12">
        <v>119</v>
      </c>
      <c r="D13" s="8">
        <v>8.5500000000000007</v>
      </c>
      <c r="E13" s="12">
        <v>54</v>
      </c>
      <c r="F13" s="8">
        <v>7.36</v>
      </c>
      <c r="G13" s="12">
        <v>64</v>
      </c>
      <c r="H13" s="8">
        <v>10.02</v>
      </c>
      <c r="I13" s="12">
        <v>1</v>
      </c>
    </row>
    <row r="14" spans="2:9" ht="15" customHeight="1" x14ac:dyDescent="0.2">
      <c r="B14" t="s">
        <v>87</v>
      </c>
      <c r="C14" s="12">
        <v>65</v>
      </c>
      <c r="D14" s="8">
        <v>4.67</v>
      </c>
      <c r="E14" s="12">
        <v>37</v>
      </c>
      <c r="F14" s="8">
        <v>5.04</v>
      </c>
      <c r="G14" s="12">
        <v>28</v>
      </c>
      <c r="H14" s="8">
        <v>4.38</v>
      </c>
      <c r="I14" s="12">
        <v>0</v>
      </c>
    </row>
    <row r="15" spans="2:9" ht="15" customHeight="1" x14ac:dyDescent="0.2">
      <c r="B15" t="s">
        <v>88</v>
      </c>
      <c r="C15" s="12">
        <v>203</v>
      </c>
      <c r="D15" s="8">
        <v>14.59</v>
      </c>
      <c r="E15" s="12">
        <v>175</v>
      </c>
      <c r="F15" s="8">
        <v>23.84</v>
      </c>
      <c r="G15" s="12">
        <v>28</v>
      </c>
      <c r="H15" s="8">
        <v>4.38</v>
      </c>
      <c r="I15" s="12">
        <v>0</v>
      </c>
    </row>
    <row r="16" spans="2:9" ht="15" customHeight="1" x14ac:dyDescent="0.2">
      <c r="B16" t="s">
        <v>89</v>
      </c>
      <c r="C16" s="12">
        <v>152</v>
      </c>
      <c r="D16" s="8">
        <v>10.93</v>
      </c>
      <c r="E16" s="12">
        <v>126</v>
      </c>
      <c r="F16" s="8">
        <v>17.170000000000002</v>
      </c>
      <c r="G16" s="12">
        <v>26</v>
      </c>
      <c r="H16" s="8">
        <v>4.07</v>
      </c>
      <c r="I16" s="12">
        <v>0</v>
      </c>
    </row>
    <row r="17" spans="2:9" ht="15" customHeight="1" x14ac:dyDescent="0.2">
      <c r="B17" t="s">
        <v>90</v>
      </c>
      <c r="C17" s="12">
        <v>71</v>
      </c>
      <c r="D17" s="8">
        <v>5.0999999999999996</v>
      </c>
      <c r="E17" s="12">
        <v>43</v>
      </c>
      <c r="F17" s="8">
        <v>5.86</v>
      </c>
      <c r="G17" s="12">
        <v>17</v>
      </c>
      <c r="H17" s="8">
        <v>2.66</v>
      </c>
      <c r="I17" s="12">
        <v>0</v>
      </c>
    </row>
    <row r="18" spans="2:9" ht="15" customHeight="1" x14ac:dyDescent="0.2">
      <c r="B18" t="s">
        <v>91</v>
      </c>
      <c r="C18" s="12">
        <v>58</v>
      </c>
      <c r="D18" s="8">
        <v>4.17</v>
      </c>
      <c r="E18" s="12">
        <v>37</v>
      </c>
      <c r="F18" s="8">
        <v>5.04</v>
      </c>
      <c r="G18" s="12">
        <v>18</v>
      </c>
      <c r="H18" s="8">
        <v>2.82</v>
      </c>
      <c r="I18" s="12">
        <v>0</v>
      </c>
    </row>
    <row r="19" spans="2:9" ht="15" customHeight="1" x14ac:dyDescent="0.2">
      <c r="B19" t="s">
        <v>92</v>
      </c>
      <c r="C19" s="12">
        <v>29</v>
      </c>
      <c r="D19" s="8">
        <v>2.08</v>
      </c>
      <c r="E19" s="12">
        <v>13</v>
      </c>
      <c r="F19" s="8">
        <v>1.77</v>
      </c>
      <c r="G19" s="12">
        <v>13</v>
      </c>
      <c r="H19" s="8">
        <v>2.0299999999999998</v>
      </c>
      <c r="I19" s="12">
        <v>1</v>
      </c>
    </row>
    <row r="20" spans="2:9" ht="15" customHeight="1" x14ac:dyDescent="0.2">
      <c r="B20" s="9" t="s">
        <v>363</v>
      </c>
      <c r="C20" s="12">
        <f>SUM(LTBL_20207[総数／事業所数])</f>
        <v>1391</v>
      </c>
      <c r="E20" s="12">
        <f>SUBTOTAL(109,LTBL_20207[個人／事業所数])</f>
        <v>734</v>
      </c>
      <c r="G20" s="12">
        <f>SUBTOTAL(109,LTBL_20207[法人／事業所数])</f>
        <v>639</v>
      </c>
      <c r="I20" s="12">
        <f>SUBTOTAL(109,LTBL_20207[法人以外の団体／事業所数])</f>
        <v>2</v>
      </c>
    </row>
    <row r="21" spans="2:9" ht="15" customHeight="1" x14ac:dyDescent="0.2">
      <c r="E21" s="11">
        <f>LTBL_20207[[#Totals],[個人／事業所数]]/LTBL_20207[[#Totals],[総数／事業所数]]</f>
        <v>0.52767792954708848</v>
      </c>
      <c r="G21" s="11">
        <f>LTBL_20207[[#Totals],[法人／事業所数]]/LTBL_20207[[#Totals],[総数／事業所数]]</f>
        <v>0.45938173975557151</v>
      </c>
      <c r="I21" s="11">
        <f>LTBL_20207[[#Totals],[法人以外の団体／事業所数]]/LTBL_20207[[#Totals],[総数／事業所数]]</f>
        <v>1.4378145219266715E-3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153</v>
      </c>
      <c r="D24" s="8">
        <v>11</v>
      </c>
      <c r="E24" s="12">
        <v>134</v>
      </c>
      <c r="F24" s="8">
        <v>18.260000000000002</v>
      </c>
      <c r="G24" s="12">
        <v>19</v>
      </c>
      <c r="H24" s="8">
        <v>2.97</v>
      </c>
      <c r="I24" s="12">
        <v>0</v>
      </c>
    </row>
    <row r="25" spans="2:9" ht="15" customHeight="1" x14ac:dyDescent="0.2">
      <c r="B25" t="s">
        <v>116</v>
      </c>
      <c r="C25" s="12">
        <v>133</v>
      </c>
      <c r="D25" s="8">
        <v>9.56</v>
      </c>
      <c r="E25" s="12">
        <v>117</v>
      </c>
      <c r="F25" s="8">
        <v>15.94</v>
      </c>
      <c r="G25" s="12">
        <v>16</v>
      </c>
      <c r="H25" s="8">
        <v>2.5</v>
      </c>
      <c r="I25" s="12">
        <v>0</v>
      </c>
    </row>
    <row r="26" spans="2:9" ht="15" customHeight="1" x14ac:dyDescent="0.2">
      <c r="B26" t="s">
        <v>111</v>
      </c>
      <c r="C26" s="12">
        <v>105</v>
      </c>
      <c r="D26" s="8">
        <v>7.55</v>
      </c>
      <c r="E26" s="12">
        <v>53</v>
      </c>
      <c r="F26" s="8">
        <v>7.22</v>
      </c>
      <c r="G26" s="12">
        <v>51</v>
      </c>
      <c r="H26" s="8">
        <v>7.98</v>
      </c>
      <c r="I26" s="12">
        <v>1</v>
      </c>
    </row>
    <row r="27" spans="2:9" ht="15" customHeight="1" x14ac:dyDescent="0.2">
      <c r="B27" t="s">
        <v>110</v>
      </c>
      <c r="C27" s="12">
        <v>98</v>
      </c>
      <c r="D27" s="8">
        <v>7.05</v>
      </c>
      <c r="E27" s="12">
        <v>39</v>
      </c>
      <c r="F27" s="8">
        <v>5.31</v>
      </c>
      <c r="G27" s="12">
        <v>59</v>
      </c>
      <c r="H27" s="8">
        <v>9.23</v>
      </c>
      <c r="I27" s="12">
        <v>0</v>
      </c>
    </row>
    <row r="28" spans="2:9" ht="15" customHeight="1" x14ac:dyDescent="0.2">
      <c r="B28" t="s">
        <v>101</v>
      </c>
      <c r="C28" s="12">
        <v>78</v>
      </c>
      <c r="D28" s="8">
        <v>5.61</v>
      </c>
      <c r="E28" s="12">
        <v>17</v>
      </c>
      <c r="F28" s="8">
        <v>2.3199999999999998</v>
      </c>
      <c r="G28" s="12">
        <v>61</v>
      </c>
      <c r="H28" s="8">
        <v>9.5500000000000007</v>
      </c>
      <c r="I28" s="12">
        <v>0</v>
      </c>
    </row>
    <row r="29" spans="2:9" ht="15" customHeight="1" x14ac:dyDescent="0.2">
      <c r="B29" t="s">
        <v>117</v>
      </c>
      <c r="C29" s="12">
        <v>71</v>
      </c>
      <c r="D29" s="8">
        <v>5.0999999999999996</v>
      </c>
      <c r="E29" s="12">
        <v>43</v>
      </c>
      <c r="F29" s="8">
        <v>5.86</v>
      </c>
      <c r="G29" s="12">
        <v>17</v>
      </c>
      <c r="H29" s="8">
        <v>2.66</v>
      </c>
      <c r="I29" s="12">
        <v>0</v>
      </c>
    </row>
    <row r="30" spans="2:9" ht="15" customHeight="1" x14ac:dyDescent="0.2">
      <c r="B30" t="s">
        <v>102</v>
      </c>
      <c r="C30" s="12">
        <v>57</v>
      </c>
      <c r="D30" s="8">
        <v>4.0999999999999996</v>
      </c>
      <c r="E30" s="12">
        <v>27</v>
      </c>
      <c r="F30" s="8">
        <v>3.68</v>
      </c>
      <c r="G30" s="12">
        <v>30</v>
      </c>
      <c r="H30" s="8">
        <v>4.6900000000000004</v>
      </c>
      <c r="I30" s="12">
        <v>0</v>
      </c>
    </row>
    <row r="31" spans="2:9" ht="15" customHeight="1" x14ac:dyDescent="0.2">
      <c r="B31" t="s">
        <v>108</v>
      </c>
      <c r="C31" s="12">
        <v>57</v>
      </c>
      <c r="D31" s="8">
        <v>4.0999999999999996</v>
      </c>
      <c r="E31" s="12">
        <v>35</v>
      </c>
      <c r="F31" s="8">
        <v>4.7699999999999996</v>
      </c>
      <c r="G31" s="12">
        <v>22</v>
      </c>
      <c r="H31" s="8">
        <v>3.44</v>
      </c>
      <c r="I31" s="12">
        <v>0</v>
      </c>
    </row>
    <row r="32" spans="2:9" ht="15" customHeight="1" x14ac:dyDescent="0.2">
      <c r="B32" t="s">
        <v>109</v>
      </c>
      <c r="C32" s="12">
        <v>52</v>
      </c>
      <c r="D32" s="8">
        <v>3.74</v>
      </c>
      <c r="E32" s="12">
        <v>29</v>
      </c>
      <c r="F32" s="8">
        <v>3.95</v>
      </c>
      <c r="G32" s="12">
        <v>23</v>
      </c>
      <c r="H32" s="8">
        <v>3.6</v>
      </c>
      <c r="I32" s="12">
        <v>0</v>
      </c>
    </row>
    <row r="33" spans="2:9" ht="15" customHeight="1" x14ac:dyDescent="0.2">
      <c r="B33" t="s">
        <v>103</v>
      </c>
      <c r="C33" s="12">
        <v>49</v>
      </c>
      <c r="D33" s="8">
        <v>3.52</v>
      </c>
      <c r="E33" s="12">
        <v>11</v>
      </c>
      <c r="F33" s="8">
        <v>1.5</v>
      </c>
      <c r="G33" s="12">
        <v>38</v>
      </c>
      <c r="H33" s="8">
        <v>5.95</v>
      </c>
      <c r="I33" s="12">
        <v>0</v>
      </c>
    </row>
    <row r="34" spans="2:9" ht="15" customHeight="1" x14ac:dyDescent="0.2">
      <c r="B34" t="s">
        <v>114</v>
      </c>
      <c r="C34" s="12">
        <v>43</v>
      </c>
      <c r="D34" s="8">
        <v>3.09</v>
      </c>
      <c r="E34" s="12">
        <v>40</v>
      </c>
      <c r="F34" s="8">
        <v>5.45</v>
      </c>
      <c r="G34" s="12">
        <v>3</v>
      </c>
      <c r="H34" s="8">
        <v>0.47</v>
      </c>
      <c r="I34" s="12">
        <v>0</v>
      </c>
    </row>
    <row r="35" spans="2:9" ht="15" customHeight="1" x14ac:dyDescent="0.2">
      <c r="B35" t="s">
        <v>118</v>
      </c>
      <c r="C35" s="12">
        <v>42</v>
      </c>
      <c r="D35" s="8">
        <v>3.02</v>
      </c>
      <c r="E35" s="12">
        <v>37</v>
      </c>
      <c r="F35" s="8">
        <v>5.04</v>
      </c>
      <c r="G35" s="12">
        <v>5</v>
      </c>
      <c r="H35" s="8">
        <v>0.78</v>
      </c>
      <c r="I35" s="12">
        <v>0</v>
      </c>
    </row>
    <row r="36" spans="2:9" ht="15" customHeight="1" x14ac:dyDescent="0.2">
      <c r="B36" t="s">
        <v>107</v>
      </c>
      <c r="C36" s="12">
        <v>37</v>
      </c>
      <c r="D36" s="8">
        <v>2.66</v>
      </c>
      <c r="E36" s="12">
        <v>28</v>
      </c>
      <c r="F36" s="8">
        <v>3.81</v>
      </c>
      <c r="G36" s="12">
        <v>9</v>
      </c>
      <c r="H36" s="8">
        <v>1.41</v>
      </c>
      <c r="I36" s="12">
        <v>0</v>
      </c>
    </row>
    <row r="37" spans="2:9" ht="15" customHeight="1" x14ac:dyDescent="0.2">
      <c r="B37" t="s">
        <v>112</v>
      </c>
      <c r="C37" s="12">
        <v>37</v>
      </c>
      <c r="D37" s="8">
        <v>2.66</v>
      </c>
      <c r="E37" s="12">
        <v>31</v>
      </c>
      <c r="F37" s="8">
        <v>4.22</v>
      </c>
      <c r="G37" s="12">
        <v>6</v>
      </c>
      <c r="H37" s="8">
        <v>0.94</v>
      </c>
      <c r="I37" s="12">
        <v>0</v>
      </c>
    </row>
    <row r="38" spans="2:9" ht="15" customHeight="1" x14ac:dyDescent="0.2">
      <c r="B38" t="s">
        <v>113</v>
      </c>
      <c r="C38" s="12">
        <v>26</v>
      </c>
      <c r="D38" s="8">
        <v>1.87</v>
      </c>
      <c r="E38" s="12">
        <v>6</v>
      </c>
      <c r="F38" s="8">
        <v>0.82</v>
      </c>
      <c r="G38" s="12">
        <v>20</v>
      </c>
      <c r="H38" s="8">
        <v>3.13</v>
      </c>
      <c r="I38" s="12">
        <v>0</v>
      </c>
    </row>
    <row r="39" spans="2:9" ht="15" customHeight="1" x14ac:dyDescent="0.2">
      <c r="B39" t="s">
        <v>104</v>
      </c>
      <c r="C39" s="12">
        <v>24</v>
      </c>
      <c r="D39" s="8">
        <v>1.73</v>
      </c>
      <c r="E39" s="12">
        <v>8</v>
      </c>
      <c r="F39" s="8">
        <v>1.0900000000000001</v>
      </c>
      <c r="G39" s="12">
        <v>16</v>
      </c>
      <c r="H39" s="8">
        <v>2.5</v>
      </c>
      <c r="I39" s="12">
        <v>0</v>
      </c>
    </row>
    <row r="40" spans="2:9" ht="15" customHeight="1" x14ac:dyDescent="0.2">
      <c r="B40" t="s">
        <v>105</v>
      </c>
      <c r="C40" s="12">
        <v>21</v>
      </c>
      <c r="D40" s="8">
        <v>1.51</v>
      </c>
      <c r="E40" s="12">
        <v>1</v>
      </c>
      <c r="F40" s="8">
        <v>0.14000000000000001</v>
      </c>
      <c r="G40" s="12">
        <v>20</v>
      </c>
      <c r="H40" s="8">
        <v>3.13</v>
      </c>
      <c r="I40" s="12">
        <v>0</v>
      </c>
    </row>
    <row r="41" spans="2:9" ht="15" customHeight="1" x14ac:dyDescent="0.2">
      <c r="B41" t="s">
        <v>127</v>
      </c>
      <c r="C41" s="12">
        <v>20</v>
      </c>
      <c r="D41" s="8">
        <v>1.44</v>
      </c>
      <c r="E41" s="12">
        <v>4</v>
      </c>
      <c r="F41" s="8">
        <v>0.54</v>
      </c>
      <c r="G41" s="12">
        <v>16</v>
      </c>
      <c r="H41" s="8">
        <v>2.5</v>
      </c>
      <c r="I41" s="12">
        <v>0</v>
      </c>
    </row>
    <row r="42" spans="2:9" ht="15" customHeight="1" x14ac:dyDescent="0.2">
      <c r="B42" t="s">
        <v>125</v>
      </c>
      <c r="C42" s="12">
        <v>18</v>
      </c>
      <c r="D42" s="8">
        <v>1.29</v>
      </c>
      <c r="E42" s="12">
        <v>3</v>
      </c>
      <c r="F42" s="8">
        <v>0.41</v>
      </c>
      <c r="G42" s="12">
        <v>15</v>
      </c>
      <c r="H42" s="8">
        <v>2.35</v>
      </c>
      <c r="I42" s="12">
        <v>0</v>
      </c>
    </row>
    <row r="43" spans="2:9" ht="15" customHeight="1" x14ac:dyDescent="0.2">
      <c r="B43" t="s">
        <v>130</v>
      </c>
      <c r="C43" s="12">
        <v>17</v>
      </c>
      <c r="D43" s="8">
        <v>1.22</v>
      </c>
      <c r="E43" s="12">
        <v>10</v>
      </c>
      <c r="F43" s="8">
        <v>1.36</v>
      </c>
      <c r="G43" s="12">
        <v>7</v>
      </c>
      <c r="H43" s="8">
        <v>1.1000000000000001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191</v>
      </c>
      <c r="C47" s="12">
        <v>74</v>
      </c>
      <c r="D47" s="8">
        <v>5.32</v>
      </c>
      <c r="E47" s="12">
        <v>70</v>
      </c>
      <c r="F47" s="8">
        <v>9.5399999999999991</v>
      </c>
      <c r="G47" s="12">
        <v>4</v>
      </c>
      <c r="H47" s="8">
        <v>0.63</v>
      </c>
      <c r="I47" s="12">
        <v>0</v>
      </c>
    </row>
    <row r="48" spans="2:9" ht="15" customHeight="1" x14ac:dyDescent="0.2">
      <c r="B48" t="s">
        <v>183</v>
      </c>
      <c r="C48" s="12">
        <v>66</v>
      </c>
      <c r="D48" s="8">
        <v>4.74</v>
      </c>
      <c r="E48" s="12">
        <v>43</v>
      </c>
      <c r="F48" s="8">
        <v>5.86</v>
      </c>
      <c r="G48" s="12">
        <v>23</v>
      </c>
      <c r="H48" s="8">
        <v>3.6</v>
      </c>
      <c r="I48" s="12">
        <v>0</v>
      </c>
    </row>
    <row r="49" spans="2:9" ht="15" customHeight="1" x14ac:dyDescent="0.2">
      <c r="B49" t="s">
        <v>189</v>
      </c>
      <c r="C49" s="12">
        <v>45</v>
      </c>
      <c r="D49" s="8">
        <v>3.24</v>
      </c>
      <c r="E49" s="12">
        <v>45</v>
      </c>
      <c r="F49" s="8">
        <v>6.13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185</v>
      </c>
      <c r="C50" s="12">
        <v>40</v>
      </c>
      <c r="D50" s="8">
        <v>2.88</v>
      </c>
      <c r="E50" s="12">
        <v>38</v>
      </c>
      <c r="F50" s="8">
        <v>5.18</v>
      </c>
      <c r="G50" s="12">
        <v>2</v>
      </c>
      <c r="H50" s="8">
        <v>0.31</v>
      </c>
      <c r="I50" s="12">
        <v>0</v>
      </c>
    </row>
    <row r="51" spans="2:9" ht="15" customHeight="1" x14ac:dyDescent="0.2">
      <c r="B51" t="s">
        <v>190</v>
      </c>
      <c r="C51" s="12">
        <v>37</v>
      </c>
      <c r="D51" s="8">
        <v>2.66</v>
      </c>
      <c r="E51" s="12">
        <v>36</v>
      </c>
      <c r="F51" s="8">
        <v>4.9000000000000004</v>
      </c>
      <c r="G51" s="12">
        <v>1</v>
      </c>
      <c r="H51" s="8">
        <v>0.16</v>
      </c>
      <c r="I51" s="12">
        <v>0</v>
      </c>
    </row>
    <row r="52" spans="2:9" ht="15" customHeight="1" x14ac:dyDescent="0.2">
      <c r="B52" t="s">
        <v>192</v>
      </c>
      <c r="C52" s="12">
        <v>35</v>
      </c>
      <c r="D52" s="8">
        <v>2.52</v>
      </c>
      <c r="E52" s="12">
        <v>27</v>
      </c>
      <c r="F52" s="8">
        <v>3.68</v>
      </c>
      <c r="G52" s="12">
        <v>8</v>
      </c>
      <c r="H52" s="8">
        <v>1.25</v>
      </c>
      <c r="I52" s="12">
        <v>0</v>
      </c>
    </row>
    <row r="53" spans="2:9" ht="15" customHeight="1" x14ac:dyDescent="0.2">
      <c r="B53" t="s">
        <v>193</v>
      </c>
      <c r="C53" s="12">
        <v>33</v>
      </c>
      <c r="D53" s="8">
        <v>2.37</v>
      </c>
      <c r="E53" s="12">
        <v>28</v>
      </c>
      <c r="F53" s="8">
        <v>3.81</v>
      </c>
      <c r="G53" s="12">
        <v>5</v>
      </c>
      <c r="H53" s="8">
        <v>0.78</v>
      </c>
      <c r="I53" s="12">
        <v>0</v>
      </c>
    </row>
    <row r="54" spans="2:9" ht="15" customHeight="1" x14ac:dyDescent="0.2">
      <c r="B54" t="s">
        <v>188</v>
      </c>
      <c r="C54" s="12">
        <v>32</v>
      </c>
      <c r="D54" s="8">
        <v>2.2999999999999998</v>
      </c>
      <c r="E54" s="12">
        <v>31</v>
      </c>
      <c r="F54" s="8">
        <v>4.22</v>
      </c>
      <c r="G54" s="12">
        <v>1</v>
      </c>
      <c r="H54" s="8">
        <v>0.16</v>
      </c>
      <c r="I54" s="12">
        <v>0</v>
      </c>
    </row>
    <row r="55" spans="2:9" ht="15" customHeight="1" x14ac:dyDescent="0.2">
      <c r="B55" t="s">
        <v>187</v>
      </c>
      <c r="C55" s="12">
        <v>30</v>
      </c>
      <c r="D55" s="8">
        <v>2.16</v>
      </c>
      <c r="E55" s="12">
        <v>24</v>
      </c>
      <c r="F55" s="8">
        <v>3.27</v>
      </c>
      <c r="G55" s="12">
        <v>6</v>
      </c>
      <c r="H55" s="8">
        <v>0.94</v>
      </c>
      <c r="I55" s="12">
        <v>0</v>
      </c>
    </row>
    <row r="56" spans="2:9" ht="15" customHeight="1" x14ac:dyDescent="0.2">
      <c r="B56" t="s">
        <v>181</v>
      </c>
      <c r="C56" s="12">
        <v>29</v>
      </c>
      <c r="D56" s="8">
        <v>2.08</v>
      </c>
      <c r="E56" s="12">
        <v>20</v>
      </c>
      <c r="F56" s="8">
        <v>2.72</v>
      </c>
      <c r="G56" s="12">
        <v>9</v>
      </c>
      <c r="H56" s="8">
        <v>1.41</v>
      </c>
      <c r="I56" s="12">
        <v>0</v>
      </c>
    </row>
    <row r="57" spans="2:9" ht="15" customHeight="1" x14ac:dyDescent="0.2">
      <c r="B57" t="s">
        <v>180</v>
      </c>
      <c r="C57" s="12">
        <v>28</v>
      </c>
      <c r="D57" s="8">
        <v>2.0099999999999998</v>
      </c>
      <c r="E57" s="12">
        <v>12</v>
      </c>
      <c r="F57" s="8">
        <v>1.63</v>
      </c>
      <c r="G57" s="12">
        <v>16</v>
      </c>
      <c r="H57" s="8">
        <v>2.5</v>
      </c>
      <c r="I57" s="12">
        <v>0</v>
      </c>
    </row>
    <row r="58" spans="2:9" ht="15" customHeight="1" x14ac:dyDescent="0.2">
      <c r="B58" t="s">
        <v>176</v>
      </c>
      <c r="C58" s="12">
        <v>25</v>
      </c>
      <c r="D58" s="8">
        <v>1.8</v>
      </c>
      <c r="E58" s="12">
        <v>10</v>
      </c>
      <c r="F58" s="8">
        <v>1.36</v>
      </c>
      <c r="G58" s="12">
        <v>15</v>
      </c>
      <c r="H58" s="8">
        <v>2.35</v>
      </c>
      <c r="I58" s="12">
        <v>0</v>
      </c>
    </row>
    <row r="59" spans="2:9" ht="15" customHeight="1" x14ac:dyDescent="0.2">
      <c r="B59" t="s">
        <v>178</v>
      </c>
      <c r="C59" s="12">
        <v>24</v>
      </c>
      <c r="D59" s="8">
        <v>1.73</v>
      </c>
      <c r="E59" s="12">
        <v>6</v>
      </c>
      <c r="F59" s="8">
        <v>0.82</v>
      </c>
      <c r="G59" s="12">
        <v>18</v>
      </c>
      <c r="H59" s="8">
        <v>2.82</v>
      </c>
      <c r="I59" s="12">
        <v>0</v>
      </c>
    </row>
    <row r="60" spans="2:9" ht="15" customHeight="1" x14ac:dyDescent="0.2">
      <c r="B60" t="s">
        <v>177</v>
      </c>
      <c r="C60" s="12">
        <v>22</v>
      </c>
      <c r="D60" s="8">
        <v>1.58</v>
      </c>
      <c r="E60" s="12">
        <v>5</v>
      </c>
      <c r="F60" s="8">
        <v>0.68</v>
      </c>
      <c r="G60" s="12">
        <v>17</v>
      </c>
      <c r="H60" s="8">
        <v>2.66</v>
      </c>
      <c r="I60" s="12">
        <v>0</v>
      </c>
    </row>
    <row r="61" spans="2:9" ht="15" customHeight="1" x14ac:dyDescent="0.2">
      <c r="B61" t="s">
        <v>186</v>
      </c>
      <c r="C61" s="12">
        <v>22</v>
      </c>
      <c r="D61" s="8">
        <v>1.58</v>
      </c>
      <c r="E61" s="12">
        <v>18</v>
      </c>
      <c r="F61" s="8">
        <v>2.4500000000000002</v>
      </c>
      <c r="G61" s="12">
        <v>4</v>
      </c>
      <c r="H61" s="8">
        <v>0.63</v>
      </c>
      <c r="I61" s="12">
        <v>0</v>
      </c>
    </row>
    <row r="62" spans="2:9" ht="15" customHeight="1" x14ac:dyDescent="0.2">
      <c r="B62" t="s">
        <v>205</v>
      </c>
      <c r="C62" s="12">
        <v>20</v>
      </c>
      <c r="D62" s="8">
        <v>1.44</v>
      </c>
      <c r="E62" s="12">
        <v>14</v>
      </c>
      <c r="F62" s="8">
        <v>1.91</v>
      </c>
      <c r="G62" s="12">
        <v>6</v>
      </c>
      <c r="H62" s="8">
        <v>0.94</v>
      </c>
      <c r="I62" s="12">
        <v>0</v>
      </c>
    </row>
    <row r="63" spans="2:9" ht="15" customHeight="1" x14ac:dyDescent="0.2">
      <c r="B63" t="s">
        <v>209</v>
      </c>
      <c r="C63" s="12">
        <v>20</v>
      </c>
      <c r="D63" s="8">
        <v>1.44</v>
      </c>
      <c r="E63" s="12">
        <v>15</v>
      </c>
      <c r="F63" s="8">
        <v>2.04</v>
      </c>
      <c r="G63" s="12">
        <v>5</v>
      </c>
      <c r="H63" s="8">
        <v>0.78</v>
      </c>
      <c r="I63" s="12">
        <v>0</v>
      </c>
    </row>
    <row r="64" spans="2:9" ht="15" customHeight="1" x14ac:dyDescent="0.2">
      <c r="B64" t="s">
        <v>182</v>
      </c>
      <c r="C64" s="12">
        <v>19</v>
      </c>
      <c r="D64" s="8">
        <v>1.37</v>
      </c>
      <c r="E64" s="12">
        <v>4</v>
      </c>
      <c r="F64" s="8">
        <v>0.54</v>
      </c>
      <c r="G64" s="12">
        <v>14</v>
      </c>
      <c r="H64" s="8">
        <v>2.19</v>
      </c>
      <c r="I64" s="12">
        <v>1</v>
      </c>
    </row>
    <row r="65" spans="2:9" ht="15" customHeight="1" x14ac:dyDescent="0.2">
      <c r="B65" t="s">
        <v>184</v>
      </c>
      <c r="C65" s="12">
        <v>19</v>
      </c>
      <c r="D65" s="8">
        <v>1.37</v>
      </c>
      <c r="E65" s="12">
        <v>5</v>
      </c>
      <c r="F65" s="8">
        <v>0.68</v>
      </c>
      <c r="G65" s="12">
        <v>14</v>
      </c>
      <c r="H65" s="8">
        <v>2.19</v>
      </c>
      <c r="I65" s="12">
        <v>0</v>
      </c>
    </row>
    <row r="66" spans="2:9" ht="15" customHeight="1" x14ac:dyDescent="0.2">
      <c r="B66" t="s">
        <v>175</v>
      </c>
      <c r="C66" s="12">
        <v>18</v>
      </c>
      <c r="D66" s="8">
        <v>1.29</v>
      </c>
      <c r="E66" s="12">
        <v>4</v>
      </c>
      <c r="F66" s="8">
        <v>0.54</v>
      </c>
      <c r="G66" s="12">
        <v>14</v>
      </c>
      <c r="H66" s="8">
        <v>2.19</v>
      </c>
      <c r="I66" s="12">
        <v>0</v>
      </c>
    </row>
    <row r="67" spans="2:9" ht="15" customHeight="1" x14ac:dyDescent="0.2">
      <c r="B67" t="s">
        <v>208</v>
      </c>
      <c r="C67" s="12">
        <v>18</v>
      </c>
      <c r="D67" s="8">
        <v>1.29</v>
      </c>
      <c r="E67" s="12">
        <v>2</v>
      </c>
      <c r="F67" s="8">
        <v>0.27</v>
      </c>
      <c r="G67" s="12">
        <v>16</v>
      </c>
      <c r="H67" s="8">
        <v>2.5</v>
      </c>
      <c r="I67" s="12">
        <v>0</v>
      </c>
    </row>
    <row r="68" spans="2:9" ht="15" customHeight="1" x14ac:dyDescent="0.2">
      <c r="B68" t="s">
        <v>194</v>
      </c>
      <c r="C68" s="12">
        <v>18</v>
      </c>
      <c r="D68" s="8">
        <v>1.29</v>
      </c>
      <c r="E68" s="12">
        <v>5</v>
      </c>
      <c r="F68" s="8">
        <v>0.68</v>
      </c>
      <c r="G68" s="12">
        <v>13</v>
      </c>
      <c r="H68" s="8">
        <v>2.0299999999999998</v>
      </c>
      <c r="I68" s="12">
        <v>0</v>
      </c>
    </row>
    <row r="70" spans="2:9" ht="15" customHeight="1" x14ac:dyDescent="0.2">
      <c r="B70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1F3C6-72BE-4CFB-B418-65F289F9014F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374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2</v>
      </c>
      <c r="D5" s="8">
        <v>0.17</v>
      </c>
      <c r="E5" s="12">
        <v>0</v>
      </c>
      <c r="F5" s="8">
        <v>0</v>
      </c>
      <c r="G5" s="12">
        <v>2</v>
      </c>
      <c r="H5" s="8">
        <v>0.39</v>
      </c>
      <c r="I5" s="12">
        <v>0</v>
      </c>
    </row>
    <row r="6" spans="2:9" ht="15" customHeight="1" x14ac:dyDescent="0.2">
      <c r="B6" t="s">
        <v>79</v>
      </c>
      <c r="C6" s="12">
        <v>180</v>
      </c>
      <c r="D6" s="8">
        <v>15.56</v>
      </c>
      <c r="E6" s="12">
        <v>82</v>
      </c>
      <c r="F6" s="8">
        <v>13.06</v>
      </c>
      <c r="G6" s="12">
        <v>98</v>
      </c>
      <c r="H6" s="8">
        <v>18.920000000000002</v>
      </c>
      <c r="I6" s="12">
        <v>0</v>
      </c>
    </row>
    <row r="7" spans="2:9" ht="15" customHeight="1" x14ac:dyDescent="0.2">
      <c r="B7" t="s">
        <v>80</v>
      </c>
      <c r="C7" s="12">
        <v>126</v>
      </c>
      <c r="D7" s="8">
        <v>10.89</v>
      </c>
      <c r="E7" s="12">
        <v>54</v>
      </c>
      <c r="F7" s="8">
        <v>8.6</v>
      </c>
      <c r="G7" s="12">
        <v>72</v>
      </c>
      <c r="H7" s="8">
        <v>13.9</v>
      </c>
      <c r="I7" s="12">
        <v>0</v>
      </c>
    </row>
    <row r="8" spans="2:9" ht="15" customHeight="1" x14ac:dyDescent="0.2">
      <c r="B8" t="s">
        <v>81</v>
      </c>
      <c r="C8" s="12">
        <v>3</v>
      </c>
      <c r="D8" s="8">
        <v>0.26</v>
      </c>
      <c r="E8" s="12">
        <v>1</v>
      </c>
      <c r="F8" s="8">
        <v>0.16</v>
      </c>
      <c r="G8" s="12">
        <v>2</v>
      </c>
      <c r="H8" s="8">
        <v>0.39</v>
      </c>
      <c r="I8" s="12">
        <v>0</v>
      </c>
    </row>
    <row r="9" spans="2:9" ht="15" customHeight="1" x14ac:dyDescent="0.2">
      <c r="B9" t="s">
        <v>82</v>
      </c>
      <c r="C9" s="12">
        <v>11</v>
      </c>
      <c r="D9" s="8">
        <v>0.95</v>
      </c>
      <c r="E9" s="12">
        <v>0</v>
      </c>
      <c r="F9" s="8">
        <v>0</v>
      </c>
      <c r="G9" s="12">
        <v>11</v>
      </c>
      <c r="H9" s="8">
        <v>2.12</v>
      </c>
      <c r="I9" s="12">
        <v>0</v>
      </c>
    </row>
    <row r="10" spans="2:9" ht="15" customHeight="1" x14ac:dyDescent="0.2">
      <c r="B10" t="s">
        <v>83</v>
      </c>
      <c r="C10" s="12">
        <v>6</v>
      </c>
      <c r="D10" s="8">
        <v>0.52</v>
      </c>
      <c r="E10" s="12">
        <v>1</v>
      </c>
      <c r="F10" s="8">
        <v>0.16</v>
      </c>
      <c r="G10" s="12">
        <v>5</v>
      </c>
      <c r="H10" s="8">
        <v>0.97</v>
      </c>
      <c r="I10" s="12">
        <v>0</v>
      </c>
    </row>
    <row r="11" spans="2:9" ht="15" customHeight="1" x14ac:dyDescent="0.2">
      <c r="B11" t="s">
        <v>84</v>
      </c>
      <c r="C11" s="12">
        <v>253</v>
      </c>
      <c r="D11" s="8">
        <v>21.87</v>
      </c>
      <c r="E11" s="12">
        <v>111</v>
      </c>
      <c r="F11" s="8">
        <v>17.68</v>
      </c>
      <c r="G11" s="12">
        <v>140</v>
      </c>
      <c r="H11" s="8">
        <v>27.03</v>
      </c>
      <c r="I11" s="12">
        <v>2</v>
      </c>
    </row>
    <row r="12" spans="2:9" ht="15" customHeight="1" x14ac:dyDescent="0.2">
      <c r="B12" t="s">
        <v>85</v>
      </c>
      <c r="C12" s="12">
        <v>8</v>
      </c>
      <c r="D12" s="8">
        <v>0.69</v>
      </c>
      <c r="E12" s="12">
        <v>2</v>
      </c>
      <c r="F12" s="8">
        <v>0.32</v>
      </c>
      <c r="G12" s="12">
        <v>6</v>
      </c>
      <c r="H12" s="8">
        <v>1.1599999999999999</v>
      </c>
      <c r="I12" s="12">
        <v>0</v>
      </c>
    </row>
    <row r="13" spans="2:9" ht="15" customHeight="1" x14ac:dyDescent="0.2">
      <c r="B13" t="s">
        <v>86</v>
      </c>
      <c r="C13" s="12">
        <v>96</v>
      </c>
      <c r="D13" s="8">
        <v>8.3000000000000007</v>
      </c>
      <c r="E13" s="12">
        <v>40</v>
      </c>
      <c r="F13" s="8">
        <v>6.37</v>
      </c>
      <c r="G13" s="12">
        <v>56</v>
      </c>
      <c r="H13" s="8">
        <v>10.81</v>
      </c>
      <c r="I13" s="12">
        <v>0</v>
      </c>
    </row>
    <row r="14" spans="2:9" ht="15" customHeight="1" x14ac:dyDescent="0.2">
      <c r="B14" t="s">
        <v>87</v>
      </c>
      <c r="C14" s="12">
        <v>62</v>
      </c>
      <c r="D14" s="8">
        <v>5.36</v>
      </c>
      <c r="E14" s="12">
        <v>38</v>
      </c>
      <c r="F14" s="8">
        <v>6.05</v>
      </c>
      <c r="G14" s="12">
        <v>24</v>
      </c>
      <c r="H14" s="8">
        <v>4.63</v>
      </c>
      <c r="I14" s="12">
        <v>0</v>
      </c>
    </row>
    <row r="15" spans="2:9" ht="15" customHeight="1" x14ac:dyDescent="0.2">
      <c r="B15" t="s">
        <v>88</v>
      </c>
      <c r="C15" s="12">
        <v>168</v>
      </c>
      <c r="D15" s="8">
        <v>14.52</v>
      </c>
      <c r="E15" s="12">
        <v>140</v>
      </c>
      <c r="F15" s="8">
        <v>22.29</v>
      </c>
      <c r="G15" s="12">
        <v>28</v>
      </c>
      <c r="H15" s="8">
        <v>5.41</v>
      </c>
      <c r="I15" s="12">
        <v>0</v>
      </c>
    </row>
    <row r="16" spans="2:9" ht="15" customHeight="1" x14ac:dyDescent="0.2">
      <c r="B16" t="s">
        <v>89</v>
      </c>
      <c r="C16" s="12">
        <v>130</v>
      </c>
      <c r="D16" s="8">
        <v>11.24</v>
      </c>
      <c r="E16" s="12">
        <v>102</v>
      </c>
      <c r="F16" s="8">
        <v>16.239999999999998</v>
      </c>
      <c r="G16" s="12">
        <v>27</v>
      </c>
      <c r="H16" s="8">
        <v>5.21</v>
      </c>
      <c r="I16" s="12">
        <v>1</v>
      </c>
    </row>
    <row r="17" spans="2:9" ht="15" customHeight="1" x14ac:dyDescent="0.2">
      <c r="B17" t="s">
        <v>90</v>
      </c>
      <c r="C17" s="12">
        <v>30</v>
      </c>
      <c r="D17" s="8">
        <v>2.59</v>
      </c>
      <c r="E17" s="12">
        <v>14</v>
      </c>
      <c r="F17" s="8">
        <v>2.23</v>
      </c>
      <c r="G17" s="12">
        <v>12</v>
      </c>
      <c r="H17" s="8">
        <v>2.3199999999999998</v>
      </c>
      <c r="I17" s="12">
        <v>0</v>
      </c>
    </row>
    <row r="18" spans="2:9" ht="15" customHeight="1" x14ac:dyDescent="0.2">
      <c r="B18" t="s">
        <v>91</v>
      </c>
      <c r="C18" s="12">
        <v>45</v>
      </c>
      <c r="D18" s="8">
        <v>3.89</v>
      </c>
      <c r="E18" s="12">
        <v>27</v>
      </c>
      <c r="F18" s="8">
        <v>4.3</v>
      </c>
      <c r="G18" s="12">
        <v>14</v>
      </c>
      <c r="H18" s="8">
        <v>2.7</v>
      </c>
      <c r="I18" s="12">
        <v>0</v>
      </c>
    </row>
    <row r="19" spans="2:9" ht="15" customHeight="1" x14ac:dyDescent="0.2">
      <c r="B19" t="s">
        <v>92</v>
      </c>
      <c r="C19" s="12">
        <v>37</v>
      </c>
      <c r="D19" s="8">
        <v>3.2</v>
      </c>
      <c r="E19" s="12">
        <v>16</v>
      </c>
      <c r="F19" s="8">
        <v>2.5499999999999998</v>
      </c>
      <c r="G19" s="12">
        <v>21</v>
      </c>
      <c r="H19" s="8">
        <v>4.05</v>
      </c>
      <c r="I19" s="12">
        <v>0</v>
      </c>
    </row>
    <row r="20" spans="2:9" ht="15" customHeight="1" x14ac:dyDescent="0.2">
      <c r="B20" s="9" t="s">
        <v>363</v>
      </c>
      <c r="C20" s="12">
        <f>SUM(LTBL_20208[総数／事業所数])</f>
        <v>1157</v>
      </c>
      <c r="E20" s="12">
        <f>SUBTOTAL(109,LTBL_20208[個人／事業所数])</f>
        <v>628</v>
      </c>
      <c r="G20" s="12">
        <f>SUBTOTAL(109,LTBL_20208[法人／事業所数])</f>
        <v>518</v>
      </c>
      <c r="I20" s="12">
        <f>SUBTOTAL(109,LTBL_20208[法人以外の団体／事業所数])</f>
        <v>3</v>
      </c>
    </row>
    <row r="21" spans="2:9" ht="15" customHeight="1" x14ac:dyDescent="0.2">
      <c r="E21" s="11">
        <f>LTBL_20208[[#Totals],[個人／事業所数]]/LTBL_20208[[#Totals],[総数／事業所数]]</f>
        <v>0.54278305963699225</v>
      </c>
      <c r="G21" s="11">
        <f>LTBL_20208[[#Totals],[法人／事業所数]]/LTBL_20208[[#Totals],[総数／事業所数]]</f>
        <v>0.44770959377700953</v>
      </c>
      <c r="I21" s="11">
        <f>LTBL_20208[[#Totals],[法人以外の団体／事業所数]]/LTBL_20208[[#Totals],[総数／事業所数]]</f>
        <v>2.5929127052722557E-3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147</v>
      </c>
      <c r="D24" s="8">
        <v>12.71</v>
      </c>
      <c r="E24" s="12">
        <v>131</v>
      </c>
      <c r="F24" s="8">
        <v>20.86</v>
      </c>
      <c r="G24" s="12">
        <v>16</v>
      </c>
      <c r="H24" s="8">
        <v>3.09</v>
      </c>
      <c r="I24" s="12">
        <v>0</v>
      </c>
    </row>
    <row r="25" spans="2:9" ht="15" customHeight="1" x14ac:dyDescent="0.2">
      <c r="B25" t="s">
        <v>116</v>
      </c>
      <c r="C25" s="12">
        <v>111</v>
      </c>
      <c r="D25" s="8">
        <v>9.59</v>
      </c>
      <c r="E25" s="12">
        <v>95</v>
      </c>
      <c r="F25" s="8">
        <v>15.13</v>
      </c>
      <c r="G25" s="12">
        <v>16</v>
      </c>
      <c r="H25" s="8">
        <v>3.09</v>
      </c>
      <c r="I25" s="12">
        <v>0</v>
      </c>
    </row>
    <row r="26" spans="2:9" ht="15" customHeight="1" x14ac:dyDescent="0.2">
      <c r="B26" t="s">
        <v>101</v>
      </c>
      <c r="C26" s="12">
        <v>79</v>
      </c>
      <c r="D26" s="8">
        <v>6.83</v>
      </c>
      <c r="E26" s="12">
        <v>23</v>
      </c>
      <c r="F26" s="8">
        <v>3.66</v>
      </c>
      <c r="G26" s="12">
        <v>56</v>
      </c>
      <c r="H26" s="8">
        <v>10.81</v>
      </c>
      <c r="I26" s="12">
        <v>0</v>
      </c>
    </row>
    <row r="27" spans="2:9" ht="15" customHeight="1" x14ac:dyDescent="0.2">
      <c r="B27" t="s">
        <v>111</v>
      </c>
      <c r="C27" s="12">
        <v>77</v>
      </c>
      <c r="D27" s="8">
        <v>6.66</v>
      </c>
      <c r="E27" s="12">
        <v>40</v>
      </c>
      <c r="F27" s="8">
        <v>6.37</v>
      </c>
      <c r="G27" s="12">
        <v>37</v>
      </c>
      <c r="H27" s="8">
        <v>7.14</v>
      </c>
      <c r="I27" s="12">
        <v>0</v>
      </c>
    </row>
    <row r="28" spans="2:9" ht="15" customHeight="1" x14ac:dyDescent="0.2">
      <c r="B28" t="s">
        <v>110</v>
      </c>
      <c r="C28" s="12">
        <v>73</v>
      </c>
      <c r="D28" s="8">
        <v>6.31</v>
      </c>
      <c r="E28" s="12">
        <v>29</v>
      </c>
      <c r="F28" s="8">
        <v>4.62</v>
      </c>
      <c r="G28" s="12">
        <v>44</v>
      </c>
      <c r="H28" s="8">
        <v>8.49</v>
      </c>
      <c r="I28" s="12">
        <v>0</v>
      </c>
    </row>
    <row r="29" spans="2:9" ht="15" customHeight="1" x14ac:dyDescent="0.2">
      <c r="B29" t="s">
        <v>102</v>
      </c>
      <c r="C29" s="12">
        <v>67</v>
      </c>
      <c r="D29" s="8">
        <v>5.79</v>
      </c>
      <c r="E29" s="12">
        <v>48</v>
      </c>
      <c r="F29" s="8">
        <v>7.64</v>
      </c>
      <c r="G29" s="12">
        <v>19</v>
      </c>
      <c r="H29" s="8">
        <v>3.67</v>
      </c>
      <c r="I29" s="12">
        <v>0</v>
      </c>
    </row>
    <row r="30" spans="2:9" ht="15" customHeight="1" x14ac:dyDescent="0.2">
      <c r="B30" t="s">
        <v>108</v>
      </c>
      <c r="C30" s="12">
        <v>55</v>
      </c>
      <c r="D30" s="8">
        <v>4.75</v>
      </c>
      <c r="E30" s="12">
        <v>36</v>
      </c>
      <c r="F30" s="8">
        <v>5.73</v>
      </c>
      <c r="G30" s="12">
        <v>17</v>
      </c>
      <c r="H30" s="8">
        <v>3.28</v>
      </c>
      <c r="I30" s="12">
        <v>2</v>
      </c>
    </row>
    <row r="31" spans="2:9" ht="15" customHeight="1" x14ac:dyDescent="0.2">
      <c r="B31" t="s">
        <v>109</v>
      </c>
      <c r="C31" s="12">
        <v>38</v>
      </c>
      <c r="D31" s="8">
        <v>3.28</v>
      </c>
      <c r="E31" s="12">
        <v>21</v>
      </c>
      <c r="F31" s="8">
        <v>3.34</v>
      </c>
      <c r="G31" s="12">
        <v>17</v>
      </c>
      <c r="H31" s="8">
        <v>3.28</v>
      </c>
      <c r="I31" s="12">
        <v>0</v>
      </c>
    </row>
    <row r="32" spans="2:9" ht="15" customHeight="1" x14ac:dyDescent="0.2">
      <c r="B32" t="s">
        <v>103</v>
      </c>
      <c r="C32" s="12">
        <v>34</v>
      </c>
      <c r="D32" s="8">
        <v>2.94</v>
      </c>
      <c r="E32" s="12">
        <v>11</v>
      </c>
      <c r="F32" s="8">
        <v>1.75</v>
      </c>
      <c r="G32" s="12">
        <v>23</v>
      </c>
      <c r="H32" s="8">
        <v>4.4400000000000004</v>
      </c>
      <c r="I32" s="12">
        <v>0</v>
      </c>
    </row>
    <row r="33" spans="2:9" ht="15" customHeight="1" x14ac:dyDescent="0.2">
      <c r="B33" t="s">
        <v>113</v>
      </c>
      <c r="C33" s="12">
        <v>31</v>
      </c>
      <c r="D33" s="8">
        <v>2.68</v>
      </c>
      <c r="E33" s="12">
        <v>15</v>
      </c>
      <c r="F33" s="8">
        <v>2.39</v>
      </c>
      <c r="G33" s="12">
        <v>16</v>
      </c>
      <c r="H33" s="8">
        <v>3.09</v>
      </c>
      <c r="I33" s="12">
        <v>0</v>
      </c>
    </row>
    <row r="34" spans="2:9" ht="15" customHeight="1" x14ac:dyDescent="0.2">
      <c r="B34" t="s">
        <v>118</v>
      </c>
      <c r="C34" s="12">
        <v>31</v>
      </c>
      <c r="D34" s="8">
        <v>2.68</v>
      </c>
      <c r="E34" s="12">
        <v>27</v>
      </c>
      <c r="F34" s="8">
        <v>4.3</v>
      </c>
      <c r="G34" s="12">
        <v>4</v>
      </c>
      <c r="H34" s="8">
        <v>0.77</v>
      </c>
      <c r="I34" s="12">
        <v>0</v>
      </c>
    </row>
    <row r="35" spans="2:9" ht="15" customHeight="1" x14ac:dyDescent="0.2">
      <c r="B35" t="s">
        <v>112</v>
      </c>
      <c r="C35" s="12">
        <v>30</v>
      </c>
      <c r="D35" s="8">
        <v>2.59</v>
      </c>
      <c r="E35" s="12">
        <v>23</v>
      </c>
      <c r="F35" s="8">
        <v>3.66</v>
      </c>
      <c r="G35" s="12">
        <v>7</v>
      </c>
      <c r="H35" s="8">
        <v>1.35</v>
      </c>
      <c r="I35" s="12">
        <v>0</v>
      </c>
    </row>
    <row r="36" spans="2:9" ht="15" customHeight="1" x14ac:dyDescent="0.2">
      <c r="B36" t="s">
        <v>117</v>
      </c>
      <c r="C36" s="12">
        <v>30</v>
      </c>
      <c r="D36" s="8">
        <v>2.59</v>
      </c>
      <c r="E36" s="12">
        <v>14</v>
      </c>
      <c r="F36" s="8">
        <v>2.23</v>
      </c>
      <c r="G36" s="12">
        <v>12</v>
      </c>
      <c r="H36" s="8">
        <v>2.3199999999999998</v>
      </c>
      <c r="I36" s="12">
        <v>0</v>
      </c>
    </row>
    <row r="37" spans="2:9" ht="15" customHeight="1" x14ac:dyDescent="0.2">
      <c r="B37" t="s">
        <v>120</v>
      </c>
      <c r="C37" s="12">
        <v>19</v>
      </c>
      <c r="D37" s="8">
        <v>1.64</v>
      </c>
      <c r="E37" s="12">
        <v>12</v>
      </c>
      <c r="F37" s="8">
        <v>1.91</v>
      </c>
      <c r="G37" s="12">
        <v>7</v>
      </c>
      <c r="H37" s="8">
        <v>1.35</v>
      </c>
      <c r="I37" s="12">
        <v>0</v>
      </c>
    </row>
    <row r="38" spans="2:9" ht="15" customHeight="1" x14ac:dyDescent="0.2">
      <c r="B38" t="s">
        <v>107</v>
      </c>
      <c r="C38" s="12">
        <v>18</v>
      </c>
      <c r="D38" s="8">
        <v>1.56</v>
      </c>
      <c r="E38" s="12">
        <v>9</v>
      </c>
      <c r="F38" s="8">
        <v>1.43</v>
      </c>
      <c r="G38" s="12">
        <v>9</v>
      </c>
      <c r="H38" s="8">
        <v>1.74</v>
      </c>
      <c r="I38" s="12">
        <v>0</v>
      </c>
    </row>
    <row r="39" spans="2:9" ht="15" customHeight="1" x14ac:dyDescent="0.2">
      <c r="B39" t="s">
        <v>121</v>
      </c>
      <c r="C39" s="12">
        <v>17</v>
      </c>
      <c r="D39" s="8">
        <v>1.47</v>
      </c>
      <c r="E39" s="12">
        <v>2</v>
      </c>
      <c r="F39" s="8">
        <v>0.32</v>
      </c>
      <c r="G39" s="12">
        <v>15</v>
      </c>
      <c r="H39" s="8">
        <v>2.9</v>
      </c>
      <c r="I39" s="12">
        <v>0</v>
      </c>
    </row>
    <row r="40" spans="2:9" ht="15" customHeight="1" x14ac:dyDescent="0.2">
      <c r="B40" t="s">
        <v>104</v>
      </c>
      <c r="C40" s="12">
        <v>16</v>
      </c>
      <c r="D40" s="8">
        <v>1.38</v>
      </c>
      <c r="E40" s="12">
        <v>7</v>
      </c>
      <c r="F40" s="8">
        <v>1.1100000000000001</v>
      </c>
      <c r="G40" s="12">
        <v>9</v>
      </c>
      <c r="H40" s="8">
        <v>1.74</v>
      </c>
      <c r="I40" s="12">
        <v>0</v>
      </c>
    </row>
    <row r="41" spans="2:9" ht="15" customHeight="1" x14ac:dyDescent="0.2">
      <c r="B41" t="s">
        <v>125</v>
      </c>
      <c r="C41" s="12">
        <v>16</v>
      </c>
      <c r="D41" s="8">
        <v>1.38</v>
      </c>
      <c r="E41" s="12">
        <v>4</v>
      </c>
      <c r="F41" s="8">
        <v>0.64</v>
      </c>
      <c r="G41" s="12">
        <v>12</v>
      </c>
      <c r="H41" s="8">
        <v>2.3199999999999998</v>
      </c>
      <c r="I41" s="12">
        <v>0</v>
      </c>
    </row>
    <row r="42" spans="2:9" ht="15" customHeight="1" x14ac:dyDescent="0.2">
      <c r="B42" t="s">
        <v>123</v>
      </c>
      <c r="C42" s="12">
        <v>15</v>
      </c>
      <c r="D42" s="8">
        <v>1.3</v>
      </c>
      <c r="E42" s="12">
        <v>0</v>
      </c>
      <c r="F42" s="8">
        <v>0</v>
      </c>
      <c r="G42" s="12">
        <v>15</v>
      </c>
      <c r="H42" s="8">
        <v>2.9</v>
      </c>
      <c r="I42" s="12">
        <v>0</v>
      </c>
    </row>
    <row r="43" spans="2:9" ht="15" customHeight="1" x14ac:dyDescent="0.2">
      <c r="B43" t="s">
        <v>131</v>
      </c>
      <c r="C43" s="12">
        <v>15</v>
      </c>
      <c r="D43" s="8">
        <v>1.3</v>
      </c>
      <c r="E43" s="12">
        <v>6</v>
      </c>
      <c r="F43" s="8">
        <v>0.96</v>
      </c>
      <c r="G43" s="12">
        <v>9</v>
      </c>
      <c r="H43" s="8">
        <v>1.74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191</v>
      </c>
      <c r="C47" s="12">
        <v>56</v>
      </c>
      <c r="D47" s="8">
        <v>4.84</v>
      </c>
      <c r="E47" s="12">
        <v>52</v>
      </c>
      <c r="F47" s="8">
        <v>8.2799999999999994</v>
      </c>
      <c r="G47" s="12">
        <v>4</v>
      </c>
      <c r="H47" s="8">
        <v>0.77</v>
      </c>
      <c r="I47" s="12">
        <v>0</v>
      </c>
    </row>
    <row r="48" spans="2:9" ht="15" customHeight="1" x14ac:dyDescent="0.2">
      <c r="B48" t="s">
        <v>183</v>
      </c>
      <c r="C48" s="12">
        <v>52</v>
      </c>
      <c r="D48" s="8">
        <v>4.49</v>
      </c>
      <c r="E48" s="12">
        <v>37</v>
      </c>
      <c r="F48" s="8">
        <v>5.89</v>
      </c>
      <c r="G48" s="12">
        <v>15</v>
      </c>
      <c r="H48" s="8">
        <v>2.9</v>
      </c>
      <c r="I48" s="12">
        <v>0</v>
      </c>
    </row>
    <row r="49" spans="2:9" ht="15" customHeight="1" x14ac:dyDescent="0.2">
      <c r="B49" t="s">
        <v>187</v>
      </c>
      <c r="C49" s="12">
        <v>44</v>
      </c>
      <c r="D49" s="8">
        <v>3.8</v>
      </c>
      <c r="E49" s="12">
        <v>37</v>
      </c>
      <c r="F49" s="8">
        <v>5.89</v>
      </c>
      <c r="G49" s="12">
        <v>7</v>
      </c>
      <c r="H49" s="8">
        <v>1.35</v>
      </c>
      <c r="I49" s="12">
        <v>0</v>
      </c>
    </row>
    <row r="50" spans="2:9" ht="15" customHeight="1" x14ac:dyDescent="0.2">
      <c r="B50" t="s">
        <v>174</v>
      </c>
      <c r="C50" s="12">
        <v>36</v>
      </c>
      <c r="D50" s="8">
        <v>3.11</v>
      </c>
      <c r="E50" s="12">
        <v>7</v>
      </c>
      <c r="F50" s="8">
        <v>1.1100000000000001</v>
      </c>
      <c r="G50" s="12">
        <v>29</v>
      </c>
      <c r="H50" s="8">
        <v>5.6</v>
      </c>
      <c r="I50" s="12">
        <v>0</v>
      </c>
    </row>
    <row r="51" spans="2:9" ht="15" customHeight="1" x14ac:dyDescent="0.2">
      <c r="B51" t="s">
        <v>190</v>
      </c>
      <c r="C51" s="12">
        <v>36</v>
      </c>
      <c r="D51" s="8">
        <v>3.11</v>
      </c>
      <c r="E51" s="12">
        <v>35</v>
      </c>
      <c r="F51" s="8">
        <v>5.57</v>
      </c>
      <c r="G51" s="12">
        <v>1</v>
      </c>
      <c r="H51" s="8">
        <v>0.19</v>
      </c>
      <c r="I51" s="12">
        <v>0</v>
      </c>
    </row>
    <row r="52" spans="2:9" ht="15" customHeight="1" x14ac:dyDescent="0.2">
      <c r="B52" t="s">
        <v>189</v>
      </c>
      <c r="C52" s="12">
        <v>30</v>
      </c>
      <c r="D52" s="8">
        <v>2.59</v>
      </c>
      <c r="E52" s="12">
        <v>30</v>
      </c>
      <c r="F52" s="8">
        <v>4.78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188</v>
      </c>
      <c r="C53" s="12">
        <v>29</v>
      </c>
      <c r="D53" s="8">
        <v>2.5099999999999998</v>
      </c>
      <c r="E53" s="12">
        <v>28</v>
      </c>
      <c r="F53" s="8">
        <v>4.46</v>
      </c>
      <c r="G53" s="12">
        <v>1</v>
      </c>
      <c r="H53" s="8">
        <v>0.19</v>
      </c>
      <c r="I53" s="12">
        <v>0</v>
      </c>
    </row>
    <row r="54" spans="2:9" ht="15" customHeight="1" x14ac:dyDescent="0.2">
      <c r="B54" t="s">
        <v>180</v>
      </c>
      <c r="C54" s="12">
        <v>26</v>
      </c>
      <c r="D54" s="8">
        <v>2.25</v>
      </c>
      <c r="E54" s="12">
        <v>12</v>
      </c>
      <c r="F54" s="8">
        <v>1.91</v>
      </c>
      <c r="G54" s="12">
        <v>14</v>
      </c>
      <c r="H54" s="8">
        <v>2.7</v>
      </c>
      <c r="I54" s="12">
        <v>0</v>
      </c>
    </row>
    <row r="55" spans="2:9" ht="15" customHeight="1" x14ac:dyDescent="0.2">
      <c r="B55" t="s">
        <v>193</v>
      </c>
      <c r="C55" s="12">
        <v>23</v>
      </c>
      <c r="D55" s="8">
        <v>1.99</v>
      </c>
      <c r="E55" s="12">
        <v>19</v>
      </c>
      <c r="F55" s="8">
        <v>3.03</v>
      </c>
      <c r="G55" s="12">
        <v>4</v>
      </c>
      <c r="H55" s="8">
        <v>0.77</v>
      </c>
      <c r="I55" s="12">
        <v>0</v>
      </c>
    </row>
    <row r="56" spans="2:9" ht="15" customHeight="1" x14ac:dyDescent="0.2">
      <c r="B56" t="s">
        <v>181</v>
      </c>
      <c r="C56" s="12">
        <v>22</v>
      </c>
      <c r="D56" s="8">
        <v>1.9</v>
      </c>
      <c r="E56" s="12">
        <v>11</v>
      </c>
      <c r="F56" s="8">
        <v>1.75</v>
      </c>
      <c r="G56" s="12">
        <v>11</v>
      </c>
      <c r="H56" s="8">
        <v>2.12</v>
      </c>
      <c r="I56" s="12">
        <v>0</v>
      </c>
    </row>
    <row r="57" spans="2:9" ht="15" customHeight="1" x14ac:dyDescent="0.2">
      <c r="B57" t="s">
        <v>176</v>
      </c>
      <c r="C57" s="12">
        <v>21</v>
      </c>
      <c r="D57" s="8">
        <v>1.82</v>
      </c>
      <c r="E57" s="12">
        <v>9</v>
      </c>
      <c r="F57" s="8">
        <v>1.43</v>
      </c>
      <c r="G57" s="12">
        <v>12</v>
      </c>
      <c r="H57" s="8">
        <v>2.3199999999999998</v>
      </c>
      <c r="I57" s="12">
        <v>0</v>
      </c>
    </row>
    <row r="58" spans="2:9" ht="15" customHeight="1" x14ac:dyDescent="0.2">
      <c r="B58" t="s">
        <v>177</v>
      </c>
      <c r="C58" s="12">
        <v>19</v>
      </c>
      <c r="D58" s="8">
        <v>1.64</v>
      </c>
      <c r="E58" s="12">
        <v>10</v>
      </c>
      <c r="F58" s="8">
        <v>1.59</v>
      </c>
      <c r="G58" s="12">
        <v>9</v>
      </c>
      <c r="H58" s="8">
        <v>1.74</v>
      </c>
      <c r="I58" s="12">
        <v>0</v>
      </c>
    </row>
    <row r="59" spans="2:9" ht="15" customHeight="1" x14ac:dyDescent="0.2">
      <c r="B59" t="s">
        <v>184</v>
      </c>
      <c r="C59" s="12">
        <v>19</v>
      </c>
      <c r="D59" s="8">
        <v>1.64</v>
      </c>
      <c r="E59" s="12">
        <v>8</v>
      </c>
      <c r="F59" s="8">
        <v>1.27</v>
      </c>
      <c r="G59" s="12">
        <v>11</v>
      </c>
      <c r="H59" s="8">
        <v>2.12</v>
      </c>
      <c r="I59" s="12">
        <v>0</v>
      </c>
    </row>
    <row r="60" spans="2:9" ht="15" customHeight="1" x14ac:dyDescent="0.2">
      <c r="B60" t="s">
        <v>200</v>
      </c>
      <c r="C60" s="12">
        <v>19</v>
      </c>
      <c r="D60" s="8">
        <v>1.64</v>
      </c>
      <c r="E60" s="12">
        <v>12</v>
      </c>
      <c r="F60" s="8">
        <v>1.91</v>
      </c>
      <c r="G60" s="12">
        <v>7</v>
      </c>
      <c r="H60" s="8">
        <v>1.35</v>
      </c>
      <c r="I60" s="12">
        <v>0</v>
      </c>
    </row>
    <row r="61" spans="2:9" ht="15" customHeight="1" x14ac:dyDescent="0.2">
      <c r="B61" t="s">
        <v>197</v>
      </c>
      <c r="C61" s="12">
        <v>18</v>
      </c>
      <c r="D61" s="8">
        <v>1.56</v>
      </c>
      <c r="E61" s="12">
        <v>13</v>
      </c>
      <c r="F61" s="8">
        <v>2.0699999999999998</v>
      </c>
      <c r="G61" s="12">
        <v>5</v>
      </c>
      <c r="H61" s="8">
        <v>0.97</v>
      </c>
      <c r="I61" s="12">
        <v>0</v>
      </c>
    </row>
    <row r="62" spans="2:9" ht="15" customHeight="1" x14ac:dyDescent="0.2">
      <c r="B62" t="s">
        <v>186</v>
      </c>
      <c r="C62" s="12">
        <v>17</v>
      </c>
      <c r="D62" s="8">
        <v>1.47</v>
      </c>
      <c r="E62" s="12">
        <v>13</v>
      </c>
      <c r="F62" s="8">
        <v>2.0699999999999998</v>
      </c>
      <c r="G62" s="12">
        <v>4</v>
      </c>
      <c r="H62" s="8">
        <v>0.77</v>
      </c>
      <c r="I62" s="12">
        <v>0</v>
      </c>
    </row>
    <row r="63" spans="2:9" ht="15" customHeight="1" x14ac:dyDescent="0.2">
      <c r="B63" t="s">
        <v>210</v>
      </c>
      <c r="C63" s="12">
        <v>14</v>
      </c>
      <c r="D63" s="8">
        <v>1.21</v>
      </c>
      <c r="E63" s="12">
        <v>9</v>
      </c>
      <c r="F63" s="8">
        <v>1.43</v>
      </c>
      <c r="G63" s="12">
        <v>5</v>
      </c>
      <c r="H63" s="8">
        <v>0.97</v>
      </c>
      <c r="I63" s="12">
        <v>0</v>
      </c>
    </row>
    <row r="64" spans="2:9" ht="15" customHeight="1" x14ac:dyDescent="0.2">
      <c r="B64" t="s">
        <v>179</v>
      </c>
      <c r="C64" s="12">
        <v>14</v>
      </c>
      <c r="D64" s="8">
        <v>1.21</v>
      </c>
      <c r="E64" s="12">
        <v>9</v>
      </c>
      <c r="F64" s="8">
        <v>1.43</v>
      </c>
      <c r="G64" s="12">
        <v>5</v>
      </c>
      <c r="H64" s="8">
        <v>0.97</v>
      </c>
      <c r="I64" s="12">
        <v>0</v>
      </c>
    </row>
    <row r="65" spans="2:9" ht="15" customHeight="1" x14ac:dyDescent="0.2">
      <c r="B65" t="s">
        <v>194</v>
      </c>
      <c r="C65" s="12">
        <v>14</v>
      </c>
      <c r="D65" s="8">
        <v>1.21</v>
      </c>
      <c r="E65" s="12">
        <v>2</v>
      </c>
      <c r="F65" s="8">
        <v>0.32</v>
      </c>
      <c r="G65" s="12">
        <v>12</v>
      </c>
      <c r="H65" s="8">
        <v>2.3199999999999998</v>
      </c>
      <c r="I65" s="12">
        <v>0</v>
      </c>
    </row>
    <row r="66" spans="2:9" ht="15" customHeight="1" x14ac:dyDescent="0.2">
      <c r="B66" t="s">
        <v>175</v>
      </c>
      <c r="C66" s="12">
        <v>13</v>
      </c>
      <c r="D66" s="8">
        <v>1.1200000000000001</v>
      </c>
      <c r="E66" s="12">
        <v>4</v>
      </c>
      <c r="F66" s="8">
        <v>0.64</v>
      </c>
      <c r="G66" s="12">
        <v>9</v>
      </c>
      <c r="H66" s="8">
        <v>1.74</v>
      </c>
      <c r="I66" s="12">
        <v>0</v>
      </c>
    </row>
    <row r="67" spans="2:9" ht="15" customHeight="1" x14ac:dyDescent="0.2">
      <c r="B67" t="s">
        <v>211</v>
      </c>
      <c r="C67" s="12">
        <v>13</v>
      </c>
      <c r="D67" s="8">
        <v>1.1200000000000001</v>
      </c>
      <c r="E67" s="12">
        <v>2</v>
      </c>
      <c r="F67" s="8">
        <v>0.32</v>
      </c>
      <c r="G67" s="12">
        <v>11</v>
      </c>
      <c r="H67" s="8">
        <v>2.12</v>
      </c>
      <c r="I67" s="12">
        <v>0</v>
      </c>
    </row>
    <row r="68" spans="2:9" ht="15" customHeight="1" x14ac:dyDescent="0.2">
      <c r="B68" t="s">
        <v>198</v>
      </c>
      <c r="C68" s="12">
        <v>13</v>
      </c>
      <c r="D68" s="8">
        <v>1.1200000000000001</v>
      </c>
      <c r="E68" s="12">
        <v>12</v>
      </c>
      <c r="F68" s="8">
        <v>1.91</v>
      </c>
      <c r="G68" s="12">
        <v>1</v>
      </c>
      <c r="H68" s="8">
        <v>0.19</v>
      </c>
      <c r="I68" s="12">
        <v>0</v>
      </c>
    </row>
    <row r="70" spans="2:9" ht="15" customHeight="1" x14ac:dyDescent="0.2">
      <c r="B70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77E6B-607E-4353-AF43-70A9515654B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375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3</v>
      </c>
      <c r="D5" s="8">
        <v>0.16</v>
      </c>
      <c r="E5" s="12">
        <v>0</v>
      </c>
      <c r="F5" s="8">
        <v>0</v>
      </c>
      <c r="G5" s="12">
        <v>3</v>
      </c>
      <c r="H5" s="8">
        <v>0.33</v>
      </c>
      <c r="I5" s="12">
        <v>0</v>
      </c>
    </row>
    <row r="6" spans="2:9" ht="15" customHeight="1" x14ac:dyDescent="0.2">
      <c r="B6" t="s">
        <v>79</v>
      </c>
      <c r="C6" s="12">
        <v>269</v>
      </c>
      <c r="D6" s="8">
        <v>14.09</v>
      </c>
      <c r="E6" s="12">
        <v>87</v>
      </c>
      <c r="F6" s="8">
        <v>8.9700000000000006</v>
      </c>
      <c r="G6" s="12">
        <v>182</v>
      </c>
      <c r="H6" s="8">
        <v>19.98</v>
      </c>
      <c r="I6" s="12">
        <v>0</v>
      </c>
    </row>
    <row r="7" spans="2:9" ht="15" customHeight="1" x14ac:dyDescent="0.2">
      <c r="B7" t="s">
        <v>80</v>
      </c>
      <c r="C7" s="12">
        <v>199</v>
      </c>
      <c r="D7" s="8">
        <v>10.42</v>
      </c>
      <c r="E7" s="12">
        <v>67</v>
      </c>
      <c r="F7" s="8">
        <v>6.91</v>
      </c>
      <c r="G7" s="12">
        <v>132</v>
      </c>
      <c r="H7" s="8">
        <v>14.49</v>
      </c>
      <c r="I7" s="12">
        <v>0</v>
      </c>
    </row>
    <row r="8" spans="2:9" ht="15" customHeight="1" x14ac:dyDescent="0.2">
      <c r="B8" t="s">
        <v>81</v>
      </c>
      <c r="C8" s="12">
        <v>3</v>
      </c>
      <c r="D8" s="8">
        <v>0.16</v>
      </c>
      <c r="E8" s="12">
        <v>0</v>
      </c>
      <c r="F8" s="8">
        <v>0</v>
      </c>
      <c r="G8" s="12">
        <v>3</v>
      </c>
      <c r="H8" s="8">
        <v>0.33</v>
      </c>
      <c r="I8" s="12">
        <v>0</v>
      </c>
    </row>
    <row r="9" spans="2:9" ht="15" customHeight="1" x14ac:dyDescent="0.2">
      <c r="B9" t="s">
        <v>82</v>
      </c>
      <c r="C9" s="12">
        <v>23</v>
      </c>
      <c r="D9" s="8">
        <v>1.2</v>
      </c>
      <c r="E9" s="12">
        <v>2</v>
      </c>
      <c r="F9" s="8">
        <v>0.21</v>
      </c>
      <c r="G9" s="12">
        <v>21</v>
      </c>
      <c r="H9" s="8">
        <v>2.31</v>
      </c>
      <c r="I9" s="12">
        <v>0</v>
      </c>
    </row>
    <row r="10" spans="2:9" ht="15" customHeight="1" x14ac:dyDescent="0.2">
      <c r="B10" t="s">
        <v>83</v>
      </c>
      <c r="C10" s="12">
        <v>10</v>
      </c>
      <c r="D10" s="8">
        <v>0.52</v>
      </c>
      <c r="E10" s="12">
        <v>0</v>
      </c>
      <c r="F10" s="8">
        <v>0</v>
      </c>
      <c r="G10" s="12">
        <v>10</v>
      </c>
      <c r="H10" s="8">
        <v>1.1000000000000001</v>
      </c>
      <c r="I10" s="12">
        <v>0</v>
      </c>
    </row>
    <row r="11" spans="2:9" ht="15" customHeight="1" x14ac:dyDescent="0.2">
      <c r="B11" t="s">
        <v>84</v>
      </c>
      <c r="C11" s="12">
        <v>433</v>
      </c>
      <c r="D11" s="8">
        <v>22.68</v>
      </c>
      <c r="E11" s="12">
        <v>181</v>
      </c>
      <c r="F11" s="8">
        <v>18.66</v>
      </c>
      <c r="G11" s="12">
        <v>251</v>
      </c>
      <c r="H11" s="8">
        <v>27.55</v>
      </c>
      <c r="I11" s="12">
        <v>1</v>
      </c>
    </row>
    <row r="12" spans="2:9" ht="15" customHeight="1" x14ac:dyDescent="0.2">
      <c r="B12" t="s">
        <v>85</v>
      </c>
      <c r="C12" s="12">
        <v>16</v>
      </c>
      <c r="D12" s="8">
        <v>0.84</v>
      </c>
      <c r="E12" s="12">
        <v>1</v>
      </c>
      <c r="F12" s="8">
        <v>0.1</v>
      </c>
      <c r="G12" s="12">
        <v>15</v>
      </c>
      <c r="H12" s="8">
        <v>1.65</v>
      </c>
      <c r="I12" s="12">
        <v>0</v>
      </c>
    </row>
    <row r="13" spans="2:9" ht="15" customHeight="1" x14ac:dyDescent="0.2">
      <c r="B13" t="s">
        <v>86</v>
      </c>
      <c r="C13" s="12">
        <v>117</v>
      </c>
      <c r="D13" s="8">
        <v>6.13</v>
      </c>
      <c r="E13" s="12">
        <v>55</v>
      </c>
      <c r="F13" s="8">
        <v>5.67</v>
      </c>
      <c r="G13" s="12">
        <v>61</v>
      </c>
      <c r="H13" s="8">
        <v>6.7</v>
      </c>
      <c r="I13" s="12">
        <v>0</v>
      </c>
    </row>
    <row r="14" spans="2:9" ht="15" customHeight="1" x14ac:dyDescent="0.2">
      <c r="B14" t="s">
        <v>87</v>
      </c>
      <c r="C14" s="12">
        <v>94</v>
      </c>
      <c r="D14" s="8">
        <v>4.92</v>
      </c>
      <c r="E14" s="12">
        <v>50</v>
      </c>
      <c r="F14" s="8">
        <v>5.15</v>
      </c>
      <c r="G14" s="12">
        <v>42</v>
      </c>
      <c r="H14" s="8">
        <v>4.6100000000000003</v>
      </c>
      <c r="I14" s="12">
        <v>0</v>
      </c>
    </row>
    <row r="15" spans="2:9" ht="15" customHeight="1" x14ac:dyDescent="0.2">
      <c r="B15" t="s">
        <v>88</v>
      </c>
      <c r="C15" s="12">
        <v>283</v>
      </c>
      <c r="D15" s="8">
        <v>14.82</v>
      </c>
      <c r="E15" s="12">
        <v>214</v>
      </c>
      <c r="F15" s="8">
        <v>22.06</v>
      </c>
      <c r="G15" s="12">
        <v>68</v>
      </c>
      <c r="H15" s="8">
        <v>7.46</v>
      </c>
      <c r="I15" s="12">
        <v>0</v>
      </c>
    </row>
    <row r="16" spans="2:9" ht="15" customHeight="1" x14ac:dyDescent="0.2">
      <c r="B16" t="s">
        <v>89</v>
      </c>
      <c r="C16" s="12">
        <v>254</v>
      </c>
      <c r="D16" s="8">
        <v>13.31</v>
      </c>
      <c r="E16" s="12">
        <v>196</v>
      </c>
      <c r="F16" s="8">
        <v>20.21</v>
      </c>
      <c r="G16" s="12">
        <v>57</v>
      </c>
      <c r="H16" s="8">
        <v>6.26</v>
      </c>
      <c r="I16" s="12">
        <v>1</v>
      </c>
    </row>
    <row r="17" spans="2:9" ht="15" customHeight="1" x14ac:dyDescent="0.2">
      <c r="B17" t="s">
        <v>90</v>
      </c>
      <c r="C17" s="12">
        <v>71</v>
      </c>
      <c r="D17" s="8">
        <v>3.72</v>
      </c>
      <c r="E17" s="12">
        <v>38</v>
      </c>
      <c r="F17" s="8">
        <v>3.92</v>
      </c>
      <c r="G17" s="12">
        <v>17</v>
      </c>
      <c r="H17" s="8">
        <v>1.87</v>
      </c>
      <c r="I17" s="12">
        <v>3</v>
      </c>
    </row>
    <row r="18" spans="2:9" ht="15" customHeight="1" x14ac:dyDescent="0.2">
      <c r="B18" t="s">
        <v>91</v>
      </c>
      <c r="C18" s="12">
        <v>69</v>
      </c>
      <c r="D18" s="8">
        <v>3.61</v>
      </c>
      <c r="E18" s="12">
        <v>50</v>
      </c>
      <c r="F18" s="8">
        <v>5.15</v>
      </c>
      <c r="G18" s="12">
        <v>15</v>
      </c>
      <c r="H18" s="8">
        <v>1.65</v>
      </c>
      <c r="I18" s="12">
        <v>0</v>
      </c>
    </row>
    <row r="19" spans="2:9" ht="15" customHeight="1" x14ac:dyDescent="0.2">
      <c r="B19" t="s">
        <v>92</v>
      </c>
      <c r="C19" s="12">
        <v>65</v>
      </c>
      <c r="D19" s="8">
        <v>3.4</v>
      </c>
      <c r="E19" s="12">
        <v>29</v>
      </c>
      <c r="F19" s="8">
        <v>2.99</v>
      </c>
      <c r="G19" s="12">
        <v>34</v>
      </c>
      <c r="H19" s="8">
        <v>3.73</v>
      </c>
      <c r="I19" s="12">
        <v>1</v>
      </c>
    </row>
    <row r="20" spans="2:9" ht="15" customHeight="1" x14ac:dyDescent="0.2">
      <c r="B20" s="9" t="s">
        <v>363</v>
      </c>
      <c r="C20" s="12">
        <f>SUM(LTBL_20209[総数／事業所数])</f>
        <v>1909</v>
      </c>
      <c r="E20" s="12">
        <f>SUBTOTAL(109,LTBL_20209[個人／事業所数])</f>
        <v>970</v>
      </c>
      <c r="G20" s="12">
        <f>SUBTOTAL(109,LTBL_20209[法人／事業所数])</f>
        <v>911</v>
      </c>
      <c r="I20" s="12">
        <f>SUBTOTAL(109,LTBL_20209[法人以外の団体／事業所数])</f>
        <v>6</v>
      </c>
    </row>
    <row r="21" spans="2:9" ht="15" customHeight="1" x14ac:dyDescent="0.2">
      <c r="E21" s="11">
        <f>LTBL_20209[[#Totals],[個人／事業所数]]/LTBL_20209[[#Totals],[総数／事業所数]]</f>
        <v>0.50811943425877426</v>
      </c>
      <c r="G21" s="11">
        <f>LTBL_20209[[#Totals],[法人／事業所数]]/LTBL_20209[[#Totals],[総数／事業所数]]</f>
        <v>0.47721320062860134</v>
      </c>
      <c r="I21" s="11">
        <f>LTBL_20209[[#Totals],[法人以外の団体／事業所数]]/LTBL_20209[[#Totals],[総数／事業所数]]</f>
        <v>3.1430068098480882E-3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243</v>
      </c>
      <c r="D24" s="8">
        <v>12.73</v>
      </c>
      <c r="E24" s="12">
        <v>197</v>
      </c>
      <c r="F24" s="8">
        <v>20.309999999999999</v>
      </c>
      <c r="G24" s="12">
        <v>46</v>
      </c>
      <c r="H24" s="8">
        <v>5.05</v>
      </c>
      <c r="I24" s="12">
        <v>0</v>
      </c>
    </row>
    <row r="25" spans="2:9" ht="15" customHeight="1" x14ac:dyDescent="0.2">
      <c r="B25" t="s">
        <v>116</v>
      </c>
      <c r="C25" s="12">
        <v>216</v>
      </c>
      <c r="D25" s="8">
        <v>11.31</v>
      </c>
      <c r="E25" s="12">
        <v>183</v>
      </c>
      <c r="F25" s="8">
        <v>18.87</v>
      </c>
      <c r="G25" s="12">
        <v>33</v>
      </c>
      <c r="H25" s="8">
        <v>3.62</v>
      </c>
      <c r="I25" s="12">
        <v>0</v>
      </c>
    </row>
    <row r="26" spans="2:9" ht="15" customHeight="1" x14ac:dyDescent="0.2">
      <c r="B26" t="s">
        <v>110</v>
      </c>
      <c r="C26" s="12">
        <v>136</v>
      </c>
      <c r="D26" s="8">
        <v>7.12</v>
      </c>
      <c r="E26" s="12">
        <v>63</v>
      </c>
      <c r="F26" s="8">
        <v>6.49</v>
      </c>
      <c r="G26" s="12">
        <v>73</v>
      </c>
      <c r="H26" s="8">
        <v>8.01</v>
      </c>
      <c r="I26" s="12">
        <v>0</v>
      </c>
    </row>
    <row r="27" spans="2:9" ht="15" customHeight="1" x14ac:dyDescent="0.2">
      <c r="B27" t="s">
        <v>101</v>
      </c>
      <c r="C27" s="12">
        <v>132</v>
      </c>
      <c r="D27" s="8">
        <v>6.91</v>
      </c>
      <c r="E27" s="12">
        <v>30</v>
      </c>
      <c r="F27" s="8">
        <v>3.09</v>
      </c>
      <c r="G27" s="12">
        <v>102</v>
      </c>
      <c r="H27" s="8">
        <v>11.2</v>
      </c>
      <c r="I27" s="12">
        <v>0</v>
      </c>
    </row>
    <row r="28" spans="2:9" ht="15" customHeight="1" x14ac:dyDescent="0.2">
      <c r="B28" t="s">
        <v>111</v>
      </c>
      <c r="C28" s="12">
        <v>95</v>
      </c>
      <c r="D28" s="8">
        <v>4.9800000000000004</v>
      </c>
      <c r="E28" s="12">
        <v>53</v>
      </c>
      <c r="F28" s="8">
        <v>5.46</v>
      </c>
      <c r="G28" s="12">
        <v>41</v>
      </c>
      <c r="H28" s="8">
        <v>4.5</v>
      </c>
      <c r="I28" s="12">
        <v>0</v>
      </c>
    </row>
    <row r="29" spans="2:9" ht="15" customHeight="1" x14ac:dyDescent="0.2">
      <c r="B29" t="s">
        <v>108</v>
      </c>
      <c r="C29" s="12">
        <v>86</v>
      </c>
      <c r="D29" s="8">
        <v>4.5</v>
      </c>
      <c r="E29" s="12">
        <v>52</v>
      </c>
      <c r="F29" s="8">
        <v>5.36</v>
      </c>
      <c r="G29" s="12">
        <v>33</v>
      </c>
      <c r="H29" s="8">
        <v>3.62</v>
      </c>
      <c r="I29" s="12">
        <v>1</v>
      </c>
    </row>
    <row r="30" spans="2:9" ht="15" customHeight="1" x14ac:dyDescent="0.2">
      <c r="B30" t="s">
        <v>102</v>
      </c>
      <c r="C30" s="12">
        <v>83</v>
      </c>
      <c r="D30" s="8">
        <v>4.3499999999999996</v>
      </c>
      <c r="E30" s="12">
        <v>45</v>
      </c>
      <c r="F30" s="8">
        <v>4.6399999999999997</v>
      </c>
      <c r="G30" s="12">
        <v>38</v>
      </c>
      <c r="H30" s="8">
        <v>4.17</v>
      </c>
      <c r="I30" s="12">
        <v>0</v>
      </c>
    </row>
    <row r="31" spans="2:9" ht="15" customHeight="1" x14ac:dyDescent="0.2">
      <c r="B31" t="s">
        <v>117</v>
      </c>
      <c r="C31" s="12">
        <v>71</v>
      </c>
      <c r="D31" s="8">
        <v>3.72</v>
      </c>
      <c r="E31" s="12">
        <v>38</v>
      </c>
      <c r="F31" s="8">
        <v>3.92</v>
      </c>
      <c r="G31" s="12">
        <v>17</v>
      </c>
      <c r="H31" s="8">
        <v>1.87</v>
      </c>
      <c r="I31" s="12">
        <v>3</v>
      </c>
    </row>
    <row r="32" spans="2:9" ht="15" customHeight="1" x14ac:dyDescent="0.2">
      <c r="B32" t="s">
        <v>109</v>
      </c>
      <c r="C32" s="12">
        <v>62</v>
      </c>
      <c r="D32" s="8">
        <v>3.25</v>
      </c>
      <c r="E32" s="12">
        <v>29</v>
      </c>
      <c r="F32" s="8">
        <v>2.99</v>
      </c>
      <c r="G32" s="12">
        <v>33</v>
      </c>
      <c r="H32" s="8">
        <v>3.62</v>
      </c>
      <c r="I32" s="12">
        <v>0</v>
      </c>
    </row>
    <row r="33" spans="2:9" ht="15" customHeight="1" x14ac:dyDescent="0.2">
      <c r="B33" t="s">
        <v>107</v>
      </c>
      <c r="C33" s="12">
        <v>61</v>
      </c>
      <c r="D33" s="8">
        <v>3.2</v>
      </c>
      <c r="E33" s="12">
        <v>28</v>
      </c>
      <c r="F33" s="8">
        <v>2.89</v>
      </c>
      <c r="G33" s="12">
        <v>33</v>
      </c>
      <c r="H33" s="8">
        <v>3.62</v>
      </c>
      <c r="I33" s="12">
        <v>0</v>
      </c>
    </row>
    <row r="34" spans="2:9" ht="15" customHeight="1" x14ac:dyDescent="0.2">
      <c r="B34" t="s">
        <v>118</v>
      </c>
      <c r="C34" s="12">
        <v>57</v>
      </c>
      <c r="D34" s="8">
        <v>2.99</v>
      </c>
      <c r="E34" s="12">
        <v>50</v>
      </c>
      <c r="F34" s="8">
        <v>5.15</v>
      </c>
      <c r="G34" s="12">
        <v>7</v>
      </c>
      <c r="H34" s="8">
        <v>0.77</v>
      </c>
      <c r="I34" s="12">
        <v>0</v>
      </c>
    </row>
    <row r="35" spans="2:9" ht="15" customHeight="1" x14ac:dyDescent="0.2">
      <c r="B35" t="s">
        <v>113</v>
      </c>
      <c r="C35" s="12">
        <v>56</v>
      </c>
      <c r="D35" s="8">
        <v>2.93</v>
      </c>
      <c r="E35" s="12">
        <v>22</v>
      </c>
      <c r="F35" s="8">
        <v>2.27</v>
      </c>
      <c r="G35" s="12">
        <v>32</v>
      </c>
      <c r="H35" s="8">
        <v>3.51</v>
      </c>
      <c r="I35" s="12">
        <v>0</v>
      </c>
    </row>
    <row r="36" spans="2:9" ht="15" customHeight="1" x14ac:dyDescent="0.2">
      <c r="B36" t="s">
        <v>103</v>
      </c>
      <c r="C36" s="12">
        <v>54</v>
      </c>
      <c r="D36" s="8">
        <v>2.83</v>
      </c>
      <c r="E36" s="12">
        <v>12</v>
      </c>
      <c r="F36" s="8">
        <v>1.24</v>
      </c>
      <c r="G36" s="12">
        <v>42</v>
      </c>
      <c r="H36" s="8">
        <v>4.6100000000000003</v>
      </c>
      <c r="I36" s="12">
        <v>0</v>
      </c>
    </row>
    <row r="37" spans="2:9" ht="15" customHeight="1" x14ac:dyDescent="0.2">
      <c r="B37" t="s">
        <v>112</v>
      </c>
      <c r="C37" s="12">
        <v>37</v>
      </c>
      <c r="D37" s="8">
        <v>1.94</v>
      </c>
      <c r="E37" s="12">
        <v>28</v>
      </c>
      <c r="F37" s="8">
        <v>2.89</v>
      </c>
      <c r="G37" s="12">
        <v>9</v>
      </c>
      <c r="H37" s="8">
        <v>0.99</v>
      </c>
      <c r="I37" s="12">
        <v>0</v>
      </c>
    </row>
    <row r="38" spans="2:9" ht="15" customHeight="1" x14ac:dyDescent="0.2">
      <c r="B38" t="s">
        <v>120</v>
      </c>
      <c r="C38" s="12">
        <v>32</v>
      </c>
      <c r="D38" s="8">
        <v>1.68</v>
      </c>
      <c r="E38" s="12">
        <v>22</v>
      </c>
      <c r="F38" s="8">
        <v>2.27</v>
      </c>
      <c r="G38" s="12">
        <v>10</v>
      </c>
      <c r="H38" s="8">
        <v>1.1000000000000001</v>
      </c>
      <c r="I38" s="12">
        <v>0</v>
      </c>
    </row>
    <row r="39" spans="2:9" ht="15" customHeight="1" x14ac:dyDescent="0.2">
      <c r="B39" t="s">
        <v>114</v>
      </c>
      <c r="C39" s="12">
        <v>26</v>
      </c>
      <c r="D39" s="8">
        <v>1.36</v>
      </c>
      <c r="E39" s="12">
        <v>14</v>
      </c>
      <c r="F39" s="8">
        <v>1.44</v>
      </c>
      <c r="G39" s="12">
        <v>12</v>
      </c>
      <c r="H39" s="8">
        <v>1.32</v>
      </c>
      <c r="I39" s="12">
        <v>0</v>
      </c>
    </row>
    <row r="40" spans="2:9" ht="15" customHeight="1" x14ac:dyDescent="0.2">
      <c r="B40" t="s">
        <v>104</v>
      </c>
      <c r="C40" s="12">
        <v>24</v>
      </c>
      <c r="D40" s="8">
        <v>1.26</v>
      </c>
      <c r="E40" s="12">
        <v>6</v>
      </c>
      <c r="F40" s="8">
        <v>0.62</v>
      </c>
      <c r="G40" s="12">
        <v>18</v>
      </c>
      <c r="H40" s="8">
        <v>1.98</v>
      </c>
      <c r="I40" s="12">
        <v>0</v>
      </c>
    </row>
    <row r="41" spans="2:9" ht="15" customHeight="1" x14ac:dyDescent="0.2">
      <c r="B41" t="s">
        <v>106</v>
      </c>
      <c r="C41" s="12">
        <v>24</v>
      </c>
      <c r="D41" s="8">
        <v>1.26</v>
      </c>
      <c r="E41" s="12">
        <v>2</v>
      </c>
      <c r="F41" s="8">
        <v>0.21</v>
      </c>
      <c r="G41" s="12">
        <v>22</v>
      </c>
      <c r="H41" s="8">
        <v>2.41</v>
      </c>
      <c r="I41" s="12">
        <v>0</v>
      </c>
    </row>
    <row r="42" spans="2:9" ht="15" customHeight="1" x14ac:dyDescent="0.2">
      <c r="B42" t="s">
        <v>132</v>
      </c>
      <c r="C42" s="12">
        <v>24</v>
      </c>
      <c r="D42" s="8">
        <v>1.26</v>
      </c>
      <c r="E42" s="12">
        <v>7</v>
      </c>
      <c r="F42" s="8">
        <v>0.72</v>
      </c>
      <c r="G42" s="12">
        <v>16</v>
      </c>
      <c r="H42" s="8">
        <v>1.76</v>
      </c>
      <c r="I42" s="12">
        <v>1</v>
      </c>
    </row>
    <row r="43" spans="2:9" ht="15" customHeight="1" x14ac:dyDescent="0.2">
      <c r="B43" t="s">
        <v>105</v>
      </c>
      <c r="C43" s="12">
        <v>21</v>
      </c>
      <c r="D43" s="8">
        <v>1.1000000000000001</v>
      </c>
      <c r="E43" s="12">
        <v>3</v>
      </c>
      <c r="F43" s="8">
        <v>0.31</v>
      </c>
      <c r="G43" s="12">
        <v>18</v>
      </c>
      <c r="H43" s="8">
        <v>1.98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191</v>
      </c>
      <c r="C47" s="12">
        <v>133</v>
      </c>
      <c r="D47" s="8">
        <v>6.97</v>
      </c>
      <c r="E47" s="12">
        <v>119</v>
      </c>
      <c r="F47" s="8">
        <v>12.27</v>
      </c>
      <c r="G47" s="12">
        <v>14</v>
      </c>
      <c r="H47" s="8">
        <v>1.54</v>
      </c>
      <c r="I47" s="12">
        <v>0</v>
      </c>
    </row>
    <row r="48" spans="2:9" ht="15" customHeight="1" x14ac:dyDescent="0.2">
      <c r="B48" t="s">
        <v>183</v>
      </c>
      <c r="C48" s="12">
        <v>67</v>
      </c>
      <c r="D48" s="8">
        <v>3.51</v>
      </c>
      <c r="E48" s="12">
        <v>44</v>
      </c>
      <c r="F48" s="8">
        <v>4.54</v>
      </c>
      <c r="G48" s="12">
        <v>22</v>
      </c>
      <c r="H48" s="8">
        <v>2.41</v>
      </c>
      <c r="I48" s="12">
        <v>0</v>
      </c>
    </row>
    <row r="49" spans="2:9" ht="15" customHeight="1" x14ac:dyDescent="0.2">
      <c r="B49" t="s">
        <v>189</v>
      </c>
      <c r="C49" s="12">
        <v>64</v>
      </c>
      <c r="D49" s="8">
        <v>3.35</v>
      </c>
      <c r="E49" s="12">
        <v>58</v>
      </c>
      <c r="F49" s="8">
        <v>5.98</v>
      </c>
      <c r="G49" s="12">
        <v>6</v>
      </c>
      <c r="H49" s="8">
        <v>0.66</v>
      </c>
      <c r="I49" s="12">
        <v>0</v>
      </c>
    </row>
    <row r="50" spans="2:9" ht="15" customHeight="1" x14ac:dyDescent="0.2">
      <c r="B50" t="s">
        <v>190</v>
      </c>
      <c r="C50" s="12">
        <v>54</v>
      </c>
      <c r="D50" s="8">
        <v>2.83</v>
      </c>
      <c r="E50" s="12">
        <v>51</v>
      </c>
      <c r="F50" s="8">
        <v>5.26</v>
      </c>
      <c r="G50" s="12">
        <v>3</v>
      </c>
      <c r="H50" s="8">
        <v>0.33</v>
      </c>
      <c r="I50" s="12">
        <v>0</v>
      </c>
    </row>
    <row r="51" spans="2:9" ht="15" customHeight="1" x14ac:dyDescent="0.2">
      <c r="B51" t="s">
        <v>187</v>
      </c>
      <c r="C51" s="12">
        <v>52</v>
      </c>
      <c r="D51" s="8">
        <v>2.72</v>
      </c>
      <c r="E51" s="12">
        <v>42</v>
      </c>
      <c r="F51" s="8">
        <v>4.33</v>
      </c>
      <c r="G51" s="12">
        <v>10</v>
      </c>
      <c r="H51" s="8">
        <v>1.1000000000000001</v>
      </c>
      <c r="I51" s="12">
        <v>0</v>
      </c>
    </row>
    <row r="52" spans="2:9" ht="15" customHeight="1" x14ac:dyDescent="0.2">
      <c r="B52" t="s">
        <v>188</v>
      </c>
      <c r="C52" s="12">
        <v>50</v>
      </c>
      <c r="D52" s="8">
        <v>2.62</v>
      </c>
      <c r="E52" s="12">
        <v>41</v>
      </c>
      <c r="F52" s="8">
        <v>4.2300000000000004</v>
      </c>
      <c r="G52" s="12">
        <v>9</v>
      </c>
      <c r="H52" s="8">
        <v>0.99</v>
      </c>
      <c r="I52" s="12">
        <v>0</v>
      </c>
    </row>
    <row r="53" spans="2:9" ht="15" customHeight="1" x14ac:dyDescent="0.2">
      <c r="B53" t="s">
        <v>174</v>
      </c>
      <c r="C53" s="12">
        <v>42</v>
      </c>
      <c r="D53" s="8">
        <v>2.2000000000000002</v>
      </c>
      <c r="E53" s="12">
        <v>11</v>
      </c>
      <c r="F53" s="8">
        <v>1.1299999999999999</v>
      </c>
      <c r="G53" s="12">
        <v>31</v>
      </c>
      <c r="H53" s="8">
        <v>3.4</v>
      </c>
      <c r="I53" s="12">
        <v>0</v>
      </c>
    </row>
    <row r="54" spans="2:9" ht="15" customHeight="1" x14ac:dyDescent="0.2">
      <c r="B54" t="s">
        <v>181</v>
      </c>
      <c r="C54" s="12">
        <v>38</v>
      </c>
      <c r="D54" s="8">
        <v>1.99</v>
      </c>
      <c r="E54" s="12">
        <v>18</v>
      </c>
      <c r="F54" s="8">
        <v>1.86</v>
      </c>
      <c r="G54" s="12">
        <v>20</v>
      </c>
      <c r="H54" s="8">
        <v>2.2000000000000002</v>
      </c>
      <c r="I54" s="12">
        <v>0</v>
      </c>
    </row>
    <row r="55" spans="2:9" ht="15" customHeight="1" x14ac:dyDescent="0.2">
      <c r="B55" t="s">
        <v>193</v>
      </c>
      <c r="C55" s="12">
        <v>38</v>
      </c>
      <c r="D55" s="8">
        <v>1.99</v>
      </c>
      <c r="E55" s="12">
        <v>34</v>
      </c>
      <c r="F55" s="8">
        <v>3.51</v>
      </c>
      <c r="G55" s="12">
        <v>4</v>
      </c>
      <c r="H55" s="8">
        <v>0.44</v>
      </c>
      <c r="I55" s="12">
        <v>0</v>
      </c>
    </row>
    <row r="56" spans="2:9" ht="15" customHeight="1" x14ac:dyDescent="0.2">
      <c r="B56" t="s">
        <v>180</v>
      </c>
      <c r="C56" s="12">
        <v>37</v>
      </c>
      <c r="D56" s="8">
        <v>1.94</v>
      </c>
      <c r="E56" s="12">
        <v>18</v>
      </c>
      <c r="F56" s="8">
        <v>1.86</v>
      </c>
      <c r="G56" s="12">
        <v>19</v>
      </c>
      <c r="H56" s="8">
        <v>2.09</v>
      </c>
      <c r="I56" s="12">
        <v>0</v>
      </c>
    </row>
    <row r="57" spans="2:9" ht="15" customHeight="1" x14ac:dyDescent="0.2">
      <c r="B57" t="s">
        <v>175</v>
      </c>
      <c r="C57" s="12">
        <v>36</v>
      </c>
      <c r="D57" s="8">
        <v>1.89</v>
      </c>
      <c r="E57" s="12">
        <v>5</v>
      </c>
      <c r="F57" s="8">
        <v>0.52</v>
      </c>
      <c r="G57" s="12">
        <v>31</v>
      </c>
      <c r="H57" s="8">
        <v>3.4</v>
      </c>
      <c r="I57" s="12">
        <v>0</v>
      </c>
    </row>
    <row r="58" spans="2:9" ht="15" customHeight="1" x14ac:dyDescent="0.2">
      <c r="B58" t="s">
        <v>192</v>
      </c>
      <c r="C58" s="12">
        <v>35</v>
      </c>
      <c r="D58" s="8">
        <v>1.83</v>
      </c>
      <c r="E58" s="12">
        <v>29</v>
      </c>
      <c r="F58" s="8">
        <v>2.99</v>
      </c>
      <c r="G58" s="12">
        <v>6</v>
      </c>
      <c r="H58" s="8">
        <v>0.66</v>
      </c>
      <c r="I58" s="12">
        <v>0</v>
      </c>
    </row>
    <row r="59" spans="2:9" ht="15" customHeight="1" x14ac:dyDescent="0.2">
      <c r="B59" t="s">
        <v>184</v>
      </c>
      <c r="C59" s="12">
        <v>34</v>
      </c>
      <c r="D59" s="8">
        <v>1.78</v>
      </c>
      <c r="E59" s="12">
        <v>15</v>
      </c>
      <c r="F59" s="8">
        <v>1.55</v>
      </c>
      <c r="G59" s="12">
        <v>17</v>
      </c>
      <c r="H59" s="8">
        <v>1.87</v>
      </c>
      <c r="I59" s="12">
        <v>0</v>
      </c>
    </row>
    <row r="60" spans="2:9" ht="15" customHeight="1" x14ac:dyDescent="0.2">
      <c r="B60" t="s">
        <v>200</v>
      </c>
      <c r="C60" s="12">
        <v>32</v>
      </c>
      <c r="D60" s="8">
        <v>1.68</v>
      </c>
      <c r="E60" s="12">
        <v>22</v>
      </c>
      <c r="F60" s="8">
        <v>2.27</v>
      </c>
      <c r="G60" s="12">
        <v>10</v>
      </c>
      <c r="H60" s="8">
        <v>1.1000000000000001</v>
      </c>
      <c r="I60" s="12">
        <v>0</v>
      </c>
    </row>
    <row r="61" spans="2:9" ht="15" customHeight="1" x14ac:dyDescent="0.2">
      <c r="B61" t="s">
        <v>176</v>
      </c>
      <c r="C61" s="12">
        <v>31</v>
      </c>
      <c r="D61" s="8">
        <v>1.62</v>
      </c>
      <c r="E61" s="12">
        <v>10</v>
      </c>
      <c r="F61" s="8">
        <v>1.03</v>
      </c>
      <c r="G61" s="12">
        <v>21</v>
      </c>
      <c r="H61" s="8">
        <v>2.31</v>
      </c>
      <c r="I61" s="12">
        <v>0</v>
      </c>
    </row>
    <row r="62" spans="2:9" ht="15" customHeight="1" x14ac:dyDescent="0.2">
      <c r="B62" t="s">
        <v>198</v>
      </c>
      <c r="C62" s="12">
        <v>29</v>
      </c>
      <c r="D62" s="8">
        <v>1.52</v>
      </c>
      <c r="E62" s="12">
        <v>24</v>
      </c>
      <c r="F62" s="8">
        <v>2.4700000000000002</v>
      </c>
      <c r="G62" s="12">
        <v>5</v>
      </c>
      <c r="H62" s="8">
        <v>0.55000000000000004</v>
      </c>
      <c r="I62" s="12">
        <v>0</v>
      </c>
    </row>
    <row r="63" spans="2:9" ht="15" customHeight="1" x14ac:dyDescent="0.2">
      <c r="B63" t="s">
        <v>179</v>
      </c>
      <c r="C63" s="12">
        <v>28</v>
      </c>
      <c r="D63" s="8">
        <v>1.47</v>
      </c>
      <c r="E63" s="12">
        <v>17</v>
      </c>
      <c r="F63" s="8">
        <v>1.75</v>
      </c>
      <c r="G63" s="12">
        <v>11</v>
      </c>
      <c r="H63" s="8">
        <v>1.21</v>
      </c>
      <c r="I63" s="12">
        <v>0</v>
      </c>
    </row>
    <row r="64" spans="2:9" ht="15" customHeight="1" x14ac:dyDescent="0.2">
      <c r="B64" t="s">
        <v>186</v>
      </c>
      <c r="C64" s="12">
        <v>28</v>
      </c>
      <c r="D64" s="8">
        <v>1.47</v>
      </c>
      <c r="E64" s="12">
        <v>21</v>
      </c>
      <c r="F64" s="8">
        <v>2.16</v>
      </c>
      <c r="G64" s="12">
        <v>7</v>
      </c>
      <c r="H64" s="8">
        <v>0.77</v>
      </c>
      <c r="I64" s="12">
        <v>0</v>
      </c>
    </row>
    <row r="65" spans="2:9" ht="15" customHeight="1" x14ac:dyDescent="0.2">
      <c r="B65" t="s">
        <v>196</v>
      </c>
      <c r="C65" s="12">
        <v>27</v>
      </c>
      <c r="D65" s="8">
        <v>1.41</v>
      </c>
      <c r="E65" s="12">
        <v>11</v>
      </c>
      <c r="F65" s="8">
        <v>1.1299999999999999</v>
      </c>
      <c r="G65" s="12">
        <v>16</v>
      </c>
      <c r="H65" s="8">
        <v>1.76</v>
      </c>
      <c r="I65" s="12">
        <v>0</v>
      </c>
    </row>
    <row r="66" spans="2:9" ht="15" customHeight="1" x14ac:dyDescent="0.2">
      <c r="B66" t="s">
        <v>197</v>
      </c>
      <c r="C66" s="12">
        <v>27</v>
      </c>
      <c r="D66" s="8">
        <v>1.41</v>
      </c>
      <c r="E66" s="12">
        <v>20</v>
      </c>
      <c r="F66" s="8">
        <v>2.06</v>
      </c>
      <c r="G66" s="12">
        <v>7</v>
      </c>
      <c r="H66" s="8">
        <v>0.77</v>
      </c>
      <c r="I66" s="12">
        <v>0</v>
      </c>
    </row>
    <row r="67" spans="2:9" ht="15" customHeight="1" x14ac:dyDescent="0.2">
      <c r="B67" t="s">
        <v>194</v>
      </c>
      <c r="C67" s="12">
        <v>27</v>
      </c>
      <c r="D67" s="8">
        <v>1.41</v>
      </c>
      <c r="E67" s="12">
        <v>9</v>
      </c>
      <c r="F67" s="8">
        <v>0.93</v>
      </c>
      <c r="G67" s="12">
        <v>18</v>
      </c>
      <c r="H67" s="8">
        <v>1.98</v>
      </c>
      <c r="I67" s="12">
        <v>0</v>
      </c>
    </row>
    <row r="69" spans="2:9" ht="15" customHeight="1" x14ac:dyDescent="0.2">
      <c r="B69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9B5EC-1516-4470-9A9C-1455C32D7294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376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122</v>
      </c>
      <c r="D6" s="8">
        <v>11.91</v>
      </c>
      <c r="E6" s="12">
        <v>46</v>
      </c>
      <c r="F6" s="8">
        <v>8.0399999999999991</v>
      </c>
      <c r="G6" s="12">
        <v>76</v>
      </c>
      <c r="H6" s="8">
        <v>17.190000000000001</v>
      </c>
      <c r="I6" s="12">
        <v>0</v>
      </c>
    </row>
    <row r="7" spans="2:9" ht="15" customHeight="1" x14ac:dyDescent="0.2">
      <c r="B7" t="s">
        <v>80</v>
      </c>
      <c r="C7" s="12">
        <v>93</v>
      </c>
      <c r="D7" s="8">
        <v>9.08</v>
      </c>
      <c r="E7" s="12">
        <v>30</v>
      </c>
      <c r="F7" s="8">
        <v>5.24</v>
      </c>
      <c r="G7" s="12">
        <v>63</v>
      </c>
      <c r="H7" s="8">
        <v>14.25</v>
      </c>
      <c r="I7" s="12">
        <v>0</v>
      </c>
    </row>
    <row r="8" spans="2:9" ht="15" customHeight="1" x14ac:dyDescent="0.2">
      <c r="B8" t="s">
        <v>81</v>
      </c>
      <c r="C8" s="12">
        <v>6</v>
      </c>
      <c r="D8" s="8">
        <v>0.59</v>
      </c>
      <c r="E8" s="12">
        <v>1</v>
      </c>
      <c r="F8" s="8">
        <v>0.17</v>
      </c>
      <c r="G8" s="12">
        <v>4</v>
      </c>
      <c r="H8" s="8">
        <v>0.9</v>
      </c>
      <c r="I8" s="12">
        <v>0</v>
      </c>
    </row>
    <row r="9" spans="2:9" ht="15" customHeight="1" x14ac:dyDescent="0.2">
      <c r="B9" t="s">
        <v>82</v>
      </c>
      <c r="C9" s="12">
        <v>7</v>
      </c>
      <c r="D9" s="8">
        <v>0.68</v>
      </c>
      <c r="E9" s="12">
        <v>1</v>
      </c>
      <c r="F9" s="8">
        <v>0.17</v>
      </c>
      <c r="G9" s="12">
        <v>6</v>
      </c>
      <c r="H9" s="8">
        <v>1.36</v>
      </c>
      <c r="I9" s="12">
        <v>0</v>
      </c>
    </row>
    <row r="10" spans="2:9" ht="15" customHeight="1" x14ac:dyDescent="0.2">
      <c r="B10" t="s">
        <v>83</v>
      </c>
      <c r="C10" s="12">
        <v>4</v>
      </c>
      <c r="D10" s="8">
        <v>0.39</v>
      </c>
      <c r="E10" s="12">
        <v>2</v>
      </c>
      <c r="F10" s="8">
        <v>0.35</v>
      </c>
      <c r="G10" s="12">
        <v>2</v>
      </c>
      <c r="H10" s="8">
        <v>0.45</v>
      </c>
      <c r="I10" s="12">
        <v>0</v>
      </c>
    </row>
    <row r="11" spans="2:9" ht="15" customHeight="1" x14ac:dyDescent="0.2">
      <c r="B11" t="s">
        <v>84</v>
      </c>
      <c r="C11" s="12">
        <v>222</v>
      </c>
      <c r="D11" s="8">
        <v>21.68</v>
      </c>
      <c r="E11" s="12">
        <v>96</v>
      </c>
      <c r="F11" s="8">
        <v>16.78</v>
      </c>
      <c r="G11" s="12">
        <v>126</v>
      </c>
      <c r="H11" s="8">
        <v>28.51</v>
      </c>
      <c r="I11" s="12">
        <v>0</v>
      </c>
    </row>
    <row r="12" spans="2:9" ht="15" customHeight="1" x14ac:dyDescent="0.2">
      <c r="B12" t="s">
        <v>85</v>
      </c>
      <c r="C12" s="12">
        <v>16</v>
      </c>
      <c r="D12" s="8">
        <v>1.56</v>
      </c>
      <c r="E12" s="12">
        <v>7</v>
      </c>
      <c r="F12" s="8">
        <v>1.22</v>
      </c>
      <c r="G12" s="12">
        <v>9</v>
      </c>
      <c r="H12" s="8">
        <v>2.04</v>
      </c>
      <c r="I12" s="12">
        <v>0</v>
      </c>
    </row>
    <row r="13" spans="2:9" ht="15" customHeight="1" x14ac:dyDescent="0.2">
      <c r="B13" t="s">
        <v>86</v>
      </c>
      <c r="C13" s="12">
        <v>102</v>
      </c>
      <c r="D13" s="8">
        <v>9.9600000000000009</v>
      </c>
      <c r="E13" s="12">
        <v>69</v>
      </c>
      <c r="F13" s="8">
        <v>12.06</v>
      </c>
      <c r="G13" s="12">
        <v>33</v>
      </c>
      <c r="H13" s="8">
        <v>7.47</v>
      </c>
      <c r="I13" s="12">
        <v>0</v>
      </c>
    </row>
    <row r="14" spans="2:9" ht="15" customHeight="1" x14ac:dyDescent="0.2">
      <c r="B14" t="s">
        <v>87</v>
      </c>
      <c r="C14" s="12">
        <v>51</v>
      </c>
      <c r="D14" s="8">
        <v>4.9800000000000004</v>
      </c>
      <c r="E14" s="12">
        <v>29</v>
      </c>
      <c r="F14" s="8">
        <v>5.07</v>
      </c>
      <c r="G14" s="12">
        <v>21</v>
      </c>
      <c r="H14" s="8">
        <v>4.75</v>
      </c>
      <c r="I14" s="12">
        <v>0</v>
      </c>
    </row>
    <row r="15" spans="2:9" ht="15" customHeight="1" x14ac:dyDescent="0.2">
      <c r="B15" t="s">
        <v>88</v>
      </c>
      <c r="C15" s="12">
        <v>150</v>
      </c>
      <c r="D15" s="8">
        <v>14.65</v>
      </c>
      <c r="E15" s="12">
        <v>111</v>
      </c>
      <c r="F15" s="8">
        <v>19.41</v>
      </c>
      <c r="G15" s="12">
        <v>38</v>
      </c>
      <c r="H15" s="8">
        <v>8.6</v>
      </c>
      <c r="I15" s="12">
        <v>0</v>
      </c>
    </row>
    <row r="16" spans="2:9" ht="15" customHeight="1" x14ac:dyDescent="0.2">
      <c r="B16" t="s">
        <v>89</v>
      </c>
      <c r="C16" s="12">
        <v>130</v>
      </c>
      <c r="D16" s="8">
        <v>12.7</v>
      </c>
      <c r="E16" s="12">
        <v>106</v>
      </c>
      <c r="F16" s="8">
        <v>18.53</v>
      </c>
      <c r="G16" s="12">
        <v>23</v>
      </c>
      <c r="H16" s="8">
        <v>5.2</v>
      </c>
      <c r="I16" s="12">
        <v>0</v>
      </c>
    </row>
    <row r="17" spans="2:9" ht="15" customHeight="1" x14ac:dyDescent="0.2">
      <c r="B17" t="s">
        <v>90</v>
      </c>
      <c r="C17" s="12">
        <v>43</v>
      </c>
      <c r="D17" s="8">
        <v>4.2</v>
      </c>
      <c r="E17" s="12">
        <v>32</v>
      </c>
      <c r="F17" s="8">
        <v>5.59</v>
      </c>
      <c r="G17" s="12">
        <v>8</v>
      </c>
      <c r="H17" s="8">
        <v>1.81</v>
      </c>
      <c r="I17" s="12">
        <v>0</v>
      </c>
    </row>
    <row r="18" spans="2:9" ht="15" customHeight="1" x14ac:dyDescent="0.2">
      <c r="B18" t="s">
        <v>91</v>
      </c>
      <c r="C18" s="12">
        <v>50</v>
      </c>
      <c r="D18" s="8">
        <v>4.88</v>
      </c>
      <c r="E18" s="12">
        <v>33</v>
      </c>
      <c r="F18" s="8">
        <v>5.77</v>
      </c>
      <c r="G18" s="12">
        <v>17</v>
      </c>
      <c r="H18" s="8">
        <v>3.85</v>
      </c>
      <c r="I18" s="12">
        <v>0</v>
      </c>
    </row>
    <row r="19" spans="2:9" ht="15" customHeight="1" x14ac:dyDescent="0.2">
      <c r="B19" t="s">
        <v>92</v>
      </c>
      <c r="C19" s="12">
        <v>28</v>
      </c>
      <c r="D19" s="8">
        <v>2.73</v>
      </c>
      <c r="E19" s="12">
        <v>9</v>
      </c>
      <c r="F19" s="8">
        <v>1.57</v>
      </c>
      <c r="G19" s="12">
        <v>16</v>
      </c>
      <c r="H19" s="8">
        <v>3.62</v>
      </c>
      <c r="I19" s="12">
        <v>1</v>
      </c>
    </row>
    <row r="20" spans="2:9" ht="15" customHeight="1" x14ac:dyDescent="0.2">
      <c r="B20" s="9" t="s">
        <v>363</v>
      </c>
      <c r="C20" s="12">
        <f>SUM(LTBL_20210[総数／事業所数])</f>
        <v>1024</v>
      </c>
      <c r="E20" s="12">
        <f>SUBTOTAL(109,LTBL_20210[個人／事業所数])</f>
        <v>572</v>
      </c>
      <c r="G20" s="12">
        <f>SUBTOTAL(109,LTBL_20210[法人／事業所数])</f>
        <v>442</v>
      </c>
      <c r="I20" s="12">
        <f>SUBTOTAL(109,LTBL_20210[法人以外の団体／事業所数])</f>
        <v>1</v>
      </c>
    </row>
    <row r="21" spans="2:9" ht="15" customHeight="1" x14ac:dyDescent="0.2">
      <c r="E21" s="11">
        <f>LTBL_20210[[#Totals],[個人／事業所数]]/LTBL_20210[[#Totals],[総数／事業所数]]</f>
        <v>0.55859375</v>
      </c>
      <c r="G21" s="11">
        <f>LTBL_20210[[#Totals],[法人／事業所数]]/LTBL_20210[[#Totals],[総数／事業所数]]</f>
        <v>0.431640625</v>
      </c>
      <c r="I21" s="11">
        <f>LTBL_20210[[#Totals],[法人以外の団体／事業所数]]/LTBL_20210[[#Totals],[総数／事業所数]]</f>
        <v>9.765625E-4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128</v>
      </c>
      <c r="D24" s="8">
        <v>12.5</v>
      </c>
      <c r="E24" s="12">
        <v>105</v>
      </c>
      <c r="F24" s="8">
        <v>18.36</v>
      </c>
      <c r="G24" s="12">
        <v>23</v>
      </c>
      <c r="H24" s="8">
        <v>5.2</v>
      </c>
      <c r="I24" s="12">
        <v>0</v>
      </c>
    </row>
    <row r="25" spans="2:9" ht="15" customHeight="1" x14ac:dyDescent="0.2">
      <c r="B25" t="s">
        <v>116</v>
      </c>
      <c r="C25" s="12">
        <v>110</v>
      </c>
      <c r="D25" s="8">
        <v>10.74</v>
      </c>
      <c r="E25" s="12">
        <v>95</v>
      </c>
      <c r="F25" s="8">
        <v>16.61</v>
      </c>
      <c r="G25" s="12">
        <v>15</v>
      </c>
      <c r="H25" s="8">
        <v>3.39</v>
      </c>
      <c r="I25" s="12">
        <v>0</v>
      </c>
    </row>
    <row r="26" spans="2:9" ht="15" customHeight="1" x14ac:dyDescent="0.2">
      <c r="B26" t="s">
        <v>111</v>
      </c>
      <c r="C26" s="12">
        <v>93</v>
      </c>
      <c r="D26" s="8">
        <v>9.08</v>
      </c>
      <c r="E26" s="12">
        <v>69</v>
      </c>
      <c r="F26" s="8">
        <v>12.06</v>
      </c>
      <c r="G26" s="12">
        <v>24</v>
      </c>
      <c r="H26" s="8">
        <v>5.43</v>
      </c>
      <c r="I26" s="12">
        <v>0</v>
      </c>
    </row>
    <row r="27" spans="2:9" ht="15" customHeight="1" x14ac:dyDescent="0.2">
      <c r="B27" t="s">
        <v>110</v>
      </c>
      <c r="C27" s="12">
        <v>69</v>
      </c>
      <c r="D27" s="8">
        <v>6.74</v>
      </c>
      <c r="E27" s="12">
        <v>35</v>
      </c>
      <c r="F27" s="8">
        <v>6.12</v>
      </c>
      <c r="G27" s="12">
        <v>34</v>
      </c>
      <c r="H27" s="8">
        <v>7.69</v>
      </c>
      <c r="I27" s="12">
        <v>0</v>
      </c>
    </row>
    <row r="28" spans="2:9" ht="15" customHeight="1" x14ac:dyDescent="0.2">
      <c r="B28" t="s">
        <v>102</v>
      </c>
      <c r="C28" s="12">
        <v>55</v>
      </c>
      <c r="D28" s="8">
        <v>5.37</v>
      </c>
      <c r="E28" s="12">
        <v>29</v>
      </c>
      <c r="F28" s="8">
        <v>5.07</v>
      </c>
      <c r="G28" s="12">
        <v>26</v>
      </c>
      <c r="H28" s="8">
        <v>5.88</v>
      </c>
      <c r="I28" s="12">
        <v>0</v>
      </c>
    </row>
    <row r="29" spans="2:9" ht="15" customHeight="1" x14ac:dyDescent="0.2">
      <c r="B29" t="s">
        <v>108</v>
      </c>
      <c r="C29" s="12">
        <v>50</v>
      </c>
      <c r="D29" s="8">
        <v>4.88</v>
      </c>
      <c r="E29" s="12">
        <v>30</v>
      </c>
      <c r="F29" s="8">
        <v>5.24</v>
      </c>
      <c r="G29" s="12">
        <v>20</v>
      </c>
      <c r="H29" s="8">
        <v>4.5199999999999996</v>
      </c>
      <c r="I29" s="12">
        <v>0</v>
      </c>
    </row>
    <row r="30" spans="2:9" ht="15" customHeight="1" x14ac:dyDescent="0.2">
      <c r="B30" t="s">
        <v>101</v>
      </c>
      <c r="C30" s="12">
        <v>48</v>
      </c>
      <c r="D30" s="8">
        <v>4.6900000000000004</v>
      </c>
      <c r="E30" s="12">
        <v>13</v>
      </c>
      <c r="F30" s="8">
        <v>2.27</v>
      </c>
      <c r="G30" s="12">
        <v>35</v>
      </c>
      <c r="H30" s="8">
        <v>7.92</v>
      </c>
      <c r="I30" s="12">
        <v>0</v>
      </c>
    </row>
    <row r="31" spans="2:9" ht="15" customHeight="1" x14ac:dyDescent="0.2">
      <c r="B31" t="s">
        <v>117</v>
      </c>
      <c r="C31" s="12">
        <v>43</v>
      </c>
      <c r="D31" s="8">
        <v>4.2</v>
      </c>
      <c r="E31" s="12">
        <v>32</v>
      </c>
      <c r="F31" s="8">
        <v>5.59</v>
      </c>
      <c r="G31" s="12">
        <v>8</v>
      </c>
      <c r="H31" s="8">
        <v>1.81</v>
      </c>
      <c r="I31" s="12">
        <v>0</v>
      </c>
    </row>
    <row r="32" spans="2:9" ht="15" customHeight="1" x14ac:dyDescent="0.2">
      <c r="B32" t="s">
        <v>118</v>
      </c>
      <c r="C32" s="12">
        <v>37</v>
      </c>
      <c r="D32" s="8">
        <v>3.61</v>
      </c>
      <c r="E32" s="12">
        <v>33</v>
      </c>
      <c r="F32" s="8">
        <v>5.77</v>
      </c>
      <c r="G32" s="12">
        <v>4</v>
      </c>
      <c r="H32" s="8">
        <v>0.9</v>
      </c>
      <c r="I32" s="12">
        <v>0</v>
      </c>
    </row>
    <row r="33" spans="2:9" ht="15" customHeight="1" x14ac:dyDescent="0.2">
      <c r="B33" t="s">
        <v>107</v>
      </c>
      <c r="C33" s="12">
        <v>34</v>
      </c>
      <c r="D33" s="8">
        <v>3.32</v>
      </c>
      <c r="E33" s="12">
        <v>13</v>
      </c>
      <c r="F33" s="8">
        <v>2.27</v>
      </c>
      <c r="G33" s="12">
        <v>21</v>
      </c>
      <c r="H33" s="8">
        <v>4.75</v>
      </c>
      <c r="I33" s="12">
        <v>0</v>
      </c>
    </row>
    <row r="34" spans="2:9" ht="15" customHeight="1" x14ac:dyDescent="0.2">
      <c r="B34" t="s">
        <v>112</v>
      </c>
      <c r="C34" s="12">
        <v>28</v>
      </c>
      <c r="D34" s="8">
        <v>2.73</v>
      </c>
      <c r="E34" s="12">
        <v>22</v>
      </c>
      <c r="F34" s="8">
        <v>3.85</v>
      </c>
      <c r="G34" s="12">
        <v>6</v>
      </c>
      <c r="H34" s="8">
        <v>1.36</v>
      </c>
      <c r="I34" s="12">
        <v>0</v>
      </c>
    </row>
    <row r="35" spans="2:9" ht="15" customHeight="1" x14ac:dyDescent="0.2">
      <c r="B35" t="s">
        <v>109</v>
      </c>
      <c r="C35" s="12">
        <v>26</v>
      </c>
      <c r="D35" s="8">
        <v>2.54</v>
      </c>
      <c r="E35" s="12">
        <v>12</v>
      </c>
      <c r="F35" s="8">
        <v>2.1</v>
      </c>
      <c r="G35" s="12">
        <v>14</v>
      </c>
      <c r="H35" s="8">
        <v>3.17</v>
      </c>
      <c r="I35" s="12">
        <v>0</v>
      </c>
    </row>
    <row r="36" spans="2:9" ht="15" customHeight="1" x14ac:dyDescent="0.2">
      <c r="B36" t="s">
        <v>113</v>
      </c>
      <c r="C36" s="12">
        <v>22</v>
      </c>
      <c r="D36" s="8">
        <v>2.15</v>
      </c>
      <c r="E36" s="12">
        <v>7</v>
      </c>
      <c r="F36" s="8">
        <v>1.22</v>
      </c>
      <c r="G36" s="12">
        <v>14</v>
      </c>
      <c r="H36" s="8">
        <v>3.17</v>
      </c>
      <c r="I36" s="12">
        <v>0</v>
      </c>
    </row>
    <row r="37" spans="2:9" ht="15" customHeight="1" x14ac:dyDescent="0.2">
      <c r="B37" t="s">
        <v>103</v>
      </c>
      <c r="C37" s="12">
        <v>19</v>
      </c>
      <c r="D37" s="8">
        <v>1.86</v>
      </c>
      <c r="E37" s="12">
        <v>4</v>
      </c>
      <c r="F37" s="8">
        <v>0.7</v>
      </c>
      <c r="G37" s="12">
        <v>15</v>
      </c>
      <c r="H37" s="8">
        <v>3.39</v>
      </c>
      <c r="I37" s="12">
        <v>0</v>
      </c>
    </row>
    <row r="38" spans="2:9" ht="15" customHeight="1" x14ac:dyDescent="0.2">
      <c r="B38" t="s">
        <v>134</v>
      </c>
      <c r="C38" s="12">
        <v>16</v>
      </c>
      <c r="D38" s="8">
        <v>1.56</v>
      </c>
      <c r="E38" s="12">
        <v>7</v>
      </c>
      <c r="F38" s="8">
        <v>1.22</v>
      </c>
      <c r="G38" s="12">
        <v>9</v>
      </c>
      <c r="H38" s="8">
        <v>2.04</v>
      </c>
      <c r="I38" s="12">
        <v>0</v>
      </c>
    </row>
    <row r="39" spans="2:9" ht="15" customHeight="1" x14ac:dyDescent="0.2">
      <c r="B39" t="s">
        <v>131</v>
      </c>
      <c r="C39" s="12">
        <v>14</v>
      </c>
      <c r="D39" s="8">
        <v>1.37</v>
      </c>
      <c r="E39" s="12">
        <v>8</v>
      </c>
      <c r="F39" s="8">
        <v>1.4</v>
      </c>
      <c r="G39" s="12">
        <v>5</v>
      </c>
      <c r="H39" s="8">
        <v>1.1299999999999999</v>
      </c>
      <c r="I39" s="12">
        <v>0</v>
      </c>
    </row>
    <row r="40" spans="2:9" ht="15" customHeight="1" x14ac:dyDescent="0.2">
      <c r="B40" t="s">
        <v>129</v>
      </c>
      <c r="C40" s="12">
        <v>13</v>
      </c>
      <c r="D40" s="8">
        <v>1.27</v>
      </c>
      <c r="E40" s="12">
        <v>1</v>
      </c>
      <c r="F40" s="8">
        <v>0.17</v>
      </c>
      <c r="G40" s="12">
        <v>11</v>
      </c>
      <c r="H40" s="8">
        <v>2.4900000000000002</v>
      </c>
      <c r="I40" s="12">
        <v>0</v>
      </c>
    </row>
    <row r="41" spans="2:9" ht="15" customHeight="1" x14ac:dyDescent="0.2">
      <c r="B41" t="s">
        <v>119</v>
      </c>
      <c r="C41" s="12">
        <v>13</v>
      </c>
      <c r="D41" s="8">
        <v>1.27</v>
      </c>
      <c r="E41" s="12">
        <v>0</v>
      </c>
      <c r="F41" s="8">
        <v>0</v>
      </c>
      <c r="G41" s="12">
        <v>13</v>
      </c>
      <c r="H41" s="8">
        <v>2.94</v>
      </c>
      <c r="I41" s="12">
        <v>0</v>
      </c>
    </row>
    <row r="42" spans="2:9" ht="15" customHeight="1" x14ac:dyDescent="0.2">
      <c r="B42" t="s">
        <v>121</v>
      </c>
      <c r="C42" s="12">
        <v>12</v>
      </c>
      <c r="D42" s="8">
        <v>1.17</v>
      </c>
      <c r="E42" s="12">
        <v>4</v>
      </c>
      <c r="F42" s="8">
        <v>0.7</v>
      </c>
      <c r="G42" s="12">
        <v>8</v>
      </c>
      <c r="H42" s="8">
        <v>1.81</v>
      </c>
      <c r="I42" s="12">
        <v>0</v>
      </c>
    </row>
    <row r="43" spans="2:9" ht="15" customHeight="1" x14ac:dyDescent="0.2">
      <c r="B43" t="s">
        <v>130</v>
      </c>
      <c r="C43" s="12">
        <v>11</v>
      </c>
      <c r="D43" s="8">
        <v>1.07</v>
      </c>
      <c r="E43" s="12">
        <v>2</v>
      </c>
      <c r="F43" s="8">
        <v>0.35</v>
      </c>
      <c r="G43" s="12">
        <v>9</v>
      </c>
      <c r="H43" s="8">
        <v>2.04</v>
      </c>
      <c r="I43" s="12">
        <v>0</v>
      </c>
    </row>
    <row r="44" spans="2:9" ht="15" customHeight="1" x14ac:dyDescent="0.2">
      <c r="B44" t="s">
        <v>133</v>
      </c>
      <c r="C44" s="12">
        <v>11</v>
      </c>
      <c r="D44" s="8">
        <v>1.07</v>
      </c>
      <c r="E44" s="12">
        <v>1</v>
      </c>
      <c r="F44" s="8">
        <v>0.17</v>
      </c>
      <c r="G44" s="12">
        <v>10</v>
      </c>
      <c r="H44" s="8">
        <v>2.2599999999999998</v>
      </c>
      <c r="I44" s="12">
        <v>0</v>
      </c>
    </row>
    <row r="47" spans="2:9" ht="33" customHeight="1" x14ac:dyDescent="0.2">
      <c r="B47" t="s">
        <v>365</v>
      </c>
      <c r="C47" s="10" t="s">
        <v>94</v>
      </c>
      <c r="D47" s="10" t="s">
        <v>95</v>
      </c>
      <c r="E47" s="10" t="s">
        <v>96</v>
      </c>
      <c r="F47" s="10" t="s">
        <v>97</v>
      </c>
      <c r="G47" s="10" t="s">
        <v>98</v>
      </c>
      <c r="H47" s="10" t="s">
        <v>99</v>
      </c>
      <c r="I47" s="10" t="s">
        <v>100</v>
      </c>
    </row>
    <row r="48" spans="2:9" ht="15" customHeight="1" x14ac:dyDescent="0.2">
      <c r="B48" t="s">
        <v>183</v>
      </c>
      <c r="C48" s="12">
        <v>67</v>
      </c>
      <c r="D48" s="8">
        <v>6.54</v>
      </c>
      <c r="E48" s="12">
        <v>54</v>
      </c>
      <c r="F48" s="8">
        <v>9.44</v>
      </c>
      <c r="G48" s="12">
        <v>13</v>
      </c>
      <c r="H48" s="8">
        <v>2.94</v>
      </c>
      <c r="I48" s="12">
        <v>0</v>
      </c>
    </row>
    <row r="49" spans="2:9" ht="15" customHeight="1" x14ac:dyDescent="0.2">
      <c r="B49" t="s">
        <v>191</v>
      </c>
      <c r="C49" s="12">
        <v>61</v>
      </c>
      <c r="D49" s="8">
        <v>5.96</v>
      </c>
      <c r="E49" s="12">
        <v>53</v>
      </c>
      <c r="F49" s="8">
        <v>9.27</v>
      </c>
      <c r="G49" s="12">
        <v>8</v>
      </c>
      <c r="H49" s="8">
        <v>1.81</v>
      </c>
      <c r="I49" s="12">
        <v>0</v>
      </c>
    </row>
    <row r="50" spans="2:9" ht="15" customHeight="1" x14ac:dyDescent="0.2">
      <c r="B50" t="s">
        <v>187</v>
      </c>
      <c r="C50" s="12">
        <v>37</v>
      </c>
      <c r="D50" s="8">
        <v>3.61</v>
      </c>
      <c r="E50" s="12">
        <v>26</v>
      </c>
      <c r="F50" s="8">
        <v>4.55</v>
      </c>
      <c r="G50" s="12">
        <v>11</v>
      </c>
      <c r="H50" s="8">
        <v>2.4900000000000002</v>
      </c>
      <c r="I50" s="12">
        <v>0</v>
      </c>
    </row>
    <row r="51" spans="2:9" ht="15" customHeight="1" x14ac:dyDescent="0.2">
      <c r="B51" t="s">
        <v>190</v>
      </c>
      <c r="C51" s="12">
        <v>30</v>
      </c>
      <c r="D51" s="8">
        <v>2.93</v>
      </c>
      <c r="E51" s="12">
        <v>29</v>
      </c>
      <c r="F51" s="8">
        <v>5.07</v>
      </c>
      <c r="G51" s="12">
        <v>1</v>
      </c>
      <c r="H51" s="8">
        <v>0.23</v>
      </c>
      <c r="I51" s="12">
        <v>0</v>
      </c>
    </row>
    <row r="52" spans="2:9" ht="15" customHeight="1" x14ac:dyDescent="0.2">
      <c r="B52" t="s">
        <v>193</v>
      </c>
      <c r="C52" s="12">
        <v>30</v>
      </c>
      <c r="D52" s="8">
        <v>2.93</v>
      </c>
      <c r="E52" s="12">
        <v>26</v>
      </c>
      <c r="F52" s="8">
        <v>4.55</v>
      </c>
      <c r="G52" s="12">
        <v>4</v>
      </c>
      <c r="H52" s="8">
        <v>0.9</v>
      </c>
      <c r="I52" s="12">
        <v>0</v>
      </c>
    </row>
    <row r="53" spans="2:9" ht="15" customHeight="1" x14ac:dyDescent="0.2">
      <c r="B53" t="s">
        <v>189</v>
      </c>
      <c r="C53" s="12">
        <v>26</v>
      </c>
      <c r="D53" s="8">
        <v>2.54</v>
      </c>
      <c r="E53" s="12">
        <v>26</v>
      </c>
      <c r="F53" s="8">
        <v>4.55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192</v>
      </c>
      <c r="C54" s="12">
        <v>26</v>
      </c>
      <c r="D54" s="8">
        <v>2.54</v>
      </c>
      <c r="E54" s="12">
        <v>22</v>
      </c>
      <c r="F54" s="8">
        <v>3.85</v>
      </c>
      <c r="G54" s="12">
        <v>4</v>
      </c>
      <c r="H54" s="8">
        <v>0.9</v>
      </c>
      <c r="I54" s="12">
        <v>0</v>
      </c>
    </row>
    <row r="55" spans="2:9" ht="15" customHeight="1" x14ac:dyDescent="0.2">
      <c r="B55" t="s">
        <v>188</v>
      </c>
      <c r="C55" s="12">
        <v>24</v>
      </c>
      <c r="D55" s="8">
        <v>2.34</v>
      </c>
      <c r="E55" s="12">
        <v>20</v>
      </c>
      <c r="F55" s="8">
        <v>3.5</v>
      </c>
      <c r="G55" s="12">
        <v>4</v>
      </c>
      <c r="H55" s="8">
        <v>0.9</v>
      </c>
      <c r="I55" s="12">
        <v>0</v>
      </c>
    </row>
    <row r="56" spans="2:9" ht="15" customHeight="1" x14ac:dyDescent="0.2">
      <c r="B56" t="s">
        <v>181</v>
      </c>
      <c r="C56" s="12">
        <v>22</v>
      </c>
      <c r="D56" s="8">
        <v>2.15</v>
      </c>
      <c r="E56" s="12">
        <v>15</v>
      </c>
      <c r="F56" s="8">
        <v>2.62</v>
      </c>
      <c r="G56" s="12">
        <v>7</v>
      </c>
      <c r="H56" s="8">
        <v>1.58</v>
      </c>
      <c r="I56" s="12">
        <v>0</v>
      </c>
    </row>
    <row r="57" spans="2:9" ht="15" customHeight="1" x14ac:dyDescent="0.2">
      <c r="B57" t="s">
        <v>186</v>
      </c>
      <c r="C57" s="12">
        <v>21</v>
      </c>
      <c r="D57" s="8">
        <v>2.0499999999999998</v>
      </c>
      <c r="E57" s="12">
        <v>14</v>
      </c>
      <c r="F57" s="8">
        <v>2.4500000000000002</v>
      </c>
      <c r="G57" s="12">
        <v>7</v>
      </c>
      <c r="H57" s="8">
        <v>1.58</v>
      </c>
      <c r="I57" s="12">
        <v>0</v>
      </c>
    </row>
    <row r="58" spans="2:9" ht="15" customHeight="1" x14ac:dyDescent="0.2">
      <c r="B58" t="s">
        <v>180</v>
      </c>
      <c r="C58" s="12">
        <v>17</v>
      </c>
      <c r="D58" s="8">
        <v>1.66</v>
      </c>
      <c r="E58" s="12">
        <v>6</v>
      </c>
      <c r="F58" s="8">
        <v>1.05</v>
      </c>
      <c r="G58" s="12">
        <v>11</v>
      </c>
      <c r="H58" s="8">
        <v>2.4900000000000002</v>
      </c>
      <c r="I58" s="12">
        <v>0</v>
      </c>
    </row>
    <row r="59" spans="2:9" ht="15" customHeight="1" x14ac:dyDescent="0.2">
      <c r="B59" t="s">
        <v>197</v>
      </c>
      <c r="C59" s="12">
        <v>16</v>
      </c>
      <c r="D59" s="8">
        <v>1.56</v>
      </c>
      <c r="E59" s="12">
        <v>13</v>
      </c>
      <c r="F59" s="8">
        <v>2.27</v>
      </c>
      <c r="G59" s="12">
        <v>3</v>
      </c>
      <c r="H59" s="8">
        <v>0.68</v>
      </c>
      <c r="I59" s="12">
        <v>0</v>
      </c>
    </row>
    <row r="60" spans="2:9" ht="15" customHeight="1" x14ac:dyDescent="0.2">
      <c r="B60" t="s">
        <v>212</v>
      </c>
      <c r="C60" s="12">
        <v>16</v>
      </c>
      <c r="D60" s="8">
        <v>1.56</v>
      </c>
      <c r="E60" s="12">
        <v>7</v>
      </c>
      <c r="F60" s="8">
        <v>1.22</v>
      </c>
      <c r="G60" s="12">
        <v>9</v>
      </c>
      <c r="H60" s="8">
        <v>2.04</v>
      </c>
      <c r="I60" s="12">
        <v>0</v>
      </c>
    </row>
    <row r="61" spans="2:9" ht="15" customHeight="1" x14ac:dyDescent="0.2">
      <c r="B61" t="s">
        <v>174</v>
      </c>
      <c r="C61" s="12">
        <v>15</v>
      </c>
      <c r="D61" s="8">
        <v>1.46</v>
      </c>
      <c r="E61" s="12">
        <v>3</v>
      </c>
      <c r="F61" s="8">
        <v>0.52</v>
      </c>
      <c r="G61" s="12">
        <v>12</v>
      </c>
      <c r="H61" s="8">
        <v>2.71</v>
      </c>
      <c r="I61" s="12">
        <v>0</v>
      </c>
    </row>
    <row r="62" spans="2:9" ht="15" customHeight="1" x14ac:dyDescent="0.2">
      <c r="B62" t="s">
        <v>176</v>
      </c>
      <c r="C62" s="12">
        <v>15</v>
      </c>
      <c r="D62" s="8">
        <v>1.46</v>
      </c>
      <c r="E62" s="12">
        <v>7</v>
      </c>
      <c r="F62" s="8">
        <v>1.22</v>
      </c>
      <c r="G62" s="12">
        <v>8</v>
      </c>
      <c r="H62" s="8">
        <v>1.81</v>
      </c>
      <c r="I62" s="12">
        <v>0</v>
      </c>
    </row>
    <row r="63" spans="2:9" ht="15" customHeight="1" x14ac:dyDescent="0.2">
      <c r="B63" t="s">
        <v>196</v>
      </c>
      <c r="C63" s="12">
        <v>15</v>
      </c>
      <c r="D63" s="8">
        <v>1.46</v>
      </c>
      <c r="E63" s="12">
        <v>4</v>
      </c>
      <c r="F63" s="8">
        <v>0.7</v>
      </c>
      <c r="G63" s="12">
        <v>11</v>
      </c>
      <c r="H63" s="8">
        <v>2.4900000000000002</v>
      </c>
      <c r="I63" s="12">
        <v>0</v>
      </c>
    </row>
    <row r="64" spans="2:9" ht="15" customHeight="1" x14ac:dyDescent="0.2">
      <c r="B64" t="s">
        <v>179</v>
      </c>
      <c r="C64" s="12">
        <v>15</v>
      </c>
      <c r="D64" s="8">
        <v>1.46</v>
      </c>
      <c r="E64" s="12">
        <v>8</v>
      </c>
      <c r="F64" s="8">
        <v>1.4</v>
      </c>
      <c r="G64" s="12">
        <v>7</v>
      </c>
      <c r="H64" s="8">
        <v>1.58</v>
      </c>
      <c r="I64" s="12">
        <v>0</v>
      </c>
    </row>
    <row r="65" spans="2:9" ht="15" customHeight="1" x14ac:dyDescent="0.2">
      <c r="B65" t="s">
        <v>210</v>
      </c>
      <c r="C65" s="12">
        <v>14</v>
      </c>
      <c r="D65" s="8">
        <v>1.37</v>
      </c>
      <c r="E65" s="12">
        <v>11</v>
      </c>
      <c r="F65" s="8">
        <v>1.92</v>
      </c>
      <c r="G65" s="12">
        <v>3</v>
      </c>
      <c r="H65" s="8">
        <v>0.68</v>
      </c>
      <c r="I65" s="12">
        <v>0</v>
      </c>
    </row>
    <row r="66" spans="2:9" ht="15" customHeight="1" x14ac:dyDescent="0.2">
      <c r="B66" t="s">
        <v>184</v>
      </c>
      <c r="C66" s="12">
        <v>14</v>
      </c>
      <c r="D66" s="8">
        <v>1.37</v>
      </c>
      <c r="E66" s="12">
        <v>3</v>
      </c>
      <c r="F66" s="8">
        <v>0.52</v>
      </c>
      <c r="G66" s="12">
        <v>10</v>
      </c>
      <c r="H66" s="8">
        <v>2.2599999999999998</v>
      </c>
      <c r="I66" s="12">
        <v>0</v>
      </c>
    </row>
    <row r="67" spans="2:9" ht="15" customHeight="1" x14ac:dyDescent="0.2">
      <c r="B67" t="s">
        <v>209</v>
      </c>
      <c r="C67" s="12">
        <v>14</v>
      </c>
      <c r="D67" s="8">
        <v>1.37</v>
      </c>
      <c r="E67" s="12">
        <v>10</v>
      </c>
      <c r="F67" s="8">
        <v>1.75</v>
      </c>
      <c r="G67" s="12">
        <v>4</v>
      </c>
      <c r="H67" s="8">
        <v>0.9</v>
      </c>
      <c r="I67" s="12">
        <v>0</v>
      </c>
    </row>
    <row r="69" spans="2:9" ht="15" customHeight="1" x14ac:dyDescent="0.2">
      <c r="B69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F0877-648E-4AA4-B415-83742BCA46B9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377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1</v>
      </c>
      <c r="D5" s="8">
        <v>0.08</v>
      </c>
      <c r="E5" s="12">
        <v>0</v>
      </c>
      <c r="F5" s="8">
        <v>0</v>
      </c>
      <c r="G5" s="12">
        <v>1</v>
      </c>
      <c r="H5" s="8">
        <v>0.18</v>
      </c>
      <c r="I5" s="12">
        <v>0</v>
      </c>
    </row>
    <row r="6" spans="2:9" ht="15" customHeight="1" x14ac:dyDescent="0.2">
      <c r="B6" t="s">
        <v>79</v>
      </c>
      <c r="C6" s="12">
        <v>189</v>
      </c>
      <c r="D6" s="8">
        <v>15.65</v>
      </c>
      <c r="E6" s="12">
        <v>67</v>
      </c>
      <c r="F6" s="8">
        <v>10.44</v>
      </c>
      <c r="G6" s="12">
        <v>122</v>
      </c>
      <c r="H6" s="8">
        <v>22.14</v>
      </c>
      <c r="I6" s="12">
        <v>0</v>
      </c>
    </row>
    <row r="7" spans="2:9" ht="15" customHeight="1" x14ac:dyDescent="0.2">
      <c r="B7" t="s">
        <v>80</v>
      </c>
      <c r="C7" s="12">
        <v>121</v>
      </c>
      <c r="D7" s="8">
        <v>10.02</v>
      </c>
      <c r="E7" s="12">
        <v>48</v>
      </c>
      <c r="F7" s="8">
        <v>7.48</v>
      </c>
      <c r="G7" s="12">
        <v>73</v>
      </c>
      <c r="H7" s="8">
        <v>13.25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0.08</v>
      </c>
      <c r="E8" s="12">
        <v>0</v>
      </c>
      <c r="F8" s="8">
        <v>0</v>
      </c>
      <c r="G8" s="12">
        <v>1</v>
      </c>
      <c r="H8" s="8">
        <v>0.18</v>
      </c>
      <c r="I8" s="12">
        <v>0</v>
      </c>
    </row>
    <row r="9" spans="2:9" ht="15" customHeight="1" x14ac:dyDescent="0.2">
      <c r="B9" t="s">
        <v>82</v>
      </c>
      <c r="C9" s="12">
        <v>3</v>
      </c>
      <c r="D9" s="8">
        <v>0.25</v>
      </c>
      <c r="E9" s="12">
        <v>1</v>
      </c>
      <c r="F9" s="8">
        <v>0.16</v>
      </c>
      <c r="G9" s="12">
        <v>2</v>
      </c>
      <c r="H9" s="8">
        <v>0.36</v>
      </c>
      <c r="I9" s="12">
        <v>0</v>
      </c>
    </row>
    <row r="10" spans="2:9" ht="15" customHeight="1" x14ac:dyDescent="0.2">
      <c r="B10" t="s">
        <v>83</v>
      </c>
      <c r="C10" s="12">
        <v>7</v>
      </c>
      <c r="D10" s="8">
        <v>0.57999999999999996</v>
      </c>
      <c r="E10" s="12">
        <v>1</v>
      </c>
      <c r="F10" s="8">
        <v>0.16</v>
      </c>
      <c r="G10" s="12">
        <v>6</v>
      </c>
      <c r="H10" s="8">
        <v>1.0900000000000001</v>
      </c>
      <c r="I10" s="12">
        <v>0</v>
      </c>
    </row>
    <row r="11" spans="2:9" ht="15" customHeight="1" x14ac:dyDescent="0.2">
      <c r="B11" t="s">
        <v>84</v>
      </c>
      <c r="C11" s="12">
        <v>329</v>
      </c>
      <c r="D11" s="8">
        <v>27.24</v>
      </c>
      <c r="E11" s="12">
        <v>149</v>
      </c>
      <c r="F11" s="8">
        <v>23.21</v>
      </c>
      <c r="G11" s="12">
        <v>180</v>
      </c>
      <c r="H11" s="8">
        <v>32.67</v>
      </c>
      <c r="I11" s="12">
        <v>0</v>
      </c>
    </row>
    <row r="12" spans="2:9" ht="15" customHeight="1" x14ac:dyDescent="0.2">
      <c r="B12" t="s">
        <v>85</v>
      </c>
      <c r="C12" s="12">
        <v>11</v>
      </c>
      <c r="D12" s="8">
        <v>0.91</v>
      </c>
      <c r="E12" s="12">
        <v>3</v>
      </c>
      <c r="F12" s="8">
        <v>0.47</v>
      </c>
      <c r="G12" s="12">
        <v>8</v>
      </c>
      <c r="H12" s="8">
        <v>1.45</v>
      </c>
      <c r="I12" s="12">
        <v>0</v>
      </c>
    </row>
    <row r="13" spans="2:9" ht="15" customHeight="1" x14ac:dyDescent="0.2">
      <c r="B13" t="s">
        <v>86</v>
      </c>
      <c r="C13" s="12">
        <v>89</v>
      </c>
      <c r="D13" s="8">
        <v>7.37</v>
      </c>
      <c r="E13" s="12">
        <v>41</v>
      </c>
      <c r="F13" s="8">
        <v>6.39</v>
      </c>
      <c r="G13" s="12">
        <v>48</v>
      </c>
      <c r="H13" s="8">
        <v>8.7100000000000009</v>
      </c>
      <c r="I13" s="12">
        <v>0</v>
      </c>
    </row>
    <row r="14" spans="2:9" ht="15" customHeight="1" x14ac:dyDescent="0.2">
      <c r="B14" t="s">
        <v>87</v>
      </c>
      <c r="C14" s="12">
        <v>61</v>
      </c>
      <c r="D14" s="8">
        <v>5.05</v>
      </c>
      <c r="E14" s="12">
        <v>35</v>
      </c>
      <c r="F14" s="8">
        <v>5.45</v>
      </c>
      <c r="G14" s="12">
        <v>26</v>
      </c>
      <c r="H14" s="8">
        <v>4.72</v>
      </c>
      <c r="I14" s="12">
        <v>0</v>
      </c>
    </row>
    <row r="15" spans="2:9" ht="15" customHeight="1" x14ac:dyDescent="0.2">
      <c r="B15" t="s">
        <v>88</v>
      </c>
      <c r="C15" s="12">
        <v>124</v>
      </c>
      <c r="D15" s="8">
        <v>10.26</v>
      </c>
      <c r="E15" s="12">
        <v>110</v>
      </c>
      <c r="F15" s="8">
        <v>17.13</v>
      </c>
      <c r="G15" s="12">
        <v>12</v>
      </c>
      <c r="H15" s="8">
        <v>2.1800000000000002</v>
      </c>
      <c r="I15" s="12">
        <v>0</v>
      </c>
    </row>
    <row r="16" spans="2:9" ht="15" customHeight="1" x14ac:dyDescent="0.2">
      <c r="B16" t="s">
        <v>89</v>
      </c>
      <c r="C16" s="12">
        <v>137</v>
      </c>
      <c r="D16" s="8">
        <v>11.34</v>
      </c>
      <c r="E16" s="12">
        <v>112</v>
      </c>
      <c r="F16" s="8">
        <v>17.45</v>
      </c>
      <c r="G16" s="12">
        <v>25</v>
      </c>
      <c r="H16" s="8">
        <v>4.54</v>
      </c>
      <c r="I16" s="12">
        <v>0</v>
      </c>
    </row>
    <row r="17" spans="2:9" ht="15" customHeight="1" x14ac:dyDescent="0.2">
      <c r="B17" t="s">
        <v>90</v>
      </c>
      <c r="C17" s="12">
        <v>40</v>
      </c>
      <c r="D17" s="8">
        <v>3.31</v>
      </c>
      <c r="E17" s="12">
        <v>23</v>
      </c>
      <c r="F17" s="8">
        <v>3.58</v>
      </c>
      <c r="G17" s="12">
        <v>11</v>
      </c>
      <c r="H17" s="8">
        <v>2</v>
      </c>
      <c r="I17" s="12">
        <v>0</v>
      </c>
    </row>
    <row r="18" spans="2:9" ht="15" customHeight="1" x14ac:dyDescent="0.2">
      <c r="B18" t="s">
        <v>91</v>
      </c>
      <c r="C18" s="12">
        <v>57</v>
      </c>
      <c r="D18" s="8">
        <v>4.72</v>
      </c>
      <c r="E18" s="12">
        <v>36</v>
      </c>
      <c r="F18" s="8">
        <v>5.61</v>
      </c>
      <c r="G18" s="12">
        <v>16</v>
      </c>
      <c r="H18" s="8">
        <v>2.9</v>
      </c>
      <c r="I18" s="12">
        <v>0</v>
      </c>
    </row>
    <row r="19" spans="2:9" ht="15" customHeight="1" x14ac:dyDescent="0.2">
      <c r="B19" t="s">
        <v>92</v>
      </c>
      <c r="C19" s="12">
        <v>38</v>
      </c>
      <c r="D19" s="8">
        <v>3.15</v>
      </c>
      <c r="E19" s="12">
        <v>16</v>
      </c>
      <c r="F19" s="8">
        <v>2.4900000000000002</v>
      </c>
      <c r="G19" s="12">
        <v>20</v>
      </c>
      <c r="H19" s="8">
        <v>3.63</v>
      </c>
      <c r="I19" s="12">
        <v>0</v>
      </c>
    </row>
    <row r="20" spans="2:9" ht="15" customHeight="1" x14ac:dyDescent="0.2">
      <c r="B20" s="9" t="s">
        <v>363</v>
      </c>
      <c r="C20" s="12">
        <f>SUM(LTBL_20211[総数／事業所数])</f>
        <v>1208</v>
      </c>
      <c r="E20" s="12">
        <f>SUBTOTAL(109,LTBL_20211[個人／事業所数])</f>
        <v>642</v>
      </c>
      <c r="G20" s="12">
        <f>SUBTOTAL(109,LTBL_20211[法人／事業所数])</f>
        <v>551</v>
      </c>
      <c r="I20" s="12">
        <f>SUBTOTAL(109,LTBL_20211[法人以外の団体／事業所数])</f>
        <v>0</v>
      </c>
    </row>
    <row r="21" spans="2:9" ht="15" customHeight="1" x14ac:dyDescent="0.2">
      <c r="E21" s="11">
        <f>LTBL_20211[[#Totals],[個人／事業所数]]/LTBL_20211[[#Totals],[総数／事業所数]]</f>
        <v>0.5314569536423841</v>
      </c>
      <c r="G21" s="11">
        <f>LTBL_20211[[#Totals],[法人／事業所数]]/LTBL_20211[[#Totals],[総数／事業所数]]</f>
        <v>0.45612582781456956</v>
      </c>
      <c r="I21" s="11">
        <f>LTBL_20211[[#Totals],[法人以外の団体／事業所数]]/LTBL_20211[[#Totals],[総数／事業所数]]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119</v>
      </c>
      <c r="D24" s="8">
        <v>9.85</v>
      </c>
      <c r="E24" s="12">
        <v>108</v>
      </c>
      <c r="F24" s="8">
        <v>16.82</v>
      </c>
      <c r="G24" s="12">
        <v>11</v>
      </c>
      <c r="H24" s="8">
        <v>2</v>
      </c>
      <c r="I24" s="12">
        <v>0</v>
      </c>
    </row>
    <row r="25" spans="2:9" ht="15" customHeight="1" x14ac:dyDescent="0.2">
      <c r="B25" t="s">
        <v>116</v>
      </c>
      <c r="C25" s="12">
        <v>119</v>
      </c>
      <c r="D25" s="8">
        <v>9.85</v>
      </c>
      <c r="E25" s="12">
        <v>102</v>
      </c>
      <c r="F25" s="8">
        <v>15.89</v>
      </c>
      <c r="G25" s="12">
        <v>17</v>
      </c>
      <c r="H25" s="8">
        <v>3.09</v>
      </c>
      <c r="I25" s="12">
        <v>0</v>
      </c>
    </row>
    <row r="26" spans="2:9" ht="15" customHeight="1" x14ac:dyDescent="0.2">
      <c r="B26" t="s">
        <v>110</v>
      </c>
      <c r="C26" s="12">
        <v>117</v>
      </c>
      <c r="D26" s="8">
        <v>9.69</v>
      </c>
      <c r="E26" s="12">
        <v>52</v>
      </c>
      <c r="F26" s="8">
        <v>8.1</v>
      </c>
      <c r="G26" s="12">
        <v>65</v>
      </c>
      <c r="H26" s="8">
        <v>11.8</v>
      </c>
      <c r="I26" s="12">
        <v>0</v>
      </c>
    </row>
    <row r="27" spans="2:9" ht="15" customHeight="1" x14ac:dyDescent="0.2">
      <c r="B27" t="s">
        <v>101</v>
      </c>
      <c r="C27" s="12">
        <v>92</v>
      </c>
      <c r="D27" s="8">
        <v>7.62</v>
      </c>
      <c r="E27" s="12">
        <v>30</v>
      </c>
      <c r="F27" s="8">
        <v>4.67</v>
      </c>
      <c r="G27" s="12">
        <v>62</v>
      </c>
      <c r="H27" s="8">
        <v>11.25</v>
      </c>
      <c r="I27" s="12">
        <v>0</v>
      </c>
    </row>
    <row r="28" spans="2:9" ht="15" customHeight="1" x14ac:dyDescent="0.2">
      <c r="B28" t="s">
        <v>111</v>
      </c>
      <c r="C28" s="12">
        <v>70</v>
      </c>
      <c r="D28" s="8">
        <v>5.79</v>
      </c>
      <c r="E28" s="12">
        <v>40</v>
      </c>
      <c r="F28" s="8">
        <v>6.23</v>
      </c>
      <c r="G28" s="12">
        <v>30</v>
      </c>
      <c r="H28" s="8">
        <v>5.44</v>
      </c>
      <c r="I28" s="12">
        <v>0</v>
      </c>
    </row>
    <row r="29" spans="2:9" ht="15" customHeight="1" x14ac:dyDescent="0.2">
      <c r="B29" t="s">
        <v>108</v>
      </c>
      <c r="C29" s="12">
        <v>65</v>
      </c>
      <c r="D29" s="8">
        <v>5.38</v>
      </c>
      <c r="E29" s="12">
        <v>40</v>
      </c>
      <c r="F29" s="8">
        <v>6.23</v>
      </c>
      <c r="G29" s="12">
        <v>25</v>
      </c>
      <c r="H29" s="8">
        <v>4.54</v>
      </c>
      <c r="I29" s="12">
        <v>0</v>
      </c>
    </row>
    <row r="30" spans="2:9" ht="15" customHeight="1" x14ac:dyDescent="0.2">
      <c r="B30" t="s">
        <v>102</v>
      </c>
      <c r="C30" s="12">
        <v>64</v>
      </c>
      <c r="D30" s="8">
        <v>5.3</v>
      </c>
      <c r="E30" s="12">
        <v>29</v>
      </c>
      <c r="F30" s="8">
        <v>4.5199999999999996</v>
      </c>
      <c r="G30" s="12">
        <v>35</v>
      </c>
      <c r="H30" s="8">
        <v>6.35</v>
      </c>
      <c r="I30" s="12">
        <v>0</v>
      </c>
    </row>
    <row r="31" spans="2:9" ht="15" customHeight="1" x14ac:dyDescent="0.2">
      <c r="B31" t="s">
        <v>109</v>
      </c>
      <c r="C31" s="12">
        <v>54</v>
      </c>
      <c r="D31" s="8">
        <v>4.47</v>
      </c>
      <c r="E31" s="12">
        <v>33</v>
      </c>
      <c r="F31" s="8">
        <v>5.14</v>
      </c>
      <c r="G31" s="12">
        <v>21</v>
      </c>
      <c r="H31" s="8">
        <v>3.81</v>
      </c>
      <c r="I31" s="12">
        <v>0</v>
      </c>
    </row>
    <row r="32" spans="2:9" ht="15" customHeight="1" x14ac:dyDescent="0.2">
      <c r="B32" t="s">
        <v>117</v>
      </c>
      <c r="C32" s="12">
        <v>40</v>
      </c>
      <c r="D32" s="8">
        <v>3.31</v>
      </c>
      <c r="E32" s="12">
        <v>23</v>
      </c>
      <c r="F32" s="8">
        <v>3.58</v>
      </c>
      <c r="G32" s="12">
        <v>11</v>
      </c>
      <c r="H32" s="8">
        <v>2</v>
      </c>
      <c r="I32" s="12">
        <v>0</v>
      </c>
    </row>
    <row r="33" spans="2:9" ht="15" customHeight="1" x14ac:dyDescent="0.2">
      <c r="B33" t="s">
        <v>118</v>
      </c>
      <c r="C33" s="12">
        <v>37</v>
      </c>
      <c r="D33" s="8">
        <v>3.06</v>
      </c>
      <c r="E33" s="12">
        <v>36</v>
      </c>
      <c r="F33" s="8">
        <v>5.61</v>
      </c>
      <c r="G33" s="12">
        <v>1</v>
      </c>
      <c r="H33" s="8">
        <v>0.18</v>
      </c>
      <c r="I33" s="12">
        <v>0</v>
      </c>
    </row>
    <row r="34" spans="2:9" ht="15" customHeight="1" x14ac:dyDescent="0.2">
      <c r="B34" t="s">
        <v>103</v>
      </c>
      <c r="C34" s="12">
        <v>33</v>
      </c>
      <c r="D34" s="8">
        <v>2.73</v>
      </c>
      <c r="E34" s="12">
        <v>8</v>
      </c>
      <c r="F34" s="8">
        <v>1.25</v>
      </c>
      <c r="G34" s="12">
        <v>25</v>
      </c>
      <c r="H34" s="8">
        <v>4.54</v>
      </c>
      <c r="I34" s="12">
        <v>0</v>
      </c>
    </row>
    <row r="35" spans="2:9" ht="15" customHeight="1" x14ac:dyDescent="0.2">
      <c r="B35" t="s">
        <v>112</v>
      </c>
      <c r="C35" s="12">
        <v>31</v>
      </c>
      <c r="D35" s="8">
        <v>2.57</v>
      </c>
      <c r="E35" s="12">
        <v>25</v>
      </c>
      <c r="F35" s="8">
        <v>3.89</v>
      </c>
      <c r="G35" s="12">
        <v>6</v>
      </c>
      <c r="H35" s="8">
        <v>1.0900000000000001</v>
      </c>
      <c r="I35" s="12">
        <v>0</v>
      </c>
    </row>
    <row r="36" spans="2:9" ht="15" customHeight="1" x14ac:dyDescent="0.2">
      <c r="B36" t="s">
        <v>113</v>
      </c>
      <c r="C36" s="12">
        <v>27</v>
      </c>
      <c r="D36" s="8">
        <v>2.2400000000000002</v>
      </c>
      <c r="E36" s="12">
        <v>10</v>
      </c>
      <c r="F36" s="8">
        <v>1.56</v>
      </c>
      <c r="G36" s="12">
        <v>17</v>
      </c>
      <c r="H36" s="8">
        <v>3.09</v>
      </c>
      <c r="I36" s="12">
        <v>0</v>
      </c>
    </row>
    <row r="37" spans="2:9" ht="15" customHeight="1" x14ac:dyDescent="0.2">
      <c r="B37" t="s">
        <v>107</v>
      </c>
      <c r="C37" s="12">
        <v>26</v>
      </c>
      <c r="D37" s="8">
        <v>2.15</v>
      </c>
      <c r="E37" s="12">
        <v>8</v>
      </c>
      <c r="F37" s="8">
        <v>1.25</v>
      </c>
      <c r="G37" s="12">
        <v>18</v>
      </c>
      <c r="H37" s="8">
        <v>3.27</v>
      </c>
      <c r="I37" s="12">
        <v>0</v>
      </c>
    </row>
    <row r="38" spans="2:9" ht="15" customHeight="1" x14ac:dyDescent="0.2">
      <c r="B38" t="s">
        <v>125</v>
      </c>
      <c r="C38" s="12">
        <v>23</v>
      </c>
      <c r="D38" s="8">
        <v>1.9</v>
      </c>
      <c r="E38" s="12">
        <v>4</v>
      </c>
      <c r="F38" s="8">
        <v>0.62</v>
      </c>
      <c r="G38" s="12">
        <v>19</v>
      </c>
      <c r="H38" s="8">
        <v>3.45</v>
      </c>
      <c r="I38" s="12">
        <v>0</v>
      </c>
    </row>
    <row r="39" spans="2:9" ht="15" customHeight="1" x14ac:dyDescent="0.2">
      <c r="B39" t="s">
        <v>119</v>
      </c>
      <c r="C39" s="12">
        <v>20</v>
      </c>
      <c r="D39" s="8">
        <v>1.66</v>
      </c>
      <c r="E39" s="12">
        <v>0</v>
      </c>
      <c r="F39" s="8">
        <v>0</v>
      </c>
      <c r="G39" s="12">
        <v>15</v>
      </c>
      <c r="H39" s="8">
        <v>2.72</v>
      </c>
      <c r="I39" s="12">
        <v>0</v>
      </c>
    </row>
    <row r="40" spans="2:9" ht="15" customHeight="1" x14ac:dyDescent="0.2">
      <c r="B40" t="s">
        <v>127</v>
      </c>
      <c r="C40" s="12">
        <v>18</v>
      </c>
      <c r="D40" s="8">
        <v>1.49</v>
      </c>
      <c r="E40" s="12">
        <v>1</v>
      </c>
      <c r="F40" s="8">
        <v>0.16</v>
      </c>
      <c r="G40" s="12">
        <v>17</v>
      </c>
      <c r="H40" s="8">
        <v>3.09</v>
      </c>
      <c r="I40" s="12">
        <v>0</v>
      </c>
    </row>
    <row r="41" spans="2:9" ht="15" customHeight="1" x14ac:dyDescent="0.2">
      <c r="B41" t="s">
        <v>120</v>
      </c>
      <c r="C41" s="12">
        <v>17</v>
      </c>
      <c r="D41" s="8">
        <v>1.41</v>
      </c>
      <c r="E41" s="12">
        <v>8</v>
      </c>
      <c r="F41" s="8">
        <v>1.25</v>
      </c>
      <c r="G41" s="12">
        <v>9</v>
      </c>
      <c r="H41" s="8">
        <v>1.63</v>
      </c>
      <c r="I41" s="12">
        <v>0</v>
      </c>
    </row>
    <row r="42" spans="2:9" ht="15" customHeight="1" x14ac:dyDescent="0.2">
      <c r="B42" t="s">
        <v>106</v>
      </c>
      <c r="C42" s="12">
        <v>15</v>
      </c>
      <c r="D42" s="8">
        <v>1.24</v>
      </c>
      <c r="E42" s="12">
        <v>5</v>
      </c>
      <c r="F42" s="8">
        <v>0.78</v>
      </c>
      <c r="G42" s="12">
        <v>10</v>
      </c>
      <c r="H42" s="8">
        <v>1.81</v>
      </c>
      <c r="I42" s="12">
        <v>0</v>
      </c>
    </row>
    <row r="43" spans="2:9" ht="15" customHeight="1" x14ac:dyDescent="0.2">
      <c r="B43" t="s">
        <v>131</v>
      </c>
      <c r="C43" s="12">
        <v>15</v>
      </c>
      <c r="D43" s="8">
        <v>1.24</v>
      </c>
      <c r="E43" s="12">
        <v>9</v>
      </c>
      <c r="F43" s="8">
        <v>1.4</v>
      </c>
      <c r="G43" s="12">
        <v>6</v>
      </c>
      <c r="H43" s="8">
        <v>1.0900000000000001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191</v>
      </c>
      <c r="C47" s="12">
        <v>59</v>
      </c>
      <c r="D47" s="8">
        <v>4.88</v>
      </c>
      <c r="E47" s="12">
        <v>54</v>
      </c>
      <c r="F47" s="8">
        <v>8.41</v>
      </c>
      <c r="G47" s="12">
        <v>5</v>
      </c>
      <c r="H47" s="8">
        <v>0.91</v>
      </c>
      <c r="I47" s="12">
        <v>0</v>
      </c>
    </row>
    <row r="48" spans="2:9" ht="15" customHeight="1" x14ac:dyDescent="0.2">
      <c r="B48" t="s">
        <v>183</v>
      </c>
      <c r="C48" s="12">
        <v>48</v>
      </c>
      <c r="D48" s="8">
        <v>3.97</v>
      </c>
      <c r="E48" s="12">
        <v>36</v>
      </c>
      <c r="F48" s="8">
        <v>5.61</v>
      </c>
      <c r="G48" s="12">
        <v>12</v>
      </c>
      <c r="H48" s="8">
        <v>2.1800000000000002</v>
      </c>
      <c r="I48" s="12">
        <v>0</v>
      </c>
    </row>
    <row r="49" spans="2:9" ht="15" customHeight="1" x14ac:dyDescent="0.2">
      <c r="B49" t="s">
        <v>190</v>
      </c>
      <c r="C49" s="12">
        <v>40</v>
      </c>
      <c r="D49" s="8">
        <v>3.31</v>
      </c>
      <c r="E49" s="12">
        <v>40</v>
      </c>
      <c r="F49" s="8">
        <v>6.23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180</v>
      </c>
      <c r="C50" s="12">
        <v>38</v>
      </c>
      <c r="D50" s="8">
        <v>3.15</v>
      </c>
      <c r="E50" s="12">
        <v>22</v>
      </c>
      <c r="F50" s="8">
        <v>3.43</v>
      </c>
      <c r="G50" s="12">
        <v>16</v>
      </c>
      <c r="H50" s="8">
        <v>2.9</v>
      </c>
      <c r="I50" s="12">
        <v>0</v>
      </c>
    </row>
    <row r="51" spans="2:9" ht="15" customHeight="1" x14ac:dyDescent="0.2">
      <c r="B51" t="s">
        <v>176</v>
      </c>
      <c r="C51" s="12">
        <v>31</v>
      </c>
      <c r="D51" s="8">
        <v>2.57</v>
      </c>
      <c r="E51" s="12">
        <v>18</v>
      </c>
      <c r="F51" s="8">
        <v>2.8</v>
      </c>
      <c r="G51" s="12">
        <v>13</v>
      </c>
      <c r="H51" s="8">
        <v>2.36</v>
      </c>
      <c r="I51" s="12">
        <v>0</v>
      </c>
    </row>
    <row r="52" spans="2:9" ht="15" customHeight="1" x14ac:dyDescent="0.2">
      <c r="B52" t="s">
        <v>174</v>
      </c>
      <c r="C52" s="12">
        <v>29</v>
      </c>
      <c r="D52" s="8">
        <v>2.4</v>
      </c>
      <c r="E52" s="12">
        <v>1</v>
      </c>
      <c r="F52" s="8">
        <v>0.16</v>
      </c>
      <c r="G52" s="12">
        <v>28</v>
      </c>
      <c r="H52" s="8">
        <v>5.08</v>
      </c>
      <c r="I52" s="12">
        <v>0</v>
      </c>
    </row>
    <row r="53" spans="2:9" ht="15" customHeight="1" x14ac:dyDescent="0.2">
      <c r="B53" t="s">
        <v>189</v>
      </c>
      <c r="C53" s="12">
        <v>28</v>
      </c>
      <c r="D53" s="8">
        <v>2.3199999999999998</v>
      </c>
      <c r="E53" s="12">
        <v>28</v>
      </c>
      <c r="F53" s="8">
        <v>4.3600000000000003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193</v>
      </c>
      <c r="C54" s="12">
        <v>27</v>
      </c>
      <c r="D54" s="8">
        <v>2.2400000000000002</v>
      </c>
      <c r="E54" s="12">
        <v>27</v>
      </c>
      <c r="F54" s="8">
        <v>4.21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187</v>
      </c>
      <c r="C55" s="12">
        <v>26</v>
      </c>
      <c r="D55" s="8">
        <v>2.15</v>
      </c>
      <c r="E55" s="12">
        <v>20</v>
      </c>
      <c r="F55" s="8">
        <v>3.12</v>
      </c>
      <c r="G55" s="12">
        <v>6</v>
      </c>
      <c r="H55" s="8">
        <v>1.0900000000000001</v>
      </c>
      <c r="I55" s="12">
        <v>0</v>
      </c>
    </row>
    <row r="56" spans="2:9" ht="15" customHeight="1" x14ac:dyDescent="0.2">
      <c r="B56" t="s">
        <v>194</v>
      </c>
      <c r="C56" s="12">
        <v>25</v>
      </c>
      <c r="D56" s="8">
        <v>2.0699999999999998</v>
      </c>
      <c r="E56" s="12">
        <v>7</v>
      </c>
      <c r="F56" s="8">
        <v>1.0900000000000001</v>
      </c>
      <c r="G56" s="12">
        <v>18</v>
      </c>
      <c r="H56" s="8">
        <v>3.27</v>
      </c>
      <c r="I56" s="12">
        <v>0</v>
      </c>
    </row>
    <row r="57" spans="2:9" ht="15" customHeight="1" x14ac:dyDescent="0.2">
      <c r="B57" t="s">
        <v>181</v>
      </c>
      <c r="C57" s="12">
        <v>23</v>
      </c>
      <c r="D57" s="8">
        <v>1.9</v>
      </c>
      <c r="E57" s="12">
        <v>12</v>
      </c>
      <c r="F57" s="8">
        <v>1.87</v>
      </c>
      <c r="G57" s="12">
        <v>11</v>
      </c>
      <c r="H57" s="8">
        <v>2</v>
      </c>
      <c r="I57" s="12">
        <v>0</v>
      </c>
    </row>
    <row r="58" spans="2:9" ht="15" customHeight="1" x14ac:dyDescent="0.2">
      <c r="B58" t="s">
        <v>186</v>
      </c>
      <c r="C58" s="12">
        <v>23</v>
      </c>
      <c r="D58" s="8">
        <v>1.9</v>
      </c>
      <c r="E58" s="12">
        <v>19</v>
      </c>
      <c r="F58" s="8">
        <v>2.96</v>
      </c>
      <c r="G58" s="12">
        <v>4</v>
      </c>
      <c r="H58" s="8">
        <v>0.73</v>
      </c>
      <c r="I58" s="12">
        <v>0</v>
      </c>
    </row>
    <row r="59" spans="2:9" ht="15" customHeight="1" x14ac:dyDescent="0.2">
      <c r="B59" t="s">
        <v>175</v>
      </c>
      <c r="C59" s="12">
        <v>21</v>
      </c>
      <c r="D59" s="8">
        <v>1.74</v>
      </c>
      <c r="E59" s="12">
        <v>8</v>
      </c>
      <c r="F59" s="8">
        <v>1.25</v>
      </c>
      <c r="G59" s="12">
        <v>13</v>
      </c>
      <c r="H59" s="8">
        <v>2.36</v>
      </c>
      <c r="I59" s="12">
        <v>0</v>
      </c>
    </row>
    <row r="60" spans="2:9" ht="15" customHeight="1" x14ac:dyDescent="0.2">
      <c r="B60" t="s">
        <v>184</v>
      </c>
      <c r="C60" s="12">
        <v>21</v>
      </c>
      <c r="D60" s="8">
        <v>1.74</v>
      </c>
      <c r="E60" s="12">
        <v>9</v>
      </c>
      <c r="F60" s="8">
        <v>1.4</v>
      </c>
      <c r="G60" s="12">
        <v>12</v>
      </c>
      <c r="H60" s="8">
        <v>2.1800000000000002</v>
      </c>
      <c r="I60" s="12">
        <v>0</v>
      </c>
    </row>
    <row r="61" spans="2:9" ht="15" customHeight="1" x14ac:dyDescent="0.2">
      <c r="B61" t="s">
        <v>188</v>
      </c>
      <c r="C61" s="12">
        <v>21</v>
      </c>
      <c r="D61" s="8">
        <v>1.74</v>
      </c>
      <c r="E61" s="12">
        <v>20</v>
      </c>
      <c r="F61" s="8">
        <v>3.12</v>
      </c>
      <c r="G61" s="12">
        <v>1</v>
      </c>
      <c r="H61" s="8">
        <v>0.18</v>
      </c>
      <c r="I61" s="12">
        <v>0</v>
      </c>
    </row>
    <row r="62" spans="2:9" ht="15" customHeight="1" x14ac:dyDescent="0.2">
      <c r="B62" t="s">
        <v>179</v>
      </c>
      <c r="C62" s="12">
        <v>20</v>
      </c>
      <c r="D62" s="8">
        <v>1.66</v>
      </c>
      <c r="E62" s="12">
        <v>18</v>
      </c>
      <c r="F62" s="8">
        <v>2.8</v>
      </c>
      <c r="G62" s="12">
        <v>2</v>
      </c>
      <c r="H62" s="8">
        <v>0.36</v>
      </c>
      <c r="I62" s="12">
        <v>0</v>
      </c>
    </row>
    <row r="63" spans="2:9" ht="15" customHeight="1" x14ac:dyDescent="0.2">
      <c r="B63" t="s">
        <v>209</v>
      </c>
      <c r="C63" s="12">
        <v>19</v>
      </c>
      <c r="D63" s="8">
        <v>1.57</v>
      </c>
      <c r="E63" s="12">
        <v>16</v>
      </c>
      <c r="F63" s="8">
        <v>2.4900000000000002</v>
      </c>
      <c r="G63" s="12">
        <v>3</v>
      </c>
      <c r="H63" s="8">
        <v>0.54</v>
      </c>
      <c r="I63" s="12">
        <v>0</v>
      </c>
    </row>
    <row r="64" spans="2:9" ht="15" customHeight="1" x14ac:dyDescent="0.2">
      <c r="B64" t="s">
        <v>213</v>
      </c>
      <c r="C64" s="12">
        <v>17</v>
      </c>
      <c r="D64" s="8">
        <v>1.41</v>
      </c>
      <c r="E64" s="12">
        <v>3</v>
      </c>
      <c r="F64" s="8">
        <v>0.47</v>
      </c>
      <c r="G64" s="12">
        <v>14</v>
      </c>
      <c r="H64" s="8">
        <v>2.54</v>
      </c>
      <c r="I64" s="12">
        <v>0</v>
      </c>
    </row>
    <row r="65" spans="2:9" ht="15" customHeight="1" x14ac:dyDescent="0.2">
      <c r="B65" t="s">
        <v>200</v>
      </c>
      <c r="C65" s="12">
        <v>17</v>
      </c>
      <c r="D65" s="8">
        <v>1.41</v>
      </c>
      <c r="E65" s="12">
        <v>8</v>
      </c>
      <c r="F65" s="8">
        <v>1.25</v>
      </c>
      <c r="G65" s="12">
        <v>9</v>
      </c>
      <c r="H65" s="8">
        <v>1.63</v>
      </c>
      <c r="I65" s="12">
        <v>0</v>
      </c>
    </row>
    <row r="66" spans="2:9" ht="15" customHeight="1" x14ac:dyDescent="0.2">
      <c r="B66" t="s">
        <v>214</v>
      </c>
      <c r="C66" s="12">
        <v>16</v>
      </c>
      <c r="D66" s="8">
        <v>1.32</v>
      </c>
      <c r="E66" s="12">
        <v>9</v>
      </c>
      <c r="F66" s="8">
        <v>1.4</v>
      </c>
      <c r="G66" s="12">
        <v>7</v>
      </c>
      <c r="H66" s="8">
        <v>1.27</v>
      </c>
      <c r="I66" s="12">
        <v>0</v>
      </c>
    </row>
    <row r="67" spans="2:9" ht="15" customHeight="1" x14ac:dyDescent="0.2">
      <c r="B67" t="s">
        <v>197</v>
      </c>
      <c r="C67" s="12">
        <v>16</v>
      </c>
      <c r="D67" s="8">
        <v>1.32</v>
      </c>
      <c r="E67" s="12">
        <v>7</v>
      </c>
      <c r="F67" s="8">
        <v>1.0900000000000001</v>
      </c>
      <c r="G67" s="12">
        <v>9</v>
      </c>
      <c r="H67" s="8">
        <v>1.63</v>
      </c>
      <c r="I67" s="12">
        <v>0</v>
      </c>
    </row>
    <row r="68" spans="2:9" ht="15" customHeight="1" x14ac:dyDescent="0.2">
      <c r="B68" t="s">
        <v>215</v>
      </c>
      <c r="C68" s="12">
        <v>16</v>
      </c>
      <c r="D68" s="8">
        <v>1.32</v>
      </c>
      <c r="E68" s="12">
        <v>6</v>
      </c>
      <c r="F68" s="8">
        <v>0.93</v>
      </c>
      <c r="G68" s="12">
        <v>10</v>
      </c>
      <c r="H68" s="8">
        <v>1.81</v>
      </c>
      <c r="I68" s="12">
        <v>0</v>
      </c>
    </row>
    <row r="69" spans="2:9" ht="15" customHeight="1" x14ac:dyDescent="0.2">
      <c r="B69" t="s">
        <v>182</v>
      </c>
      <c r="C69" s="12">
        <v>16</v>
      </c>
      <c r="D69" s="8">
        <v>1.32</v>
      </c>
      <c r="E69" s="12">
        <v>3</v>
      </c>
      <c r="F69" s="8">
        <v>0.47</v>
      </c>
      <c r="G69" s="12">
        <v>13</v>
      </c>
      <c r="H69" s="8">
        <v>2.36</v>
      </c>
      <c r="I69" s="12">
        <v>0</v>
      </c>
    </row>
    <row r="71" spans="2:9" ht="15" customHeight="1" x14ac:dyDescent="0.2">
      <c r="B71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9037E-48D7-4C5E-B2E9-77C1EB564E17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378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120</v>
      </c>
      <c r="D6" s="8">
        <v>15.92</v>
      </c>
      <c r="E6" s="12">
        <v>51</v>
      </c>
      <c r="F6" s="8">
        <v>12.66</v>
      </c>
      <c r="G6" s="12">
        <v>69</v>
      </c>
      <c r="H6" s="8">
        <v>21.23</v>
      </c>
      <c r="I6" s="12">
        <v>0</v>
      </c>
    </row>
    <row r="7" spans="2:9" ht="15" customHeight="1" x14ac:dyDescent="0.2">
      <c r="B7" t="s">
        <v>80</v>
      </c>
      <c r="C7" s="12">
        <v>54</v>
      </c>
      <c r="D7" s="8">
        <v>7.16</v>
      </c>
      <c r="E7" s="12">
        <v>21</v>
      </c>
      <c r="F7" s="8">
        <v>5.21</v>
      </c>
      <c r="G7" s="12">
        <v>33</v>
      </c>
      <c r="H7" s="8">
        <v>10.15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0.13</v>
      </c>
      <c r="E8" s="12">
        <v>0</v>
      </c>
      <c r="F8" s="8">
        <v>0</v>
      </c>
      <c r="G8" s="12">
        <v>1</v>
      </c>
      <c r="H8" s="8">
        <v>0.31</v>
      </c>
      <c r="I8" s="12">
        <v>0</v>
      </c>
    </row>
    <row r="9" spans="2:9" ht="15" customHeight="1" x14ac:dyDescent="0.2">
      <c r="B9" t="s">
        <v>82</v>
      </c>
      <c r="C9" s="12">
        <v>4</v>
      </c>
      <c r="D9" s="8">
        <v>0.53</v>
      </c>
      <c r="E9" s="12">
        <v>0</v>
      </c>
      <c r="F9" s="8">
        <v>0</v>
      </c>
      <c r="G9" s="12">
        <v>4</v>
      </c>
      <c r="H9" s="8">
        <v>1.23</v>
      </c>
      <c r="I9" s="12">
        <v>0</v>
      </c>
    </row>
    <row r="10" spans="2:9" ht="15" customHeight="1" x14ac:dyDescent="0.2">
      <c r="B10" t="s">
        <v>83</v>
      </c>
      <c r="C10" s="12">
        <v>9</v>
      </c>
      <c r="D10" s="8">
        <v>1.19</v>
      </c>
      <c r="E10" s="12">
        <v>2</v>
      </c>
      <c r="F10" s="8">
        <v>0.5</v>
      </c>
      <c r="G10" s="12">
        <v>5</v>
      </c>
      <c r="H10" s="8">
        <v>1.54</v>
      </c>
      <c r="I10" s="12">
        <v>1</v>
      </c>
    </row>
    <row r="11" spans="2:9" ht="15" customHeight="1" x14ac:dyDescent="0.2">
      <c r="B11" t="s">
        <v>84</v>
      </c>
      <c r="C11" s="12">
        <v>154</v>
      </c>
      <c r="D11" s="8">
        <v>20.420000000000002</v>
      </c>
      <c r="E11" s="12">
        <v>72</v>
      </c>
      <c r="F11" s="8">
        <v>17.87</v>
      </c>
      <c r="G11" s="12">
        <v>81</v>
      </c>
      <c r="H11" s="8">
        <v>24.92</v>
      </c>
      <c r="I11" s="12">
        <v>1</v>
      </c>
    </row>
    <row r="12" spans="2:9" ht="15" customHeight="1" x14ac:dyDescent="0.2">
      <c r="B12" t="s">
        <v>85</v>
      </c>
      <c r="C12" s="12">
        <v>7</v>
      </c>
      <c r="D12" s="8">
        <v>0.93</v>
      </c>
      <c r="E12" s="12">
        <v>0</v>
      </c>
      <c r="F12" s="8">
        <v>0</v>
      </c>
      <c r="G12" s="12">
        <v>7</v>
      </c>
      <c r="H12" s="8">
        <v>2.15</v>
      </c>
      <c r="I12" s="12">
        <v>0</v>
      </c>
    </row>
    <row r="13" spans="2:9" ht="15" customHeight="1" x14ac:dyDescent="0.2">
      <c r="B13" t="s">
        <v>86</v>
      </c>
      <c r="C13" s="12">
        <v>31</v>
      </c>
      <c r="D13" s="8">
        <v>4.1100000000000003</v>
      </c>
      <c r="E13" s="12">
        <v>13</v>
      </c>
      <c r="F13" s="8">
        <v>3.23</v>
      </c>
      <c r="G13" s="12">
        <v>18</v>
      </c>
      <c r="H13" s="8">
        <v>5.54</v>
      </c>
      <c r="I13" s="12">
        <v>0</v>
      </c>
    </row>
    <row r="14" spans="2:9" ht="15" customHeight="1" x14ac:dyDescent="0.2">
      <c r="B14" t="s">
        <v>87</v>
      </c>
      <c r="C14" s="12">
        <v>30</v>
      </c>
      <c r="D14" s="8">
        <v>3.98</v>
      </c>
      <c r="E14" s="12">
        <v>19</v>
      </c>
      <c r="F14" s="8">
        <v>4.71</v>
      </c>
      <c r="G14" s="12">
        <v>9</v>
      </c>
      <c r="H14" s="8">
        <v>2.77</v>
      </c>
      <c r="I14" s="12">
        <v>0</v>
      </c>
    </row>
    <row r="15" spans="2:9" ht="15" customHeight="1" x14ac:dyDescent="0.2">
      <c r="B15" t="s">
        <v>88</v>
      </c>
      <c r="C15" s="12">
        <v>132</v>
      </c>
      <c r="D15" s="8">
        <v>17.510000000000002</v>
      </c>
      <c r="E15" s="12">
        <v>97</v>
      </c>
      <c r="F15" s="8">
        <v>24.07</v>
      </c>
      <c r="G15" s="12">
        <v>35</v>
      </c>
      <c r="H15" s="8">
        <v>10.77</v>
      </c>
      <c r="I15" s="12">
        <v>0</v>
      </c>
    </row>
    <row r="16" spans="2:9" ht="15" customHeight="1" x14ac:dyDescent="0.2">
      <c r="B16" t="s">
        <v>89</v>
      </c>
      <c r="C16" s="12">
        <v>90</v>
      </c>
      <c r="D16" s="8">
        <v>11.94</v>
      </c>
      <c r="E16" s="12">
        <v>71</v>
      </c>
      <c r="F16" s="8">
        <v>17.62</v>
      </c>
      <c r="G16" s="12">
        <v>19</v>
      </c>
      <c r="H16" s="8">
        <v>5.85</v>
      </c>
      <c r="I16" s="12">
        <v>0</v>
      </c>
    </row>
    <row r="17" spans="2:9" ht="15" customHeight="1" x14ac:dyDescent="0.2">
      <c r="B17" t="s">
        <v>90</v>
      </c>
      <c r="C17" s="12">
        <v>46</v>
      </c>
      <c r="D17" s="8">
        <v>6.1</v>
      </c>
      <c r="E17" s="12">
        <v>29</v>
      </c>
      <c r="F17" s="8">
        <v>7.2</v>
      </c>
      <c r="G17" s="12">
        <v>9</v>
      </c>
      <c r="H17" s="8">
        <v>2.77</v>
      </c>
      <c r="I17" s="12">
        <v>0</v>
      </c>
    </row>
    <row r="18" spans="2:9" ht="15" customHeight="1" x14ac:dyDescent="0.2">
      <c r="B18" t="s">
        <v>91</v>
      </c>
      <c r="C18" s="12">
        <v>42</v>
      </c>
      <c r="D18" s="8">
        <v>5.57</v>
      </c>
      <c r="E18" s="12">
        <v>17</v>
      </c>
      <c r="F18" s="8">
        <v>4.22</v>
      </c>
      <c r="G18" s="12">
        <v>16</v>
      </c>
      <c r="H18" s="8">
        <v>4.92</v>
      </c>
      <c r="I18" s="12">
        <v>0</v>
      </c>
    </row>
    <row r="19" spans="2:9" ht="15" customHeight="1" x14ac:dyDescent="0.2">
      <c r="B19" t="s">
        <v>92</v>
      </c>
      <c r="C19" s="12">
        <v>34</v>
      </c>
      <c r="D19" s="8">
        <v>4.51</v>
      </c>
      <c r="E19" s="12">
        <v>11</v>
      </c>
      <c r="F19" s="8">
        <v>2.73</v>
      </c>
      <c r="G19" s="12">
        <v>19</v>
      </c>
      <c r="H19" s="8">
        <v>5.85</v>
      </c>
      <c r="I19" s="12">
        <v>1</v>
      </c>
    </row>
    <row r="20" spans="2:9" ht="15" customHeight="1" x14ac:dyDescent="0.2">
      <c r="B20" s="9" t="s">
        <v>363</v>
      </c>
      <c r="C20" s="12">
        <f>SUM(LTBL_20212[総数／事業所数])</f>
        <v>754</v>
      </c>
      <c r="E20" s="12">
        <f>SUBTOTAL(109,LTBL_20212[個人／事業所数])</f>
        <v>403</v>
      </c>
      <c r="G20" s="12">
        <f>SUBTOTAL(109,LTBL_20212[法人／事業所数])</f>
        <v>325</v>
      </c>
      <c r="I20" s="12">
        <f>SUBTOTAL(109,LTBL_20212[法人以外の団体／事業所数])</f>
        <v>3</v>
      </c>
    </row>
    <row r="21" spans="2:9" ht="15" customHeight="1" x14ac:dyDescent="0.2">
      <c r="E21" s="11">
        <f>LTBL_20212[[#Totals],[個人／事業所数]]/LTBL_20212[[#Totals],[総数／事業所数]]</f>
        <v>0.53448275862068961</v>
      </c>
      <c r="G21" s="11">
        <f>LTBL_20212[[#Totals],[法人／事業所数]]/LTBL_20212[[#Totals],[総数／事業所数]]</f>
        <v>0.43103448275862066</v>
      </c>
      <c r="I21" s="11">
        <f>LTBL_20212[[#Totals],[法人以外の団体／事業所数]]/LTBL_20212[[#Totals],[総数／事業所数]]</f>
        <v>3.9787798408488064E-3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98</v>
      </c>
      <c r="D24" s="8">
        <v>13</v>
      </c>
      <c r="E24" s="12">
        <v>76</v>
      </c>
      <c r="F24" s="8">
        <v>18.86</v>
      </c>
      <c r="G24" s="12">
        <v>22</v>
      </c>
      <c r="H24" s="8">
        <v>6.77</v>
      </c>
      <c r="I24" s="12">
        <v>0</v>
      </c>
    </row>
    <row r="25" spans="2:9" ht="15" customHeight="1" x14ac:dyDescent="0.2">
      <c r="B25" t="s">
        <v>116</v>
      </c>
      <c r="C25" s="12">
        <v>72</v>
      </c>
      <c r="D25" s="8">
        <v>9.5500000000000007</v>
      </c>
      <c r="E25" s="12">
        <v>64</v>
      </c>
      <c r="F25" s="8">
        <v>15.88</v>
      </c>
      <c r="G25" s="12">
        <v>8</v>
      </c>
      <c r="H25" s="8">
        <v>2.46</v>
      </c>
      <c r="I25" s="12">
        <v>0</v>
      </c>
    </row>
    <row r="26" spans="2:9" ht="15" customHeight="1" x14ac:dyDescent="0.2">
      <c r="B26" t="s">
        <v>101</v>
      </c>
      <c r="C26" s="12">
        <v>64</v>
      </c>
      <c r="D26" s="8">
        <v>8.49</v>
      </c>
      <c r="E26" s="12">
        <v>21</v>
      </c>
      <c r="F26" s="8">
        <v>5.21</v>
      </c>
      <c r="G26" s="12">
        <v>43</v>
      </c>
      <c r="H26" s="8">
        <v>13.23</v>
      </c>
      <c r="I26" s="12">
        <v>0</v>
      </c>
    </row>
    <row r="27" spans="2:9" ht="15" customHeight="1" x14ac:dyDescent="0.2">
      <c r="B27" t="s">
        <v>110</v>
      </c>
      <c r="C27" s="12">
        <v>50</v>
      </c>
      <c r="D27" s="8">
        <v>6.63</v>
      </c>
      <c r="E27" s="12">
        <v>23</v>
      </c>
      <c r="F27" s="8">
        <v>5.71</v>
      </c>
      <c r="G27" s="12">
        <v>27</v>
      </c>
      <c r="H27" s="8">
        <v>8.31</v>
      </c>
      <c r="I27" s="12">
        <v>0</v>
      </c>
    </row>
    <row r="28" spans="2:9" ht="15" customHeight="1" x14ac:dyDescent="0.2">
      <c r="B28" t="s">
        <v>117</v>
      </c>
      <c r="C28" s="12">
        <v>46</v>
      </c>
      <c r="D28" s="8">
        <v>6.1</v>
      </c>
      <c r="E28" s="12">
        <v>29</v>
      </c>
      <c r="F28" s="8">
        <v>7.2</v>
      </c>
      <c r="G28" s="12">
        <v>9</v>
      </c>
      <c r="H28" s="8">
        <v>2.77</v>
      </c>
      <c r="I28" s="12">
        <v>0</v>
      </c>
    </row>
    <row r="29" spans="2:9" ht="15" customHeight="1" x14ac:dyDescent="0.2">
      <c r="B29" t="s">
        <v>102</v>
      </c>
      <c r="C29" s="12">
        <v>44</v>
      </c>
      <c r="D29" s="8">
        <v>5.84</v>
      </c>
      <c r="E29" s="12">
        <v>25</v>
      </c>
      <c r="F29" s="8">
        <v>6.2</v>
      </c>
      <c r="G29" s="12">
        <v>19</v>
      </c>
      <c r="H29" s="8">
        <v>5.85</v>
      </c>
      <c r="I29" s="12">
        <v>0</v>
      </c>
    </row>
    <row r="30" spans="2:9" ht="15" customHeight="1" x14ac:dyDescent="0.2">
      <c r="B30" t="s">
        <v>108</v>
      </c>
      <c r="C30" s="12">
        <v>42</v>
      </c>
      <c r="D30" s="8">
        <v>5.57</v>
      </c>
      <c r="E30" s="12">
        <v>25</v>
      </c>
      <c r="F30" s="8">
        <v>6.2</v>
      </c>
      <c r="G30" s="12">
        <v>16</v>
      </c>
      <c r="H30" s="8">
        <v>4.92</v>
      </c>
      <c r="I30" s="12">
        <v>1</v>
      </c>
    </row>
    <row r="31" spans="2:9" ht="15" customHeight="1" x14ac:dyDescent="0.2">
      <c r="B31" t="s">
        <v>114</v>
      </c>
      <c r="C31" s="12">
        <v>31</v>
      </c>
      <c r="D31" s="8">
        <v>4.1100000000000003</v>
      </c>
      <c r="E31" s="12">
        <v>20</v>
      </c>
      <c r="F31" s="8">
        <v>4.96</v>
      </c>
      <c r="G31" s="12">
        <v>11</v>
      </c>
      <c r="H31" s="8">
        <v>3.38</v>
      </c>
      <c r="I31" s="12">
        <v>0</v>
      </c>
    </row>
    <row r="32" spans="2:9" ht="15" customHeight="1" x14ac:dyDescent="0.2">
      <c r="B32" t="s">
        <v>119</v>
      </c>
      <c r="C32" s="12">
        <v>23</v>
      </c>
      <c r="D32" s="8">
        <v>3.05</v>
      </c>
      <c r="E32" s="12">
        <v>0</v>
      </c>
      <c r="F32" s="8">
        <v>0</v>
      </c>
      <c r="G32" s="12">
        <v>14</v>
      </c>
      <c r="H32" s="8">
        <v>4.3099999999999996</v>
      </c>
      <c r="I32" s="12">
        <v>0</v>
      </c>
    </row>
    <row r="33" spans="2:9" ht="15" customHeight="1" x14ac:dyDescent="0.2">
      <c r="B33" t="s">
        <v>109</v>
      </c>
      <c r="C33" s="12">
        <v>22</v>
      </c>
      <c r="D33" s="8">
        <v>2.92</v>
      </c>
      <c r="E33" s="12">
        <v>11</v>
      </c>
      <c r="F33" s="8">
        <v>2.73</v>
      </c>
      <c r="G33" s="12">
        <v>11</v>
      </c>
      <c r="H33" s="8">
        <v>3.38</v>
      </c>
      <c r="I33" s="12">
        <v>0</v>
      </c>
    </row>
    <row r="34" spans="2:9" ht="15" customHeight="1" x14ac:dyDescent="0.2">
      <c r="B34" t="s">
        <v>111</v>
      </c>
      <c r="C34" s="12">
        <v>20</v>
      </c>
      <c r="D34" s="8">
        <v>2.65</v>
      </c>
      <c r="E34" s="12">
        <v>10</v>
      </c>
      <c r="F34" s="8">
        <v>2.48</v>
      </c>
      <c r="G34" s="12">
        <v>10</v>
      </c>
      <c r="H34" s="8">
        <v>3.08</v>
      </c>
      <c r="I34" s="12">
        <v>0</v>
      </c>
    </row>
    <row r="35" spans="2:9" ht="15" customHeight="1" x14ac:dyDescent="0.2">
      <c r="B35" t="s">
        <v>118</v>
      </c>
      <c r="C35" s="12">
        <v>19</v>
      </c>
      <c r="D35" s="8">
        <v>2.52</v>
      </c>
      <c r="E35" s="12">
        <v>17</v>
      </c>
      <c r="F35" s="8">
        <v>4.22</v>
      </c>
      <c r="G35" s="12">
        <v>2</v>
      </c>
      <c r="H35" s="8">
        <v>0.62</v>
      </c>
      <c r="I35" s="12">
        <v>0</v>
      </c>
    </row>
    <row r="36" spans="2:9" ht="15" customHeight="1" x14ac:dyDescent="0.2">
      <c r="B36" t="s">
        <v>112</v>
      </c>
      <c r="C36" s="12">
        <v>16</v>
      </c>
      <c r="D36" s="8">
        <v>2.12</v>
      </c>
      <c r="E36" s="12">
        <v>14</v>
      </c>
      <c r="F36" s="8">
        <v>3.47</v>
      </c>
      <c r="G36" s="12">
        <v>2</v>
      </c>
      <c r="H36" s="8">
        <v>0.62</v>
      </c>
      <c r="I36" s="12">
        <v>0</v>
      </c>
    </row>
    <row r="37" spans="2:9" ht="15" customHeight="1" x14ac:dyDescent="0.2">
      <c r="B37" t="s">
        <v>107</v>
      </c>
      <c r="C37" s="12">
        <v>15</v>
      </c>
      <c r="D37" s="8">
        <v>1.99</v>
      </c>
      <c r="E37" s="12">
        <v>10</v>
      </c>
      <c r="F37" s="8">
        <v>2.48</v>
      </c>
      <c r="G37" s="12">
        <v>5</v>
      </c>
      <c r="H37" s="8">
        <v>1.54</v>
      </c>
      <c r="I37" s="12">
        <v>0</v>
      </c>
    </row>
    <row r="38" spans="2:9" ht="15" customHeight="1" x14ac:dyDescent="0.2">
      <c r="B38" t="s">
        <v>120</v>
      </c>
      <c r="C38" s="12">
        <v>15</v>
      </c>
      <c r="D38" s="8">
        <v>1.99</v>
      </c>
      <c r="E38" s="12">
        <v>10</v>
      </c>
      <c r="F38" s="8">
        <v>2.48</v>
      </c>
      <c r="G38" s="12">
        <v>5</v>
      </c>
      <c r="H38" s="8">
        <v>1.54</v>
      </c>
      <c r="I38" s="12">
        <v>0</v>
      </c>
    </row>
    <row r="39" spans="2:9" ht="15" customHeight="1" x14ac:dyDescent="0.2">
      <c r="B39" t="s">
        <v>127</v>
      </c>
      <c r="C39" s="12">
        <v>13</v>
      </c>
      <c r="D39" s="8">
        <v>1.72</v>
      </c>
      <c r="E39" s="12">
        <v>6</v>
      </c>
      <c r="F39" s="8">
        <v>1.49</v>
      </c>
      <c r="G39" s="12">
        <v>7</v>
      </c>
      <c r="H39" s="8">
        <v>2.15</v>
      </c>
      <c r="I39" s="12">
        <v>0</v>
      </c>
    </row>
    <row r="40" spans="2:9" ht="15" customHeight="1" x14ac:dyDescent="0.2">
      <c r="B40" t="s">
        <v>113</v>
      </c>
      <c r="C40" s="12">
        <v>13</v>
      </c>
      <c r="D40" s="8">
        <v>1.72</v>
      </c>
      <c r="E40" s="12">
        <v>5</v>
      </c>
      <c r="F40" s="8">
        <v>1.24</v>
      </c>
      <c r="G40" s="12">
        <v>7</v>
      </c>
      <c r="H40" s="8">
        <v>2.15</v>
      </c>
      <c r="I40" s="12">
        <v>0</v>
      </c>
    </row>
    <row r="41" spans="2:9" ht="15" customHeight="1" x14ac:dyDescent="0.2">
      <c r="B41" t="s">
        <v>103</v>
      </c>
      <c r="C41" s="12">
        <v>12</v>
      </c>
      <c r="D41" s="8">
        <v>1.59</v>
      </c>
      <c r="E41" s="12">
        <v>5</v>
      </c>
      <c r="F41" s="8">
        <v>1.24</v>
      </c>
      <c r="G41" s="12">
        <v>7</v>
      </c>
      <c r="H41" s="8">
        <v>2.15</v>
      </c>
      <c r="I41" s="12">
        <v>0</v>
      </c>
    </row>
    <row r="42" spans="2:9" ht="15" customHeight="1" x14ac:dyDescent="0.2">
      <c r="B42" t="s">
        <v>131</v>
      </c>
      <c r="C42" s="12">
        <v>12</v>
      </c>
      <c r="D42" s="8">
        <v>1.59</v>
      </c>
      <c r="E42" s="12">
        <v>5</v>
      </c>
      <c r="F42" s="8">
        <v>1.24</v>
      </c>
      <c r="G42" s="12">
        <v>7</v>
      </c>
      <c r="H42" s="8">
        <v>2.15</v>
      </c>
      <c r="I42" s="12">
        <v>0</v>
      </c>
    </row>
    <row r="43" spans="2:9" ht="15" customHeight="1" x14ac:dyDescent="0.2">
      <c r="B43" t="s">
        <v>130</v>
      </c>
      <c r="C43" s="12">
        <v>10</v>
      </c>
      <c r="D43" s="8">
        <v>1.33</v>
      </c>
      <c r="E43" s="12">
        <v>7</v>
      </c>
      <c r="F43" s="8">
        <v>1.74</v>
      </c>
      <c r="G43" s="12">
        <v>3</v>
      </c>
      <c r="H43" s="8">
        <v>0.92</v>
      </c>
      <c r="I43" s="12">
        <v>0</v>
      </c>
    </row>
    <row r="44" spans="2:9" ht="15" customHeight="1" x14ac:dyDescent="0.2">
      <c r="B44" t="s">
        <v>106</v>
      </c>
      <c r="C44" s="12">
        <v>10</v>
      </c>
      <c r="D44" s="8">
        <v>1.33</v>
      </c>
      <c r="E44" s="12">
        <v>0</v>
      </c>
      <c r="F44" s="8">
        <v>0</v>
      </c>
      <c r="G44" s="12">
        <v>10</v>
      </c>
      <c r="H44" s="8">
        <v>3.08</v>
      </c>
      <c r="I44" s="12">
        <v>0</v>
      </c>
    </row>
    <row r="47" spans="2:9" ht="33" customHeight="1" x14ac:dyDescent="0.2">
      <c r="B47" t="s">
        <v>365</v>
      </c>
      <c r="C47" s="10" t="s">
        <v>94</v>
      </c>
      <c r="D47" s="10" t="s">
        <v>95</v>
      </c>
      <c r="E47" s="10" t="s">
        <v>96</v>
      </c>
      <c r="F47" s="10" t="s">
        <v>97</v>
      </c>
      <c r="G47" s="10" t="s">
        <v>98</v>
      </c>
      <c r="H47" s="10" t="s">
        <v>99</v>
      </c>
      <c r="I47" s="10" t="s">
        <v>100</v>
      </c>
    </row>
    <row r="48" spans="2:9" ht="15" customHeight="1" x14ac:dyDescent="0.2">
      <c r="B48" t="s">
        <v>191</v>
      </c>
      <c r="C48" s="12">
        <v>40</v>
      </c>
      <c r="D48" s="8">
        <v>5.31</v>
      </c>
      <c r="E48" s="12">
        <v>36</v>
      </c>
      <c r="F48" s="8">
        <v>8.93</v>
      </c>
      <c r="G48" s="12">
        <v>4</v>
      </c>
      <c r="H48" s="8">
        <v>1.23</v>
      </c>
      <c r="I48" s="12">
        <v>0</v>
      </c>
    </row>
    <row r="49" spans="2:9" ht="15" customHeight="1" x14ac:dyDescent="0.2">
      <c r="B49" t="s">
        <v>190</v>
      </c>
      <c r="C49" s="12">
        <v>28</v>
      </c>
      <c r="D49" s="8">
        <v>3.71</v>
      </c>
      <c r="E49" s="12">
        <v>26</v>
      </c>
      <c r="F49" s="8">
        <v>6.45</v>
      </c>
      <c r="G49" s="12">
        <v>2</v>
      </c>
      <c r="H49" s="8">
        <v>0.62</v>
      </c>
      <c r="I49" s="12">
        <v>0</v>
      </c>
    </row>
    <row r="50" spans="2:9" ht="15" customHeight="1" x14ac:dyDescent="0.2">
      <c r="B50" t="s">
        <v>174</v>
      </c>
      <c r="C50" s="12">
        <v>27</v>
      </c>
      <c r="D50" s="8">
        <v>3.58</v>
      </c>
      <c r="E50" s="12">
        <v>2</v>
      </c>
      <c r="F50" s="8">
        <v>0.5</v>
      </c>
      <c r="G50" s="12">
        <v>25</v>
      </c>
      <c r="H50" s="8">
        <v>7.69</v>
      </c>
      <c r="I50" s="12">
        <v>0</v>
      </c>
    </row>
    <row r="51" spans="2:9" ht="15" customHeight="1" x14ac:dyDescent="0.2">
      <c r="B51" t="s">
        <v>185</v>
      </c>
      <c r="C51" s="12">
        <v>26</v>
      </c>
      <c r="D51" s="8">
        <v>3.45</v>
      </c>
      <c r="E51" s="12">
        <v>17</v>
      </c>
      <c r="F51" s="8">
        <v>4.22</v>
      </c>
      <c r="G51" s="12">
        <v>9</v>
      </c>
      <c r="H51" s="8">
        <v>2.77</v>
      </c>
      <c r="I51" s="12">
        <v>0</v>
      </c>
    </row>
    <row r="52" spans="2:9" ht="15" customHeight="1" x14ac:dyDescent="0.2">
      <c r="B52" t="s">
        <v>186</v>
      </c>
      <c r="C52" s="12">
        <v>22</v>
      </c>
      <c r="D52" s="8">
        <v>2.92</v>
      </c>
      <c r="E52" s="12">
        <v>15</v>
      </c>
      <c r="F52" s="8">
        <v>3.72</v>
      </c>
      <c r="G52" s="12">
        <v>7</v>
      </c>
      <c r="H52" s="8">
        <v>2.15</v>
      </c>
      <c r="I52" s="12">
        <v>0</v>
      </c>
    </row>
    <row r="53" spans="2:9" ht="15" customHeight="1" x14ac:dyDescent="0.2">
      <c r="B53" t="s">
        <v>188</v>
      </c>
      <c r="C53" s="12">
        <v>22</v>
      </c>
      <c r="D53" s="8">
        <v>2.92</v>
      </c>
      <c r="E53" s="12">
        <v>17</v>
      </c>
      <c r="F53" s="8">
        <v>4.22</v>
      </c>
      <c r="G53" s="12">
        <v>5</v>
      </c>
      <c r="H53" s="8">
        <v>1.54</v>
      </c>
      <c r="I53" s="12">
        <v>0</v>
      </c>
    </row>
    <row r="54" spans="2:9" ht="15" customHeight="1" x14ac:dyDescent="0.2">
      <c r="B54" t="s">
        <v>192</v>
      </c>
      <c r="C54" s="12">
        <v>20</v>
      </c>
      <c r="D54" s="8">
        <v>2.65</v>
      </c>
      <c r="E54" s="12">
        <v>18</v>
      </c>
      <c r="F54" s="8">
        <v>4.47</v>
      </c>
      <c r="G54" s="12">
        <v>2</v>
      </c>
      <c r="H54" s="8">
        <v>0.62</v>
      </c>
      <c r="I54" s="12">
        <v>0</v>
      </c>
    </row>
    <row r="55" spans="2:9" ht="15" customHeight="1" x14ac:dyDescent="0.2">
      <c r="B55" t="s">
        <v>189</v>
      </c>
      <c r="C55" s="12">
        <v>19</v>
      </c>
      <c r="D55" s="8">
        <v>2.52</v>
      </c>
      <c r="E55" s="12">
        <v>19</v>
      </c>
      <c r="F55" s="8">
        <v>4.71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176</v>
      </c>
      <c r="C56" s="12">
        <v>17</v>
      </c>
      <c r="D56" s="8">
        <v>2.25</v>
      </c>
      <c r="E56" s="12">
        <v>11</v>
      </c>
      <c r="F56" s="8">
        <v>2.73</v>
      </c>
      <c r="G56" s="12">
        <v>6</v>
      </c>
      <c r="H56" s="8">
        <v>1.85</v>
      </c>
      <c r="I56" s="12">
        <v>0</v>
      </c>
    </row>
    <row r="57" spans="2:9" ht="15" customHeight="1" x14ac:dyDescent="0.2">
      <c r="B57" t="s">
        <v>180</v>
      </c>
      <c r="C57" s="12">
        <v>16</v>
      </c>
      <c r="D57" s="8">
        <v>2.12</v>
      </c>
      <c r="E57" s="12">
        <v>9</v>
      </c>
      <c r="F57" s="8">
        <v>2.23</v>
      </c>
      <c r="G57" s="12">
        <v>7</v>
      </c>
      <c r="H57" s="8">
        <v>2.15</v>
      </c>
      <c r="I57" s="12">
        <v>0</v>
      </c>
    </row>
    <row r="58" spans="2:9" ht="15" customHeight="1" x14ac:dyDescent="0.2">
      <c r="B58" t="s">
        <v>187</v>
      </c>
      <c r="C58" s="12">
        <v>16</v>
      </c>
      <c r="D58" s="8">
        <v>2.12</v>
      </c>
      <c r="E58" s="12">
        <v>12</v>
      </c>
      <c r="F58" s="8">
        <v>2.98</v>
      </c>
      <c r="G58" s="12">
        <v>4</v>
      </c>
      <c r="H58" s="8">
        <v>1.23</v>
      </c>
      <c r="I58" s="12">
        <v>0</v>
      </c>
    </row>
    <row r="59" spans="2:9" ht="15" customHeight="1" x14ac:dyDescent="0.2">
      <c r="B59" t="s">
        <v>200</v>
      </c>
      <c r="C59" s="12">
        <v>15</v>
      </c>
      <c r="D59" s="8">
        <v>1.99</v>
      </c>
      <c r="E59" s="12">
        <v>10</v>
      </c>
      <c r="F59" s="8">
        <v>2.48</v>
      </c>
      <c r="G59" s="12">
        <v>5</v>
      </c>
      <c r="H59" s="8">
        <v>1.54</v>
      </c>
      <c r="I59" s="12">
        <v>0</v>
      </c>
    </row>
    <row r="60" spans="2:9" ht="15" customHeight="1" x14ac:dyDescent="0.2">
      <c r="B60" t="s">
        <v>210</v>
      </c>
      <c r="C60" s="12">
        <v>14</v>
      </c>
      <c r="D60" s="8">
        <v>1.86</v>
      </c>
      <c r="E60" s="12">
        <v>10</v>
      </c>
      <c r="F60" s="8">
        <v>2.48</v>
      </c>
      <c r="G60" s="12">
        <v>4</v>
      </c>
      <c r="H60" s="8">
        <v>1.23</v>
      </c>
      <c r="I60" s="12">
        <v>0</v>
      </c>
    </row>
    <row r="61" spans="2:9" ht="15" customHeight="1" x14ac:dyDescent="0.2">
      <c r="B61" t="s">
        <v>193</v>
      </c>
      <c r="C61" s="12">
        <v>14</v>
      </c>
      <c r="D61" s="8">
        <v>1.86</v>
      </c>
      <c r="E61" s="12">
        <v>14</v>
      </c>
      <c r="F61" s="8">
        <v>3.47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214</v>
      </c>
      <c r="C62" s="12">
        <v>13</v>
      </c>
      <c r="D62" s="8">
        <v>1.72</v>
      </c>
      <c r="E62" s="12">
        <v>7</v>
      </c>
      <c r="F62" s="8">
        <v>1.74</v>
      </c>
      <c r="G62" s="12">
        <v>6</v>
      </c>
      <c r="H62" s="8">
        <v>1.85</v>
      </c>
      <c r="I62" s="12">
        <v>0</v>
      </c>
    </row>
    <row r="63" spans="2:9" ht="15" customHeight="1" x14ac:dyDescent="0.2">
      <c r="B63" t="s">
        <v>183</v>
      </c>
      <c r="C63" s="12">
        <v>13</v>
      </c>
      <c r="D63" s="8">
        <v>1.72</v>
      </c>
      <c r="E63" s="12">
        <v>7</v>
      </c>
      <c r="F63" s="8">
        <v>1.74</v>
      </c>
      <c r="G63" s="12">
        <v>6</v>
      </c>
      <c r="H63" s="8">
        <v>1.85</v>
      </c>
      <c r="I63" s="12">
        <v>0</v>
      </c>
    </row>
    <row r="64" spans="2:9" ht="15" customHeight="1" x14ac:dyDescent="0.2">
      <c r="B64" t="s">
        <v>175</v>
      </c>
      <c r="C64" s="12">
        <v>12</v>
      </c>
      <c r="D64" s="8">
        <v>1.59</v>
      </c>
      <c r="E64" s="12">
        <v>6</v>
      </c>
      <c r="F64" s="8">
        <v>1.49</v>
      </c>
      <c r="G64" s="12">
        <v>6</v>
      </c>
      <c r="H64" s="8">
        <v>1.85</v>
      </c>
      <c r="I64" s="12">
        <v>0</v>
      </c>
    </row>
    <row r="65" spans="2:9" ht="15" customHeight="1" x14ac:dyDescent="0.2">
      <c r="B65" t="s">
        <v>209</v>
      </c>
      <c r="C65" s="12">
        <v>12</v>
      </c>
      <c r="D65" s="8">
        <v>1.59</v>
      </c>
      <c r="E65" s="12">
        <v>11</v>
      </c>
      <c r="F65" s="8">
        <v>2.73</v>
      </c>
      <c r="G65" s="12">
        <v>1</v>
      </c>
      <c r="H65" s="8">
        <v>0.31</v>
      </c>
      <c r="I65" s="12">
        <v>0</v>
      </c>
    </row>
    <row r="66" spans="2:9" ht="15" customHeight="1" x14ac:dyDescent="0.2">
      <c r="B66" t="s">
        <v>179</v>
      </c>
      <c r="C66" s="12">
        <v>11</v>
      </c>
      <c r="D66" s="8">
        <v>1.46</v>
      </c>
      <c r="E66" s="12">
        <v>7</v>
      </c>
      <c r="F66" s="8">
        <v>1.74</v>
      </c>
      <c r="G66" s="12">
        <v>4</v>
      </c>
      <c r="H66" s="8">
        <v>1.23</v>
      </c>
      <c r="I66" s="12">
        <v>0</v>
      </c>
    </row>
    <row r="67" spans="2:9" ht="15" customHeight="1" x14ac:dyDescent="0.2">
      <c r="B67" t="s">
        <v>216</v>
      </c>
      <c r="C67" s="12">
        <v>11</v>
      </c>
      <c r="D67" s="8">
        <v>1.46</v>
      </c>
      <c r="E67" s="12">
        <v>3</v>
      </c>
      <c r="F67" s="8">
        <v>0.74</v>
      </c>
      <c r="G67" s="12">
        <v>8</v>
      </c>
      <c r="H67" s="8">
        <v>2.46</v>
      </c>
      <c r="I67" s="12">
        <v>0</v>
      </c>
    </row>
    <row r="68" spans="2:9" ht="15" customHeight="1" x14ac:dyDescent="0.2">
      <c r="B68" t="s">
        <v>181</v>
      </c>
      <c r="C68" s="12">
        <v>11</v>
      </c>
      <c r="D68" s="8">
        <v>1.46</v>
      </c>
      <c r="E68" s="12">
        <v>9</v>
      </c>
      <c r="F68" s="8">
        <v>2.23</v>
      </c>
      <c r="G68" s="12">
        <v>2</v>
      </c>
      <c r="H68" s="8">
        <v>0.62</v>
      </c>
      <c r="I68" s="12">
        <v>0</v>
      </c>
    </row>
    <row r="69" spans="2:9" ht="15" customHeight="1" x14ac:dyDescent="0.2">
      <c r="B69" t="s">
        <v>217</v>
      </c>
      <c r="C69" s="12">
        <v>11</v>
      </c>
      <c r="D69" s="8">
        <v>1.46</v>
      </c>
      <c r="E69" s="12">
        <v>0</v>
      </c>
      <c r="F69" s="8">
        <v>0</v>
      </c>
      <c r="G69" s="12">
        <v>2</v>
      </c>
      <c r="H69" s="8">
        <v>0.62</v>
      </c>
      <c r="I69" s="12">
        <v>0</v>
      </c>
    </row>
    <row r="71" spans="2:9" ht="15" customHeight="1" x14ac:dyDescent="0.2">
      <c r="B71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58BDD-58AD-487F-AA03-9D1EB690F6E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379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132</v>
      </c>
      <c r="D6" s="8">
        <v>17.62</v>
      </c>
      <c r="E6" s="12">
        <v>76</v>
      </c>
      <c r="F6" s="8">
        <v>17.23</v>
      </c>
      <c r="G6" s="12">
        <v>56</v>
      </c>
      <c r="H6" s="8">
        <v>19.18</v>
      </c>
      <c r="I6" s="12">
        <v>0</v>
      </c>
    </row>
    <row r="7" spans="2:9" ht="15" customHeight="1" x14ac:dyDescent="0.2">
      <c r="B7" t="s">
        <v>80</v>
      </c>
      <c r="C7" s="12">
        <v>53</v>
      </c>
      <c r="D7" s="8">
        <v>7.08</v>
      </c>
      <c r="E7" s="12">
        <v>22</v>
      </c>
      <c r="F7" s="8">
        <v>4.99</v>
      </c>
      <c r="G7" s="12">
        <v>31</v>
      </c>
      <c r="H7" s="8">
        <v>10.62</v>
      </c>
      <c r="I7" s="12">
        <v>0</v>
      </c>
    </row>
    <row r="8" spans="2:9" ht="15" customHeight="1" x14ac:dyDescent="0.2">
      <c r="B8" t="s">
        <v>81</v>
      </c>
      <c r="C8" s="12">
        <v>2</v>
      </c>
      <c r="D8" s="8">
        <v>0.27</v>
      </c>
      <c r="E8" s="12">
        <v>0</v>
      </c>
      <c r="F8" s="8">
        <v>0</v>
      </c>
      <c r="G8" s="12">
        <v>2</v>
      </c>
      <c r="H8" s="8">
        <v>0.68</v>
      </c>
      <c r="I8" s="12">
        <v>0</v>
      </c>
    </row>
    <row r="9" spans="2:9" ht="15" customHeight="1" x14ac:dyDescent="0.2">
      <c r="B9" t="s">
        <v>82</v>
      </c>
      <c r="C9" s="12">
        <v>5</v>
      </c>
      <c r="D9" s="8">
        <v>0.67</v>
      </c>
      <c r="E9" s="12">
        <v>1</v>
      </c>
      <c r="F9" s="8">
        <v>0.23</v>
      </c>
      <c r="G9" s="12">
        <v>4</v>
      </c>
      <c r="H9" s="8">
        <v>1.37</v>
      </c>
      <c r="I9" s="12">
        <v>0</v>
      </c>
    </row>
    <row r="10" spans="2:9" ht="15" customHeight="1" x14ac:dyDescent="0.2">
      <c r="B10" t="s">
        <v>83</v>
      </c>
      <c r="C10" s="12">
        <v>7</v>
      </c>
      <c r="D10" s="8">
        <v>0.93</v>
      </c>
      <c r="E10" s="12">
        <v>4</v>
      </c>
      <c r="F10" s="8">
        <v>0.91</v>
      </c>
      <c r="G10" s="12">
        <v>2</v>
      </c>
      <c r="H10" s="8">
        <v>0.68</v>
      </c>
      <c r="I10" s="12">
        <v>1</v>
      </c>
    </row>
    <row r="11" spans="2:9" ht="15" customHeight="1" x14ac:dyDescent="0.2">
      <c r="B11" t="s">
        <v>84</v>
      </c>
      <c r="C11" s="12">
        <v>185</v>
      </c>
      <c r="D11" s="8">
        <v>24.7</v>
      </c>
      <c r="E11" s="12">
        <v>93</v>
      </c>
      <c r="F11" s="8">
        <v>21.09</v>
      </c>
      <c r="G11" s="12">
        <v>92</v>
      </c>
      <c r="H11" s="8">
        <v>31.51</v>
      </c>
      <c r="I11" s="12">
        <v>0</v>
      </c>
    </row>
    <row r="12" spans="2:9" ht="15" customHeight="1" x14ac:dyDescent="0.2">
      <c r="B12" t="s">
        <v>85</v>
      </c>
      <c r="C12" s="12">
        <v>2</v>
      </c>
      <c r="D12" s="8">
        <v>0.27</v>
      </c>
      <c r="E12" s="12">
        <v>0</v>
      </c>
      <c r="F12" s="8">
        <v>0</v>
      </c>
      <c r="G12" s="12">
        <v>2</v>
      </c>
      <c r="H12" s="8">
        <v>0.68</v>
      </c>
      <c r="I12" s="12">
        <v>0</v>
      </c>
    </row>
    <row r="13" spans="2:9" ht="15" customHeight="1" x14ac:dyDescent="0.2">
      <c r="B13" t="s">
        <v>86</v>
      </c>
      <c r="C13" s="12">
        <v>29</v>
      </c>
      <c r="D13" s="8">
        <v>3.87</v>
      </c>
      <c r="E13" s="12">
        <v>14</v>
      </c>
      <c r="F13" s="8">
        <v>3.17</v>
      </c>
      <c r="G13" s="12">
        <v>15</v>
      </c>
      <c r="H13" s="8">
        <v>5.14</v>
      </c>
      <c r="I13" s="12">
        <v>0</v>
      </c>
    </row>
    <row r="14" spans="2:9" ht="15" customHeight="1" x14ac:dyDescent="0.2">
      <c r="B14" t="s">
        <v>87</v>
      </c>
      <c r="C14" s="12">
        <v>23</v>
      </c>
      <c r="D14" s="8">
        <v>3.07</v>
      </c>
      <c r="E14" s="12">
        <v>15</v>
      </c>
      <c r="F14" s="8">
        <v>3.4</v>
      </c>
      <c r="G14" s="12">
        <v>8</v>
      </c>
      <c r="H14" s="8">
        <v>2.74</v>
      </c>
      <c r="I14" s="12">
        <v>0</v>
      </c>
    </row>
    <row r="15" spans="2:9" ht="15" customHeight="1" x14ac:dyDescent="0.2">
      <c r="B15" t="s">
        <v>88</v>
      </c>
      <c r="C15" s="12">
        <v>131</v>
      </c>
      <c r="D15" s="8">
        <v>17.489999999999998</v>
      </c>
      <c r="E15" s="12">
        <v>100</v>
      </c>
      <c r="F15" s="8">
        <v>22.68</v>
      </c>
      <c r="G15" s="12">
        <v>31</v>
      </c>
      <c r="H15" s="8">
        <v>10.62</v>
      </c>
      <c r="I15" s="12">
        <v>0</v>
      </c>
    </row>
    <row r="16" spans="2:9" ht="15" customHeight="1" x14ac:dyDescent="0.2">
      <c r="B16" t="s">
        <v>89</v>
      </c>
      <c r="C16" s="12">
        <v>106</v>
      </c>
      <c r="D16" s="8">
        <v>14.15</v>
      </c>
      <c r="E16" s="12">
        <v>89</v>
      </c>
      <c r="F16" s="8">
        <v>20.18</v>
      </c>
      <c r="G16" s="12">
        <v>17</v>
      </c>
      <c r="H16" s="8">
        <v>5.82</v>
      </c>
      <c r="I16" s="12">
        <v>0</v>
      </c>
    </row>
    <row r="17" spans="2:9" ht="15" customHeight="1" x14ac:dyDescent="0.2">
      <c r="B17" t="s">
        <v>90</v>
      </c>
      <c r="C17" s="12">
        <v>18</v>
      </c>
      <c r="D17" s="8">
        <v>2.4</v>
      </c>
      <c r="E17" s="12">
        <v>10</v>
      </c>
      <c r="F17" s="8">
        <v>2.27</v>
      </c>
      <c r="G17" s="12">
        <v>5</v>
      </c>
      <c r="H17" s="8">
        <v>1.71</v>
      </c>
      <c r="I17" s="12">
        <v>0</v>
      </c>
    </row>
    <row r="18" spans="2:9" ht="15" customHeight="1" x14ac:dyDescent="0.2">
      <c r="B18" t="s">
        <v>91</v>
      </c>
      <c r="C18" s="12">
        <v>34</v>
      </c>
      <c r="D18" s="8">
        <v>4.54</v>
      </c>
      <c r="E18" s="12">
        <v>12</v>
      </c>
      <c r="F18" s="8">
        <v>2.72</v>
      </c>
      <c r="G18" s="12">
        <v>19</v>
      </c>
      <c r="H18" s="8">
        <v>6.51</v>
      </c>
      <c r="I18" s="12">
        <v>0</v>
      </c>
    </row>
    <row r="19" spans="2:9" ht="15" customHeight="1" x14ac:dyDescent="0.2">
      <c r="B19" t="s">
        <v>92</v>
      </c>
      <c r="C19" s="12">
        <v>22</v>
      </c>
      <c r="D19" s="8">
        <v>2.94</v>
      </c>
      <c r="E19" s="12">
        <v>5</v>
      </c>
      <c r="F19" s="8">
        <v>1.1299999999999999</v>
      </c>
      <c r="G19" s="12">
        <v>8</v>
      </c>
      <c r="H19" s="8">
        <v>2.74</v>
      </c>
      <c r="I19" s="12">
        <v>0</v>
      </c>
    </row>
    <row r="20" spans="2:9" ht="15" customHeight="1" x14ac:dyDescent="0.2">
      <c r="B20" s="9" t="s">
        <v>363</v>
      </c>
      <c r="C20" s="12">
        <f>SUM(LTBL_20213[総数／事業所数])</f>
        <v>749</v>
      </c>
      <c r="E20" s="12">
        <f>SUBTOTAL(109,LTBL_20213[個人／事業所数])</f>
        <v>441</v>
      </c>
      <c r="G20" s="12">
        <f>SUBTOTAL(109,LTBL_20213[法人／事業所数])</f>
        <v>292</v>
      </c>
      <c r="I20" s="12">
        <f>SUBTOTAL(109,LTBL_20213[法人以外の団体／事業所数])</f>
        <v>1</v>
      </c>
    </row>
    <row r="21" spans="2:9" ht="15" customHeight="1" x14ac:dyDescent="0.2">
      <c r="E21" s="11">
        <f>LTBL_20213[[#Totals],[個人／事業所数]]/LTBL_20213[[#Totals],[総数／事業所数]]</f>
        <v>0.58878504672897192</v>
      </c>
      <c r="G21" s="11">
        <f>LTBL_20213[[#Totals],[法人／事業所数]]/LTBL_20213[[#Totals],[総数／事業所数]]</f>
        <v>0.38985313751668893</v>
      </c>
      <c r="I21" s="11">
        <f>LTBL_20213[[#Totals],[法人以外の団体／事業所数]]/LTBL_20213[[#Totals],[総数／事業所数]]</f>
        <v>1.3351134846461949E-3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116</v>
      </c>
      <c r="C24" s="12">
        <v>95</v>
      </c>
      <c r="D24" s="8">
        <v>12.68</v>
      </c>
      <c r="E24" s="12">
        <v>86</v>
      </c>
      <c r="F24" s="8">
        <v>19.5</v>
      </c>
      <c r="G24" s="12">
        <v>9</v>
      </c>
      <c r="H24" s="8">
        <v>3.08</v>
      </c>
      <c r="I24" s="12">
        <v>0</v>
      </c>
    </row>
    <row r="25" spans="2:9" ht="15" customHeight="1" x14ac:dyDescent="0.2">
      <c r="B25" t="s">
        <v>115</v>
      </c>
      <c r="C25" s="12">
        <v>72</v>
      </c>
      <c r="D25" s="8">
        <v>9.61</v>
      </c>
      <c r="E25" s="12">
        <v>60</v>
      </c>
      <c r="F25" s="8">
        <v>13.61</v>
      </c>
      <c r="G25" s="12">
        <v>12</v>
      </c>
      <c r="H25" s="8">
        <v>4.1100000000000003</v>
      </c>
      <c r="I25" s="12">
        <v>0</v>
      </c>
    </row>
    <row r="26" spans="2:9" ht="15" customHeight="1" x14ac:dyDescent="0.2">
      <c r="B26" t="s">
        <v>110</v>
      </c>
      <c r="C26" s="12">
        <v>58</v>
      </c>
      <c r="D26" s="8">
        <v>7.74</v>
      </c>
      <c r="E26" s="12">
        <v>25</v>
      </c>
      <c r="F26" s="8">
        <v>5.67</v>
      </c>
      <c r="G26" s="12">
        <v>33</v>
      </c>
      <c r="H26" s="8">
        <v>11.3</v>
      </c>
      <c r="I26" s="12">
        <v>0</v>
      </c>
    </row>
    <row r="27" spans="2:9" ht="15" customHeight="1" x14ac:dyDescent="0.2">
      <c r="B27" t="s">
        <v>114</v>
      </c>
      <c r="C27" s="12">
        <v>55</v>
      </c>
      <c r="D27" s="8">
        <v>7.34</v>
      </c>
      <c r="E27" s="12">
        <v>37</v>
      </c>
      <c r="F27" s="8">
        <v>8.39</v>
      </c>
      <c r="G27" s="12">
        <v>18</v>
      </c>
      <c r="H27" s="8">
        <v>6.16</v>
      </c>
      <c r="I27" s="12">
        <v>0</v>
      </c>
    </row>
    <row r="28" spans="2:9" ht="15" customHeight="1" x14ac:dyDescent="0.2">
      <c r="B28" t="s">
        <v>101</v>
      </c>
      <c r="C28" s="12">
        <v>53</v>
      </c>
      <c r="D28" s="8">
        <v>7.08</v>
      </c>
      <c r="E28" s="12">
        <v>25</v>
      </c>
      <c r="F28" s="8">
        <v>5.67</v>
      </c>
      <c r="G28" s="12">
        <v>28</v>
      </c>
      <c r="H28" s="8">
        <v>9.59</v>
      </c>
      <c r="I28" s="12">
        <v>0</v>
      </c>
    </row>
    <row r="29" spans="2:9" ht="15" customHeight="1" x14ac:dyDescent="0.2">
      <c r="B29" t="s">
        <v>102</v>
      </c>
      <c r="C29" s="12">
        <v>50</v>
      </c>
      <c r="D29" s="8">
        <v>6.68</v>
      </c>
      <c r="E29" s="12">
        <v>36</v>
      </c>
      <c r="F29" s="8">
        <v>8.16</v>
      </c>
      <c r="G29" s="12">
        <v>14</v>
      </c>
      <c r="H29" s="8">
        <v>4.79</v>
      </c>
      <c r="I29" s="12">
        <v>0</v>
      </c>
    </row>
    <row r="30" spans="2:9" ht="15" customHeight="1" x14ac:dyDescent="0.2">
      <c r="B30" t="s">
        <v>108</v>
      </c>
      <c r="C30" s="12">
        <v>46</v>
      </c>
      <c r="D30" s="8">
        <v>6.14</v>
      </c>
      <c r="E30" s="12">
        <v>29</v>
      </c>
      <c r="F30" s="8">
        <v>6.58</v>
      </c>
      <c r="G30" s="12">
        <v>17</v>
      </c>
      <c r="H30" s="8">
        <v>5.82</v>
      </c>
      <c r="I30" s="12">
        <v>0</v>
      </c>
    </row>
    <row r="31" spans="2:9" ht="15" customHeight="1" x14ac:dyDescent="0.2">
      <c r="B31" t="s">
        <v>103</v>
      </c>
      <c r="C31" s="12">
        <v>29</v>
      </c>
      <c r="D31" s="8">
        <v>3.87</v>
      </c>
      <c r="E31" s="12">
        <v>15</v>
      </c>
      <c r="F31" s="8">
        <v>3.4</v>
      </c>
      <c r="G31" s="12">
        <v>14</v>
      </c>
      <c r="H31" s="8">
        <v>4.79</v>
      </c>
      <c r="I31" s="12">
        <v>0</v>
      </c>
    </row>
    <row r="32" spans="2:9" ht="15" customHeight="1" x14ac:dyDescent="0.2">
      <c r="B32" t="s">
        <v>109</v>
      </c>
      <c r="C32" s="12">
        <v>28</v>
      </c>
      <c r="D32" s="8">
        <v>3.74</v>
      </c>
      <c r="E32" s="12">
        <v>17</v>
      </c>
      <c r="F32" s="8">
        <v>3.85</v>
      </c>
      <c r="G32" s="12">
        <v>11</v>
      </c>
      <c r="H32" s="8">
        <v>3.77</v>
      </c>
      <c r="I32" s="12">
        <v>0</v>
      </c>
    </row>
    <row r="33" spans="2:9" ht="15" customHeight="1" x14ac:dyDescent="0.2">
      <c r="B33" t="s">
        <v>119</v>
      </c>
      <c r="C33" s="12">
        <v>22</v>
      </c>
      <c r="D33" s="8">
        <v>2.94</v>
      </c>
      <c r="E33" s="12">
        <v>0</v>
      </c>
      <c r="F33" s="8">
        <v>0</v>
      </c>
      <c r="G33" s="12">
        <v>19</v>
      </c>
      <c r="H33" s="8">
        <v>6.51</v>
      </c>
      <c r="I33" s="12">
        <v>0</v>
      </c>
    </row>
    <row r="34" spans="2:9" ht="15" customHeight="1" x14ac:dyDescent="0.2">
      <c r="B34" t="s">
        <v>107</v>
      </c>
      <c r="C34" s="12">
        <v>19</v>
      </c>
      <c r="D34" s="8">
        <v>2.54</v>
      </c>
      <c r="E34" s="12">
        <v>9</v>
      </c>
      <c r="F34" s="8">
        <v>2.04</v>
      </c>
      <c r="G34" s="12">
        <v>10</v>
      </c>
      <c r="H34" s="8">
        <v>3.42</v>
      </c>
      <c r="I34" s="12">
        <v>0</v>
      </c>
    </row>
    <row r="35" spans="2:9" ht="15" customHeight="1" x14ac:dyDescent="0.2">
      <c r="B35" t="s">
        <v>117</v>
      </c>
      <c r="C35" s="12">
        <v>18</v>
      </c>
      <c r="D35" s="8">
        <v>2.4</v>
      </c>
      <c r="E35" s="12">
        <v>10</v>
      </c>
      <c r="F35" s="8">
        <v>2.27</v>
      </c>
      <c r="G35" s="12">
        <v>5</v>
      </c>
      <c r="H35" s="8">
        <v>1.71</v>
      </c>
      <c r="I35" s="12">
        <v>0</v>
      </c>
    </row>
    <row r="36" spans="2:9" ht="15" customHeight="1" x14ac:dyDescent="0.2">
      <c r="B36" t="s">
        <v>111</v>
      </c>
      <c r="C36" s="12">
        <v>16</v>
      </c>
      <c r="D36" s="8">
        <v>2.14</v>
      </c>
      <c r="E36" s="12">
        <v>10</v>
      </c>
      <c r="F36" s="8">
        <v>2.27</v>
      </c>
      <c r="G36" s="12">
        <v>6</v>
      </c>
      <c r="H36" s="8">
        <v>2.0499999999999998</v>
      </c>
      <c r="I36" s="12">
        <v>0</v>
      </c>
    </row>
    <row r="37" spans="2:9" ht="15" customHeight="1" x14ac:dyDescent="0.2">
      <c r="B37" t="s">
        <v>112</v>
      </c>
      <c r="C37" s="12">
        <v>12</v>
      </c>
      <c r="D37" s="8">
        <v>1.6</v>
      </c>
      <c r="E37" s="12">
        <v>10</v>
      </c>
      <c r="F37" s="8">
        <v>2.27</v>
      </c>
      <c r="G37" s="12">
        <v>2</v>
      </c>
      <c r="H37" s="8">
        <v>0.68</v>
      </c>
      <c r="I37" s="12">
        <v>0</v>
      </c>
    </row>
    <row r="38" spans="2:9" ht="15" customHeight="1" x14ac:dyDescent="0.2">
      <c r="B38" t="s">
        <v>118</v>
      </c>
      <c r="C38" s="12">
        <v>12</v>
      </c>
      <c r="D38" s="8">
        <v>1.6</v>
      </c>
      <c r="E38" s="12">
        <v>12</v>
      </c>
      <c r="F38" s="8">
        <v>2.72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122</v>
      </c>
      <c r="C39" s="12">
        <v>10</v>
      </c>
      <c r="D39" s="8">
        <v>1.34</v>
      </c>
      <c r="E39" s="12">
        <v>2</v>
      </c>
      <c r="F39" s="8">
        <v>0.45</v>
      </c>
      <c r="G39" s="12">
        <v>8</v>
      </c>
      <c r="H39" s="8">
        <v>2.74</v>
      </c>
      <c r="I39" s="12">
        <v>0</v>
      </c>
    </row>
    <row r="40" spans="2:9" ht="15" customHeight="1" x14ac:dyDescent="0.2">
      <c r="B40" t="s">
        <v>127</v>
      </c>
      <c r="C40" s="12">
        <v>9</v>
      </c>
      <c r="D40" s="8">
        <v>1.2</v>
      </c>
      <c r="E40" s="12">
        <v>5</v>
      </c>
      <c r="F40" s="8">
        <v>1.1299999999999999</v>
      </c>
      <c r="G40" s="12">
        <v>4</v>
      </c>
      <c r="H40" s="8">
        <v>1.37</v>
      </c>
      <c r="I40" s="12">
        <v>0</v>
      </c>
    </row>
    <row r="41" spans="2:9" ht="15" customHeight="1" x14ac:dyDescent="0.2">
      <c r="B41" t="s">
        <v>130</v>
      </c>
      <c r="C41" s="12">
        <v>9</v>
      </c>
      <c r="D41" s="8">
        <v>1.2</v>
      </c>
      <c r="E41" s="12">
        <v>3</v>
      </c>
      <c r="F41" s="8">
        <v>0.68</v>
      </c>
      <c r="G41" s="12">
        <v>6</v>
      </c>
      <c r="H41" s="8">
        <v>2.0499999999999998</v>
      </c>
      <c r="I41" s="12">
        <v>0</v>
      </c>
    </row>
    <row r="42" spans="2:9" ht="15" customHeight="1" x14ac:dyDescent="0.2">
      <c r="B42" t="s">
        <v>135</v>
      </c>
      <c r="C42" s="12">
        <v>9</v>
      </c>
      <c r="D42" s="8">
        <v>1.2</v>
      </c>
      <c r="E42" s="12">
        <v>4</v>
      </c>
      <c r="F42" s="8">
        <v>0.91</v>
      </c>
      <c r="G42" s="12">
        <v>5</v>
      </c>
      <c r="H42" s="8">
        <v>1.71</v>
      </c>
      <c r="I42" s="12">
        <v>0</v>
      </c>
    </row>
    <row r="43" spans="2:9" ht="15" customHeight="1" x14ac:dyDescent="0.2">
      <c r="B43" t="s">
        <v>113</v>
      </c>
      <c r="C43" s="12">
        <v>9</v>
      </c>
      <c r="D43" s="8">
        <v>1.2</v>
      </c>
      <c r="E43" s="12">
        <v>4</v>
      </c>
      <c r="F43" s="8">
        <v>0.91</v>
      </c>
      <c r="G43" s="12">
        <v>5</v>
      </c>
      <c r="H43" s="8">
        <v>1.71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185</v>
      </c>
      <c r="C47" s="12">
        <v>51</v>
      </c>
      <c r="D47" s="8">
        <v>6.81</v>
      </c>
      <c r="E47" s="12">
        <v>35</v>
      </c>
      <c r="F47" s="8">
        <v>7.94</v>
      </c>
      <c r="G47" s="12">
        <v>16</v>
      </c>
      <c r="H47" s="8">
        <v>5.48</v>
      </c>
      <c r="I47" s="12">
        <v>0</v>
      </c>
    </row>
    <row r="48" spans="2:9" ht="15" customHeight="1" x14ac:dyDescent="0.2">
      <c r="B48" t="s">
        <v>191</v>
      </c>
      <c r="C48" s="12">
        <v>51</v>
      </c>
      <c r="D48" s="8">
        <v>6.81</v>
      </c>
      <c r="E48" s="12">
        <v>50</v>
      </c>
      <c r="F48" s="8">
        <v>11.34</v>
      </c>
      <c r="G48" s="12">
        <v>1</v>
      </c>
      <c r="H48" s="8">
        <v>0.34</v>
      </c>
      <c r="I48" s="12">
        <v>0</v>
      </c>
    </row>
    <row r="49" spans="2:9" ht="15" customHeight="1" x14ac:dyDescent="0.2">
      <c r="B49" t="s">
        <v>190</v>
      </c>
      <c r="C49" s="12">
        <v>30</v>
      </c>
      <c r="D49" s="8">
        <v>4.01</v>
      </c>
      <c r="E49" s="12">
        <v>29</v>
      </c>
      <c r="F49" s="8">
        <v>6.58</v>
      </c>
      <c r="G49" s="12">
        <v>1</v>
      </c>
      <c r="H49" s="8">
        <v>0.34</v>
      </c>
      <c r="I49" s="12">
        <v>0</v>
      </c>
    </row>
    <row r="50" spans="2:9" ht="15" customHeight="1" x14ac:dyDescent="0.2">
      <c r="B50" t="s">
        <v>175</v>
      </c>
      <c r="C50" s="12">
        <v>20</v>
      </c>
      <c r="D50" s="8">
        <v>2.67</v>
      </c>
      <c r="E50" s="12">
        <v>8</v>
      </c>
      <c r="F50" s="8">
        <v>1.81</v>
      </c>
      <c r="G50" s="12">
        <v>12</v>
      </c>
      <c r="H50" s="8">
        <v>4.1100000000000003</v>
      </c>
      <c r="I50" s="12">
        <v>0</v>
      </c>
    </row>
    <row r="51" spans="2:9" ht="15" customHeight="1" x14ac:dyDescent="0.2">
      <c r="B51" t="s">
        <v>188</v>
      </c>
      <c r="C51" s="12">
        <v>20</v>
      </c>
      <c r="D51" s="8">
        <v>2.67</v>
      </c>
      <c r="E51" s="12">
        <v>17</v>
      </c>
      <c r="F51" s="8">
        <v>3.85</v>
      </c>
      <c r="G51" s="12">
        <v>3</v>
      </c>
      <c r="H51" s="8">
        <v>1.03</v>
      </c>
      <c r="I51" s="12">
        <v>0</v>
      </c>
    </row>
    <row r="52" spans="2:9" ht="15" customHeight="1" x14ac:dyDescent="0.2">
      <c r="B52" t="s">
        <v>180</v>
      </c>
      <c r="C52" s="12">
        <v>19</v>
      </c>
      <c r="D52" s="8">
        <v>2.54</v>
      </c>
      <c r="E52" s="12">
        <v>11</v>
      </c>
      <c r="F52" s="8">
        <v>2.4900000000000002</v>
      </c>
      <c r="G52" s="12">
        <v>8</v>
      </c>
      <c r="H52" s="8">
        <v>2.74</v>
      </c>
      <c r="I52" s="12">
        <v>0</v>
      </c>
    </row>
    <row r="53" spans="2:9" ht="15" customHeight="1" x14ac:dyDescent="0.2">
      <c r="B53" t="s">
        <v>187</v>
      </c>
      <c r="C53" s="12">
        <v>17</v>
      </c>
      <c r="D53" s="8">
        <v>2.27</v>
      </c>
      <c r="E53" s="12">
        <v>14</v>
      </c>
      <c r="F53" s="8">
        <v>3.17</v>
      </c>
      <c r="G53" s="12">
        <v>3</v>
      </c>
      <c r="H53" s="8">
        <v>1.03</v>
      </c>
      <c r="I53" s="12">
        <v>0</v>
      </c>
    </row>
    <row r="54" spans="2:9" ht="15" customHeight="1" x14ac:dyDescent="0.2">
      <c r="B54" t="s">
        <v>176</v>
      </c>
      <c r="C54" s="12">
        <v>16</v>
      </c>
      <c r="D54" s="8">
        <v>2.14</v>
      </c>
      <c r="E54" s="12">
        <v>12</v>
      </c>
      <c r="F54" s="8">
        <v>2.72</v>
      </c>
      <c r="G54" s="12">
        <v>4</v>
      </c>
      <c r="H54" s="8">
        <v>1.37</v>
      </c>
      <c r="I54" s="12">
        <v>0</v>
      </c>
    </row>
    <row r="55" spans="2:9" ht="15" customHeight="1" x14ac:dyDescent="0.2">
      <c r="B55" t="s">
        <v>214</v>
      </c>
      <c r="C55" s="12">
        <v>15</v>
      </c>
      <c r="D55" s="8">
        <v>2</v>
      </c>
      <c r="E55" s="12">
        <v>7</v>
      </c>
      <c r="F55" s="8">
        <v>1.59</v>
      </c>
      <c r="G55" s="12">
        <v>8</v>
      </c>
      <c r="H55" s="8">
        <v>2.74</v>
      </c>
      <c r="I55" s="12">
        <v>0</v>
      </c>
    </row>
    <row r="56" spans="2:9" ht="15" customHeight="1" x14ac:dyDescent="0.2">
      <c r="B56" t="s">
        <v>219</v>
      </c>
      <c r="C56" s="12">
        <v>15</v>
      </c>
      <c r="D56" s="8">
        <v>2</v>
      </c>
      <c r="E56" s="12">
        <v>8</v>
      </c>
      <c r="F56" s="8">
        <v>1.81</v>
      </c>
      <c r="G56" s="12">
        <v>7</v>
      </c>
      <c r="H56" s="8">
        <v>2.4</v>
      </c>
      <c r="I56" s="12">
        <v>0</v>
      </c>
    </row>
    <row r="57" spans="2:9" ht="15" customHeight="1" x14ac:dyDescent="0.2">
      <c r="B57" t="s">
        <v>178</v>
      </c>
      <c r="C57" s="12">
        <v>14</v>
      </c>
      <c r="D57" s="8">
        <v>1.87</v>
      </c>
      <c r="E57" s="12">
        <v>7</v>
      </c>
      <c r="F57" s="8">
        <v>1.59</v>
      </c>
      <c r="G57" s="12">
        <v>7</v>
      </c>
      <c r="H57" s="8">
        <v>2.4</v>
      </c>
      <c r="I57" s="12">
        <v>0</v>
      </c>
    </row>
    <row r="58" spans="2:9" ht="15" customHeight="1" x14ac:dyDescent="0.2">
      <c r="B58" t="s">
        <v>197</v>
      </c>
      <c r="C58" s="12">
        <v>13</v>
      </c>
      <c r="D58" s="8">
        <v>1.74</v>
      </c>
      <c r="E58" s="12">
        <v>10</v>
      </c>
      <c r="F58" s="8">
        <v>2.27</v>
      </c>
      <c r="G58" s="12">
        <v>3</v>
      </c>
      <c r="H58" s="8">
        <v>1.03</v>
      </c>
      <c r="I58" s="12">
        <v>0</v>
      </c>
    </row>
    <row r="59" spans="2:9" ht="15" customHeight="1" x14ac:dyDescent="0.2">
      <c r="B59" t="s">
        <v>217</v>
      </c>
      <c r="C59" s="12">
        <v>12</v>
      </c>
      <c r="D59" s="8">
        <v>1.6</v>
      </c>
      <c r="E59" s="12">
        <v>0</v>
      </c>
      <c r="F59" s="8">
        <v>0</v>
      </c>
      <c r="G59" s="12">
        <v>10</v>
      </c>
      <c r="H59" s="8">
        <v>3.42</v>
      </c>
      <c r="I59" s="12">
        <v>0</v>
      </c>
    </row>
    <row r="60" spans="2:9" ht="15" customHeight="1" x14ac:dyDescent="0.2">
      <c r="B60" t="s">
        <v>177</v>
      </c>
      <c r="C60" s="12">
        <v>11</v>
      </c>
      <c r="D60" s="8">
        <v>1.47</v>
      </c>
      <c r="E60" s="12">
        <v>5</v>
      </c>
      <c r="F60" s="8">
        <v>1.1299999999999999</v>
      </c>
      <c r="G60" s="12">
        <v>6</v>
      </c>
      <c r="H60" s="8">
        <v>2.0499999999999998</v>
      </c>
      <c r="I60" s="12">
        <v>0</v>
      </c>
    </row>
    <row r="61" spans="2:9" ht="15" customHeight="1" x14ac:dyDescent="0.2">
      <c r="B61" t="s">
        <v>186</v>
      </c>
      <c r="C61" s="12">
        <v>11</v>
      </c>
      <c r="D61" s="8">
        <v>1.47</v>
      </c>
      <c r="E61" s="12">
        <v>8</v>
      </c>
      <c r="F61" s="8">
        <v>1.81</v>
      </c>
      <c r="G61" s="12">
        <v>3</v>
      </c>
      <c r="H61" s="8">
        <v>1.03</v>
      </c>
      <c r="I61" s="12">
        <v>0</v>
      </c>
    </row>
    <row r="62" spans="2:9" ht="15" customHeight="1" x14ac:dyDescent="0.2">
      <c r="B62" t="s">
        <v>174</v>
      </c>
      <c r="C62" s="12">
        <v>10</v>
      </c>
      <c r="D62" s="8">
        <v>1.34</v>
      </c>
      <c r="E62" s="12">
        <v>3</v>
      </c>
      <c r="F62" s="8">
        <v>0.68</v>
      </c>
      <c r="G62" s="12">
        <v>7</v>
      </c>
      <c r="H62" s="8">
        <v>2.4</v>
      </c>
      <c r="I62" s="12">
        <v>0</v>
      </c>
    </row>
    <row r="63" spans="2:9" ht="15" customHeight="1" x14ac:dyDescent="0.2">
      <c r="B63" t="s">
        <v>218</v>
      </c>
      <c r="C63" s="12">
        <v>10</v>
      </c>
      <c r="D63" s="8">
        <v>1.34</v>
      </c>
      <c r="E63" s="12">
        <v>6</v>
      </c>
      <c r="F63" s="8">
        <v>1.36</v>
      </c>
      <c r="G63" s="12">
        <v>4</v>
      </c>
      <c r="H63" s="8">
        <v>1.37</v>
      </c>
      <c r="I63" s="12">
        <v>0</v>
      </c>
    </row>
    <row r="64" spans="2:9" ht="15" customHeight="1" x14ac:dyDescent="0.2">
      <c r="B64" t="s">
        <v>181</v>
      </c>
      <c r="C64" s="12">
        <v>10</v>
      </c>
      <c r="D64" s="8">
        <v>1.34</v>
      </c>
      <c r="E64" s="12">
        <v>6</v>
      </c>
      <c r="F64" s="8">
        <v>1.36</v>
      </c>
      <c r="G64" s="12">
        <v>4</v>
      </c>
      <c r="H64" s="8">
        <v>1.37</v>
      </c>
      <c r="I64" s="12">
        <v>0</v>
      </c>
    </row>
    <row r="65" spans="2:9" ht="15" customHeight="1" x14ac:dyDescent="0.2">
      <c r="B65" t="s">
        <v>183</v>
      </c>
      <c r="C65" s="12">
        <v>10</v>
      </c>
      <c r="D65" s="8">
        <v>1.34</v>
      </c>
      <c r="E65" s="12">
        <v>7</v>
      </c>
      <c r="F65" s="8">
        <v>1.59</v>
      </c>
      <c r="G65" s="12">
        <v>3</v>
      </c>
      <c r="H65" s="8">
        <v>1.03</v>
      </c>
      <c r="I65" s="12">
        <v>0</v>
      </c>
    </row>
    <row r="66" spans="2:9" ht="15" customHeight="1" x14ac:dyDescent="0.2">
      <c r="B66" t="s">
        <v>193</v>
      </c>
      <c r="C66" s="12">
        <v>10</v>
      </c>
      <c r="D66" s="8">
        <v>1.34</v>
      </c>
      <c r="E66" s="12">
        <v>10</v>
      </c>
      <c r="F66" s="8">
        <v>2.27</v>
      </c>
      <c r="G66" s="12">
        <v>0</v>
      </c>
      <c r="H66" s="8">
        <v>0</v>
      </c>
      <c r="I66" s="12">
        <v>0</v>
      </c>
    </row>
    <row r="68" spans="2:9" ht="15" customHeight="1" x14ac:dyDescent="0.2">
      <c r="B68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D86DF-DDE9-41B3-A0F3-2F54C2DF4F8F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380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242</v>
      </c>
      <c r="D6" s="8">
        <v>14.63</v>
      </c>
      <c r="E6" s="12">
        <v>71</v>
      </c>
      <c r="F6" s="8">
        <v>10.16</v>
      </c>
      <c r="G6" s="12">
        <v>171</v>
      </c>
      <c r="H6" s="8">
        <v>18.63</v>
      </c>
      <c r="I6" s="12">
        <v>0</v>
      </c>
    </row>
    <row r="7" spans="2:9" ht="15" customHeight="1" x14ac:dyDescent="0.2">
      <c r="B7" t="s">
        <v>80</v>
      </c>
      <c r="C7" s="12">
        <v>218</v>
      </c>
      <c r="D7" s="8">
        <v>13.18</v>
      </c>
      <c r="E7" s="12">
        <v>51</v>
      </c>
      <c r="F7" s="8">
        <v>7.3</v>
      </c>
      <c r="G7" s="12">
        <v>167</v>
      </c>
      <c r="H7" s="8">
        <v>18.190000000000001</v>
      </c>
      <c r="I7" s="12">
        <v>0</v>
      </c>
    </row>
    <row r="8" spans="2:9" ht="15" customHeight="1" x14ac:dyDescent="0.2">
      <c r="B8" t="s">
        <v>81</v>
      </c>
      <c r="C8" s="12">
        <v>9</v>
      </c>
      <c r="D8" s="8">
        <v>0.54</v>
      </c>
      <c r="E8" s="12">
        <v>0</v>
      </c>
      <c r="F8" s="8">
        <v>0</v>
      </c>
      <c r="G8" s="12">
        <v>9</v>
      </c>
      <c r="H8" s="8">
        <v>0.98</v>
      </c>
      <c r="I8" s="12">
        <v>0</v>
      </c>
    </row>
    <row r="9" spans="2:9" ht="15" customHeight="1" x14ac:dyDescent="0.2">
      <c r="B9" t="s">
        <v>82</v>
      </c>
      <c r="C9" s="12">
        <v>18</v>
      </c>
      <c r="D9" s="8">
        <v>1.0900000000000001</v>
      </c>
      <c r="E9" s="12">
        <v>2</v>
      </c>
      <c r="F9" s="8">
        <v>0.28999999999999998</v>
      </c>
      <c r="G9" s="12">
        <v>16</v>
      </c>
      <c r="H9" s="8">
        <v>1.74</v>
      </c>
      <c r="I9" s="12">
        <v>0</v>
      </c>
    </row>
    <row r="10" spans="2:9" ht="15" customHeight="1" x14ac:dyDescent="0.2">
      <c r="B10" t="s">
        <v>83</v>
      </c>
      <c r="C10" s="12">
        <v>5</v>
      </c>
      <c r="D10" s="8">
        <v>0.3</v>
      </c>
      <c r="E10" s="12">
        <v>1</v>
      </c>
      <c r="F10" s="8">
        <v>0.14000000000000001</v>
      </c>
      <c r="G10" s="12">
        <v>4</v>
      </c>
      <c r="H10" s="8">
        <v>0.44</v>
      </c>
      <c r="I10" s="12">
        <v>0</v>
      </c>
    </row>
    <row r="11" spans="2:9" ht="15" customHeight="1" x14ac:dyDescent="0.2">
      <c r="B11" t="s">
        <v>84</v>
      </c>
      <c r="C11" s="12">
        <v>296</v>
      </c>
      <c r="D11" s="8">
        <v>17.899999999999999</v>
      </c>
      <c r="E11" s="12">
        <v>112</v>
      </c>
      <c r="F11" s="8">
        <v>16.02</v>
      </c>
      <c r="G11" s="12">
        <v>184</v>
      </c>
      <c r="H11" s="8">
        <v>20.04</v>
      </c>
      <c r="I11" s="12">
        <v>0</v>
      </c>
    </row>
    <row r="12" spans="2:9" ht="15" customHeight="1" x14ac:dyDescent="0.2">
      <c r="B12" t="s">
        <v>85</v>
      </c>
      <c r="C12" s="12">
        <v>9</v>
      </c>
      <c r="D12" s="8">
        <v>0.54</v>
      </c>
      <c r="E12" s="12">
        <v>0</v>
      </c>
      <c r="F12" s="8">
        <v>0</v>
      </c>
      <c r="G12" s="12">
        <v>9</v>
      </c>
      <c r="H12" s="8">
        <v>0.98</v>
      </c>
      <c r="I12" s="12">
        <v>0</v>
      </c>
    </row>
    <row r="13" spans="2:9" ht="15" customHeight="1" x14ac:dyDescent="0.2">
      <c r="B13" t="s">
        <v>86</v>
      </c>
      <c r="C13" s="12">
        <v>95</v>
      </c>
      <c r="D13" s="8">
        <v>5.74</v>
      </c>
      <c r="E13" s="12">
        <v>14</v>
      </c>
      <c r="F13" s="8">
        <v>2</v>
      </c>
      <c r="G13" s="12">
        <v>79</v>
      </c>
      <c r="H13" s="8">
        <v>8.61</v>
      </c>
      <c r="I13" s="12">
        <v>1</v>
      </c>
    </row>
    <row r="14" spans="2:9" ht="15" customHeight="1" x14ac:dyDescent="0.2">
      <c r="B14" t="s">
        <v>87</v>
      </c>
      <c r="C14" s="12">
        <v>90</v>
      </c>
      <c r="D14" s="8">
        <v>5.44</v>
      </c>
      <c r="E14" s="12">
        <v>46</v>
      </c>
      <c r="F14" s="8">
        <v>6.58</v>
      </c>
      <c r="G14" s="12">
        <v>44</v>
      </c>
      <c r="H14" s="8">
        <v>4.79</v>
      </c>
      <c r="I14" s="12">
        <v>0</v>
      </c>
    </row>
    <row r="15" spans="2:9" ht="15" customHeight="1" x14ac:dyDescent="0.2">
      <c r="B15" t="s">
        <v>88</v>
      </c>
      <c r="C15" s="12">
        <v>311</v>
      </c>
      <c r="D15" s="8">
        <v>18.8</v>
      </c>
      <c r="E15" s="12">
        <v>193</v>
      </c>
      <c r="F15" s="8">
        <v>27.61</v>
      </c>
      <c r="G15" s="12">
        <v>118</v>
      </c>
      <c r="H15" s="8">
        <v>12.85</v>
      </c>
      <c r="I15" s="12">
        <v>0</v>
      </c>
    </row>
    <row r="16" spans="2:9" ht="15" customHeight="1" x14ac:dyDescent="0.2">
      <c r="B16" t="s">
        <v>89</v>
      </c>
      <c r="C16" s="12">
        <v>160</v>
      </c>
      <c r="D16" s="8">
        <v>9.67</v>
      </c>
      <c r="E16" s="12">
        <v>114</v>
      </c>
      <c r="F16" s="8">
        <v>16.309999999999999</v>
      </c>
      <c r="G16" s="12">
        <v>46</v>
      </c>
      <c r="H16" s="8">
        <v>5.01</v>
      </c>
      <c r="I16" s="12">
        <v>0</v>
      </c>
    </row>
    <row r="17" spans="2:9" ht="15" customHeight="1" x14ac:dyDescent="0.2">
      <c r="B17" t="s">
        <v>90</v>
      </c>
      <c r="C17" s="12">
        <v>52</v>
      </c>
      <c r="D17" s="8">
        <v>3.14</v>
      </c>
      <c r="E17" s="12">
        <v>27</v>
      </c>
      <c r="F17" s="8">
        <v>3.86</v>
      </c>
      <c r="G17" s="12">
        <v>21</v>
      </c>
      <c r="H17" s="8">
        <v>2.29</v>
      </c>
      <c r="I17" s="12">
        <v>0</v>
      </c>
    </row>
    <row r="18" spans="2:9" ht="15" customHeight="1" x14ac:dyDescent="0.2">
      <c r="B18" t="s">
        <v>91</v>
      </c>
      <c r="C18" s="12">
        <v>91</v>
      </c>
      <c r="D18" s="8">
        <v>5.5</v>
      </c>
      <c r="E18" s="12">
        <v>47</v>
      </c>
      <c r="F18" s="8">
        <v>6.72</v>
      </c>
      <c r="G18" s="12">
        <v>14</v>
      </c>
      <c r="H18" s="8">
        <v>1.53</v>
      </c>
      <c r="I18" s="12">
        <v>0</v>
      </c>
    </row>
    <row r="19" spans="2:9" ht="15" customHeight="1" x14ac:dyDescent="0.2">
      <c r="B19" t="s">
        <v>92</v>
      </c>
      <c r="C19" s="12">
        <v>58</v>
      </c>
      <c r="D19" s="8">
        <v>3.51</v>
      </c>
      <c r="E19" s="12">
        <v>21</v>
      </c>
      <c r="F19" s="8">
        <v>3</v>
      </c>
      <c r="G19" s="12">
        <v>36</v>
      </c>
      <c r="H19" s="8">
        <v>3.92</v>
      </c>
      <c r="I19" s="12">
        <v>0</v>
      </c>
    </row>
    <row r="20" spans="2:9" ht="15" customHeight="1" x14ac:dyDescent="0.2">
      <c r="B20" s="9" t="s">
        <v>363</v>
      </c>
      <c r="C20" s="12">
        <f>SUM(LTBL_20214[総数／事業所数])</f>
        <v>1654</v>
      </c>
      <c r="E20" s="12">
        <f>SUBTOTAL(109,LTBL_20214[個人／事業所数])</f>
        <v>699</v>
      </c>
      <c r="G20" s="12">
        <f>SUBTOTAL(109,LTBL_20214[法人／事業所数])</f>
        <v>918</v>
      </c>
      <c r="I20" s="12">
        <f>SUBTOTAL(109,LTBL_20214[法人以外の団体／事業所数])</f>
        <v>1</v>
      </c>
    </row>
    <row r="21" spans="2:9" ht="15" customHeight="1" x14ac:dyDescent="0.2">
      <c r="E21" s="11">
        <f>LTBL_20214[[#Totals],[個人／事業所数]]/LTBL_20214[[#Totals],[総数／事業所数]]</f>
        <v>0.42261185006045948</v>
      </c>
      <c r="G21" s="11">
        <f>LTBL_20214[[#Totals],[法人／事業所数]]/LTBL_20214[[#Totals],[総数／事業所数]]</f>
        <v>0.55501813784764209</v>
      </c>
      <c r="I21" s="11">
        <f>LTBL_20214[[#Totals],[法人以外の団体／事業所数]]/LTBL_20214[[#Totals],[総数／事業所数]]</f>
        <v>6.0459492140266019E-4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150</v>
      </c>
      <c r="D24" s="8">
        <v>9.07</v>
      </c>
      <c r="E24" s="12">
        <v>109</v>
      </c>
      <c r="F24" s="8">
        <v>15.59</v>
      </c>
      <c r="G24" s="12">
        <v>41</v>
      </c>
      <c r="H24" s="8">
        <v>4.47</v>
      </c>
      <c r="I24" s="12">
        <v>0</v>
      </c>
    </row>
    <row r="25" spans="2:9" ht="15" customHeight="1" x14ac:dyDescent="0.2">
      <c r="B25" t="s">
        <v>116</v>
      </c>
      <c r="C25" s="12">
        <v>137</v>
      </c>
      <c r="D25" s="8">
        <v>8.2799999999999994</v>
      </c>
      <c r="E25" s="12">
        <v>108</v>
      </c>
      <c r="F25" s="8">
        <v>15.45</v>
      </c>
      <c r="G25" s="12">
        <v>29</v>
      </c>
      <c r="H25" s="8">
        <v>3.16</v>
      </c>
      <c r="I25" s="12">
        <v>0</v>
      </c>
    </row>
    <row r="26" spans="2:9" ht="15" customHeight="1" x14ac:dyDescent="0.2">
      <c r="B26" t="s">
        <v>101</v>
      </c>
      <c r="C26" s="12">
        <v>128</v>
      </c>
      <c r="D26" s="8">
        <v>7.74</v>
      </c>
      <c r="E26" s="12">
        <v>31</v>
      </c>
      <c r="F26" s="8">
        <v>4.43</v>
      </c>
      <c r="G26" s="12">
        <v>97</v>
      </c>
      <c r="H26" s="8">
        <v>10.57</v>
      </c>
      <c r="I26" s="12">
        <v>0</v>
      </c>
    </row>
    <row r="27" spans="2:9" ht="15" customHeight="1" x14ac:dyDescent="0.2">
      <c r="B27" t="s">
        <v>114</v>
      </c>
      <c r="C27" s="12">
        <v>128</v>
      </c>
      <c r="D27" s="8">
        <v>7.74</v>
      </c>
      <c r="E27" s="12">
        <v>82</v>
      </c>
      <c r="F27" s="8">
        <v>11.73</v>
      </c>
      <c r="G27" s="12">
        <v>46</v>
      </c>
      <c r="H27" s="8">
        <v>5.01</v>
      </c>
      <c r="I27" s="12">
        <v>0</v>
      </c>
    </row>
    <row r="28" spans="2:9" ht="15" customHeight="1" x14ac:dyDescent="0.2">
      <c r="B28" t="s">
        <v>110</v>
      </c>
      <c r="C28" s="12">
        <v>81</v>
      </c>
      <c r="D28" s="8">
        <v>4.9000000000000004</v>
      </c>
      <c r="E28" s="12">
        <v>30</v>
      </c>
      <c r="F28" s="8">
        <v>4.29</v>
      </c>
      <c r="G28" s="12">
        <v>51</v>
      </c>
      <c r="H28" s="8">
        <v>5.56</v>
      </c>
      <c r="I28" s="12">
        <v>0</v>
      </c>
    </row>
    <row r="29" spans="2:9" ht="15" customHeight="1" x14ac:dyDescent="0.2">
      <c r="B29" t="s">
        <v>111</v>
      </c>
      <c r="C29" s="12">
        <v>71</v>
      </c>
      <c r="D29" s="8">
        <v>4.29</v>
      </c>
      <c r="E29" s="12">
        <v>11</v>
      </c>
      <c r="F29" s="8">
        <v>1.57</v>
      </c>
      <c r="G29" s="12">
        <v>58</v>
      </c>
      <c r="H29" s="8">
        <v>6.32</v>
      </c>
      <c r="I29" s="12">
        <v>1</v>
      </c>
    </row>
    <row r="30" spans="2:9" ht="15" customHeight="1" x14ac:dyDescent="0.2">
      <c r="B30" t="s">
        <v>102</v>
      </c>
      <c r="C30" s="12">
        <v>62</v>
      </c>
      <c r="D30" s="8">
        <v>3.75</v>
      </c>
      <c r="E30" s="12">
        <v>30</v>
      </c>
      <c r="F30" s="8">
        <v>4.29</v>
      </c>
      <c r="G30" s="12">
        <v>32</v>
      </c>
      <c r="H30" s="8">
        <v>3.49</v>
      </c>
      <c r="I30" s="12">
        <v>0</v>
      </c>
    </row>
    <row r="31" spans="2:9" ht="15" customHeight="1" x14ac:dyDescent="0.2">
      <c r="B31" t="s">
        <v>108</v>
      </c>
      <c r="C31" s="12">
        <v>57</v>
      </c>
      <c r="D31" s="8">
        <v>3.45</v>
      </c>
      <c r="E31" s="12">
        <v>35</v>
      </c>
      <c r="F31" s="8">
        <v>5.01</v>
      </c>
      <c r="G31" s="12">
        <v>22</v>
      </c>
      <c r="H31" s="8">
        <v>2.4</v>
      </c>
      <c r="I31" s="12">
        <v>0</v>
      </c>
    </row>
    <row r="32" spans="2:9" ht="15" customHeight="1" x14ac:dyDescent="0.2">
      <c r="B32" t="s">
        <v>109</v>
      </c>
      <c r="C32" s="12">
        <v>53</v>
      </c>
      <c r="D32" s="8">
        <v>3.2</v>
      </c>
      <c r="E32" s="12">
        <v>17</v>
      </c>
      <c r="F32" s="8">
        <v>2.4300000000000002</v>
      </c>
      <c r="G32" s="12">
        <v>36</v>
      </c>
      <c r="H32" s="8">
        <v>3.92</v>
      </c>
      <c r="I32" s="12">
        <v>0</v>
      </c>
    </row>
    <row r="33" spans="2:9" ht="15" customHeight="1" x14ac:dyDescent="0.2">
      <c r="B33" t="s">
        <v>103</v>
      </c>
      <c r="C33" s="12">
        <v>52</v>
      </c>
      <c r="D33" s="8">
        <v>3.14</v>
      </c>
      <c r="E33" s="12">
        <v>10</v>
      </c>
      <c r="F33" s="8">
        <v>1.43</v>
      </c>
      <c r="G33" s="12">
        <v>42</v>
      </c>
      <c r="H33" s="8">
        <v>4.58</v>
      </c>
      <c r="I33" s="12">
        <v>0</v>
      </c>
    </row>
    <row r="34" spans="2:9" ht="15" customHeight="1" x14ac:dyDescent="0.2">
      <c r="B34" t="s">
        <v>117</v>
      </c>
      <c r="C34" s="12">
        <v>52</v>
      </c>
      <c r="D34" s="8">
        <v>3.14</v>
      </c>
      <c r="E34" s="12">
        <v>27</v>
      </c>
      <c r="F34" s="8">
        <v>3.86</v>
      </c>
      <c r="G34" s="12">
        <v>21</v>
      </c>
      <c r="H34" s="8">
        <v>2.29</v>
      </c>
      <c r="I34" s="12">
        <v>0</v>
      </c>
    </row>
    <row r="35" spans="2:9" ht="15" customHeight="1" x14ac:dyDescent="0.2">
      <c r="B35" t="s">
        <v>118</v>
      </c>
      <c r="C35" s="12">
        <v>51</v>
      </c>
      <c r="D35" s="8">
        <v>3.08</v>
      </c>
      <c r="E35" s="12">
        <v>47</v>
      </c>
      <c r="F35" s="8">
        <v>6.72</v>
      </c>
      <c r="G35" s="12">
        <v>4</v>
      </c>
      <c r="H35" s="8">
        <v>0.44</v>
      </c>
      <c r="I35" s="12">
        <v>0</v>
      </c>
    </row>
    <row r="36" spans="2:9" ht="15" customHeight="1" x14ac:dyDescent="0.2">
      <c r="B36" t="s">
        <v>113</v>
      </c>
      <c r="C36" s="12">
        <v>45</v>
      </c>
      <c r="D36" s="8">
        <v>2.72</v>
      </c>
      <c r="E36" s="12">
        <v>19</v>
      </c>
      <c r="F36" s="8">
        <v>2.72</v>
      </c>
      <c r="G36" s="12">
        <v>26</v>
      </c>
      <c r="H36" s="8">
        <v>2.83</v>
      </c>
      <c r="I36" s="12">
        <v>0</v>
      </c>
    </row>
    <row r="37" spans="2:9" ht="15" customHeight="1" x14ac:dyDescent="0.2">
      <c r="B37" t="s">
        <v>112</v>
      </c>
      <c r="C37" s="12">
        <v>43</v>
      </c>
      <c r="D37" s="8">
        <v>2.6</v>
      </c>
      <c r="E37" s="12">
        <v>26</v>
      </c>
      <c r="F37" s="8">
        <v>3.72</v>
      </c>
      <c r="G37" s="12">
        <v>17</v>
      </c>
      <c r="H37" s="8">
        <v>1.85</v>
      </c>
      <c r="I37" s="12">
        <v>0</v>
      </c>
    </row>
    <row r="38" spans="2:9" ht="15" customHeight="1" x14ac:dyDescent="0.2">
      <c r="B38" t="s">
        <v>105</v>
      </c>
      <c r="C38" s="12">
        <v>40</v>
      </c>
      <c r="D38" s="8">
        <v>2.42</v>
      </c>
      <c r="E38" s="12">
        <v>5</v>
      </c>
      <c r="F38" s="8">
        <v>0.72</v>
      </c>
      <c r="G38" s="12">
        <v>35</v>
      </c>
      <c r="H38" s="8">
        <v>3.81</v>
      </c>
      <c r="I38" s="12">
        <v>0</v>
      </c>
    </row>
    <row r="39" spans="2:9" ht="15" customHeight="1" x14ac:dyDescent="0.2">
      <c r="B39" t="s">
        <v>119</v>
      </c>
      <c r="C39" s="12">
        <v>40</v>
      </c>
      <c r="D39" s="8">
        <v>2.42</v>
      </c>
      <c r="E39" s="12">
        <v>0</v>
      </c>
      <c r="F39" s="8">
        <v>0</v>
      </c>
      <c r="G39" s="12">
        <v>10</v>
      </c>
      <c r="H39" s="8">
        <v>1.0900000000000001</v>
      </c>
      <c r="I39" s="12">
        <v>0</v>
      </c>
    </row>
    <row r="40" spans="2:9" ht="15" customHeight="1" x14ac:dyDescent="0.2">
      <c r="B40" t="s">
        <v>107</v>
      </c>
      <c r="C40" s="12">
        <v>35</v>
      </c>
      <c r="D40" s="8">
        <v>2.12</v>
      </c>
      <c r="E40" s="12">
        <v>18</v>
      </c>
      <c r="F40" s="8">
        <v>2.58</v>
      </c>
      <c r="G40" s="12">
        <v>17</v>
      </c>
      <c r="H40" s="8">
        <v>1.85</v>
      </c>
      <c r="I40" s="12">
        <v>0</v>
      </c>
    </row>
    <row r="41" spans="2:9" ht="15" customHeight="1" x14ac:dyDescent="0.2">
      <c r="B41" t="s">
        <v>129</v>
      </c>
      <c r="C41" s="12">
        <v>33</v>
      </c>
      <c r="D41" s="8">
        <v>2</v>
      </c>
      <c r="E41" s="12">
        <v>2</v>
      </c>
      <c r="F41" s="8">
        <v>0.28999999999999998</v>
      </c>
      <c r="G41" s="12">
        <v>31</v>
      </c>
      <c r="H41" s="8">
        <v>3.38</v>
      </c>
      <c r="I41" s="12">
        <v>0</v>
      </c>
    </row>
    <row r="42" spans="2:9" ht="15" customHeight="1" x14ac:dyDescent="0.2">
      <c r="B42" t="s">
        <v>104</v>
      </c>
      <c r="C42" s="12">
        <v>27</v>
      </c>
      <c r="D42" s="8">
        <v>1.63</v>
      </c>
      <c r="E42" s="12">
        <v>6</v>
      </c>
      <c r="F42" s="8">
        <v>0.86</v>
      </c>
      <c r="G42" s="12">
        <v>21</v>
      </c>
      <c r="H42" s="8">
        <v>2.29</v>
      </c>
      <c r="I42" s="12">
        <v>0</v>
      </c>
    </row>
    <row r="43" spans="2:9" ht="15" customHeight="1" x14ac:dyDescent="0.2">
      <c r="B43" t="s">
        <v>120</v>
      </c>
      <c r="C43" s="12">
        <v>25</v>
      </c>
      <c r="D43" s="8">
        <v>1.51</v>
      </c>
      <c r="E43" s="12">
        <v>14</v>
      </c>
      <c r="F43" s="8">
        <v>2</v>
      </c>
      <c r="G43" s="12">
        <v>11</v>
      </c>
      <c r="H43" s="8">
        <v>1.2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185</v>
      </c>
      <c r="C47" s="12">
        <v>92</v>
      </c>
      <c r="D47" s="8">
        <v>5.56</v>
      </c>
      <c r="E47" s="12">
        <v>71</v>
      </c>
      <c r="F47" s="8">
        <v>10.16</v>
      </c>
      <c r="G47" s="12">
        <v>21</v>
      </c>
      <c r="H47" s="8">
        <v>2.29</v>
      </c>
      <c r="I47" s="12">
        <v>0</v>
      </c>
    </row>
    <row r="48" spans="2:9" ht="15" customHeight="1" x14ac:dyDescent="0.2">
      <c r="B48" t="s">
        <v>191</v>
      </c>
      <c r="C48" s="12">
        <v>73</v>
      </c>
      <c r="D48" s="8">
        <v>4.41</v>
      </c>
      <c r="E48" s="12">
        <v>67</v>
      </c>
      <c r="F48" s="8">
        <v>9.59</v>
      </c>
      <c r="G48" s="12">
        <v>6</v>
      </c>
      <c r="H48" s="8">
        <v>0.65</v>
      </c>
      <c r="I48" s="12">
        <v>0</v>
      </c>
    </row>
    <row r="49" spans="2:9" ht="15" customHeight="1" x14ac:dyDescent="0.2">
      <c r="B49" t="s">
        <v>174</v>
      </c>
      <c r="C49" s="12">
        <v>48</v>
      </c>
      <c r="D49" s="8">
        <v>2.9</v>
      </c>
      <c r="E49" s="12">
        <v>5</v>
      </c>
      <c r="F49" s="8">
        <v>0.72</v>
      </c>
      <c r="G49" s="12">
        <v>43</v>
      </c>
      <c r="H49" s="8">
        <v>4.68</v>
      </c>
      <c r="I49" s="12">
        <v>0</v>
      </c>
    </row>
    <row r="50" spans="2:9" ht="15" customHeight="1" x14ac:dyDescent="0.2">
      <c r="B50" t="s">
        <v>187</v>
      </c>
      <c r="C50" s="12">
        <v>42</v>
      </c>
      <c r="D50" s="8">
        <v>2.54</v>
      </c>
      <c r="E50" s="12">
        <v>29</v>
      </c>
      <c r="F50" s="8">
        <v>4.1500000000000004</v>
      </c>
      <c r="G50" s="12">
        <v>13</v>
      </c>
      <c r="H50" s="8">
        <v>1.42</v>
      </c>
      <c r="I50" s="12">
        <v>0</v>
      </c>
    </row>
    <row r="51" spans="2:9" ht="15" customHeight="1" x14ac:dyDescent="0.2">
      <c r="B51" t="s">
        <v>193</v>
      </c>
      <c r="C51" s="12">
        <v>42</v>
      </c>
      <c r="D51" s="8">
        <v>2.54</v>
      </c>
      <c r="E51" s="12">
        <v>39</v>
      </c>
      <c r="F51" s="8">
        <v>5.58</v>
      </c>
      <c r="G51" s="12">
        <v>3</v>
      </c>
      <c r="H51" s="8">
        <v>0.33</v>
      </c>
      <c r="I51" s="12">
        <v>0</v>
      </c>
    </row>
    <row r="52" spans="2:9" ht="15" customHeight="1" x14ac:dyDescent="0.2">
      <c r="B52" t="s">
        <v>180</v>
      </c>
      <c r="C52" s="12">
        <v>36</v>
      </c>
      <c r="D52" s="8">
        <v>2.1800000000000002</v>
      </c>
      <c r="E52" s="12">
        <v>10</v>
      </c>
      <c r="F52" s="8">
        <v>1.43</v>
      </c>
      <c r="G52" s="12">
        <v>26</v>
      </c>
      <c r="H52" s="8">
        <v>2.83</v>
      </c>
      <c r="I52" s="12">
        <v>0</v>
      </c>
    </row>
    <row r="53" spans="2:9" ht="15" customHeight="1" x14ac:dyDescent="0.2">
      <c r="B53" t="s">
        <v>190</v>
      </c>
      <c r="C53" s="12">
        <v>34</v>
      </c>
      <c r="D53" s="8">
        <v>2.06</v>
      </c>
      <c r="E53" s="12">
        <v>31</v>
      </c>
      <c r="F53" s="8">
        <v>4.43</v>
      </c>
      <c r="G53" s="12">
        <v>3</v>
      </c>
      <c r="H53" s="8">
        <v>0.33</v>
      </c>
      <c r="I53" s="12">
        <v>0</v>
      </c>
    </row>
    <row r="54" spans="2:9" ht="15" customHeight="1" x14ac:dyDescent="0.2">
      <c r="B54" t="s">
        <v>175</v>
      </c>
      <c r="C54" s="12">
        <v>33</v>
      </c>
      <c r="D54" s="8">
        <v>2</v>
      </c>
      <c r="E54" s="12">
        <v>10</v>
      </c>
      <c r="F54" s="8">
        <v>1.43</v>
      </c>
      <c r="G54" s="12">
        <v>23</v>
      </c>
      <c r="H54" s="8">
        <v>2.5099999999999998</v>
      </c>
      <c r="I54" s="12">
        <v>0</v>
      </c>
    </row>
    <row r="55" spans="2:9" ht="15" customHeight="1" x14ac:dyDescent="0.2">
      <c r="B55" t="s">
        <v>176</v>
      </c>
      <c r="C55" s="12">
        <v>33</v>
      </c>
      <c r="D55" s="8">
        <v>2</v>
      </c>
      <c r="E55" s="12">
        <v>14</v>
      </c>
      <c r="F55" s="8">
        <v>2</v>
      </c>
      <c r="G55" s="12">
        <v>19</v>
      </c>
      <c r="H55" s="8">
        <v>2.0699999999999998</v>
      </c>
      <c r="I55" s="12">
        <v>0</v>
      </c>
    </row>
    <row r="56" spans="2:9" ht="15" customHeight="1" x14ac:dyDescent="0.2">
      <c r="B56" t="s">
        <v>183</v>
      </c>
      <c r="C56" s="12">
        <v>30</v>
      </c>
      <c r="D56" s="8">
        <v>1.81</v>
      </c>
      <c r="E56" s="12">
        <v>9</v>
      </c>
      <c r="F56" s="8">
        <v>1.29</v>
      </c>
      <c r="G56" s="12">
        <v>19</v>
      </c>
      <c r="H56" s="8">
        <v>2.0699999999999998</v>
      </c>
      <c r="I56" s="12">
        <v>1</v>
      </c>
    </row>
    <row r="57" spans="2:9" ht="15" customHeight="1" x14ac:dyDescent="0.2">
      <c r="B57" t="s">
        <v>217</v>
      </c>
      <c r="C57" s="12">
        <v>30</v>
      </c>
      <c r="D57" s="8">
        <v>1.81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207</v>
      </c>
      <c r="C58" s="12">
        <v>29</v>
      </c>
      <c r="D58" s="8">
        <v>1.75</v>
      </c>
      <c r="E58" s="12">
        <v>0</v>
      </c>
      <c r="F58" s="8">
        <v>0</v>
      </c>
      <c r="G58" s="12">
        <v>29</v>
      </c>
      <c r="H58" s="8">
        <v>3.16</v>
      </c>
      <c r="I58" s="12">
        <v>0</v>
      </c>
    </row>
    <row r="59" spans="2:9" ht="15" customHeight="1" x14ac:dyDescent="0.2">
      <c r="B59" t="s">
        <v>177</v>
      </c>
      <c r="C59" s="12">
        <v>25</v>
      </c>
      <c r="D59" s="8">
        <v>1.51</v>
      </c>
      <c r="E59" s="12">
        <v>6</v>
      </c>
      <c r="F59" s="8">
        <v>0.86</v>
      </c>
      <c r="G59" s="12">
        <v>19</v>
      </c>
      <c r="H59" s="8">
        <v>2.0699999999999998</v>
      </c>
      <c r="I59" s="12">
        <v>0</v>
      </c>
    </row>
    <row r="60" spans="2:9" ht="15" customHeight="1" x14ac:dyDescent="0.2">
      <c r="B60" t="s">
        <v>184</v>
      </c>
      <c r="C60" s="12">
        <v>25</v>
      </c>
      <c r="D60" s="8">
        <v>1.51</v>
      </c>
      <c r="E60" s="12">
        <v>9</v>
      </c>
      <c r="F60" s="8">
        <v>1.29</v>
      </c>
      <c r="G60" s="12">
        <v>16</v>
      </c>
      <c r="H60" s="8">
        <v>1.74</v>
      </c>
      <c r="I60" s="12">
        <v>0</v>
      </c>
    </row>
    <row r="61" spans="2:9" ht="15" customHeight="1" x14ac:dyDescent="0.2">
      <c r="B61" t="s">
        <v>200</v>
      </c>
      <c r="C61" s="12">
        <v>25</v>
      </c>
      <c r="D61" s="8">
        <v>1.51</v>
      </c>
      <c r="E61" s="12">
        <v>14</v>
      </c>
      <c r="F61" s="8">
        <v>2</v>
      </c>
      <c r="G61" s="12">
        <v>11</v>
      </c>
      <c r="H61" s="8">
        <v>1.2</v>
      </c>
      <c r="I61" s="12">
        <v>0</v>
      </c>
    </row>
    <row r="62" spans="2:9" ht="15" customHeight="1" x14ac:dyDescent="0.2">
      <c r="B62" t="s">
        <v>186</v>
      </c>
      <c r="C62" s="12">
        <v>24</v>
      </c>
      <c r="D62" s="8">
        <v>1.45</v>
      </c>
      <c r="E62" s="12">
        <v>19</v>
      </c>
      <c r="F62" s="8">
        <v>2.72</v>
      </c>
      <c r="G62" s="12">
        <v>5</v>
      </c>
      <c r="H62" s="8">
        <v>0.54</v>
      </c>
      <c r="I62" s="12">
        <v>0</v>
      </c>
    </row>
    <row r="63" spans="2:9" ht="15" customHeight="1" x14ac:dyDescent="0.2">
      <c r="B63" t="s">
        <v>197</v>
      </c>
      <c r="C63" s="12">
        <v>23</v>
      </c>
      <c r="D63" s="8">
        <v>1.39</v>
      </c>
      <c r="E63" s="12">
        <v>14</v>
      </c>
      <c r="F63" s="8">
        <v>2</v>
      </c>
      <c r="G63" s="12">
        <v>9</v>
      </c>
      <c r="H63" s="8">
        <v>0.98</v>
      </c>
      <c r="I63" s="12">
        <v>0</v>
      </c>
    </row>
    <row r="64" spans="2:9" ht="15" customHeight="1" x14ac:dyDescent="0.2">
      <c r="B64" t="s">
        <v>181</v>
      </c>
      <c r="C64" s="12">
        <v>23</v>
      </c>
      <c r="D64" s="8">
        <v>1.39</v>
      </c>
      <c r="E64" s="12">
        <v>14</v>
      </c>
      <c r="F64" s="8">
        <v>2</v>
      </c>
      <c r="G64" s="12">
        <v>9</v>
      </c>
      <c r="H64" s="8">
        <v>0.98</v>
      </c>
      <c r="I64" s="12">
        <v>0</v>
      </c>
    </row>
    <row r="65" spans="2:9" ht="15" customHeight="1" x14ac:dyDescent="0.2">
      <c r="B65" t="s">
        <v>192</v>
      </c>
      <c r="C65" s="12">
        <v>22</v>
      </c>
      <c r="D65" s="8">
        <v>1.33</v>
      </c>
      <c r="E65" s="12">
        <v>14</v>
      </c>
      <c r="F65" s="8">
        <v>2</v>
      </c>
      <c r="G65" s="12">
        <v>8</v>
      </c>
      <c r="H65" s="8">
        <v>0.87</v>
      </c>
      <c r="I65" s="12">
        <v>0</v>
      </c>
    </row>
    <row r="66" spans="2:9" ht="15" customHeight="1" x14ac:dyDescent="0.2">
      <c r="B66" t="s">
        <v>178</v>
      </c>
      <c r="C66" s="12">
        <v>21</v>
      </c>
      <c r="D66" s="8">
        <v>1.27</v>
      </c>
      <c r="E66" s="12">
        <v>4</v>
      </c>
      <c r="F66" s="8">
        <v>0.56999999999999995</v>
      </c>
      <c r="G66" s="12">
        <v>17</v>
      </c>
      <c r="H66" s="8">
        <v>1.85</v>
      </c>
      <c r="I66" s="12">
        <v>0</v>
      </c>
    </row>
    <row r="67" spans="2:9" ht="15" customHeight="1" x14ac:dyDescent="0.2">
      <c r="B67" t="s">
        <v>194</v>
      </c>
      <c r="C67" s="12">
        <v>21</v>
      </c>
      <c r="D67" s="8">
        <v>1.27</v>
      </c>
      <c r="E67" s="12">
        <v>7</v>
      </c>
      <c r="F67" s="8">
        <v>1</v>
      </c>
      <c r="G67" s="12">
        <v>14</v>
      </c>
      <c r="H67" s="8">
        <v>1.53</v>
      </c>
      <c r="I67" s="12">
        <v>0</v>
      </c>
    </row>
    <row r="68" spans="2:9" ht="15" customHeight="1" x14ac:dyDescent="0.2">
      <c r="B68" t="s">
        <v>182</v>
      </c>
      <c r="C68" s="12">
        <v>21</v>
      </c>
      <c r="D68" s="8">
        <v>1.27</v>
      </c>
      <c r="E68" s="12">
        <v>0</v>
      </c>
      <c r="F68" s="8">
        <v>0</v>
      </c>
      <c r="G68" s="12">
        <v>21</v>
      </c>
      <c r="H68" s="8">
        <v>2.29</v>
      </c>
      <c r="I68" s="12">
        <v>0</v>
      </c>
    </row>
    <row r="69" spans="2:9" ht="15" customHeight="1" x14ac:dyDescent="0.2">
      <c r="B69" t="s">
        <v>220</v>
      </c>
      <c r="C69" s="12">
        <v>21</v>
      </c>
      <c r="D69" s="8">
        <v>1.27</v>
      </c>
      <c r="E69" s="12">
        <v>9</v>
      </c>
      <c r="F69" s="8">
        <v>1.29</v>
      </c>
      <c r="G69" s="12">
        <v>12</v>
      </c>
      <c r="H69" s="8">
        <v>1.31</v>
      </c>
      <c r="I69" s="12">
        <v>0</v>
      </c>
    </row>
    <row r="71" spans="2:9" ht="15" customHeight="1" x14ac:dyDescent="0.2">
      <c r="B71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118AD-1F3C-42FD-B334-2DDFCA2623BA}">
  <sheetPr>
    <pageSetUpPr fitToPage="1"/>
  </sheetPr>
  <dimension ref="A1:H1249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93</v>
      </c>
      <c r="B1" s="7" t="s">
        <v>94</v>
      </c>
      <c r="C1" s="7" t="s">
        <v>95</v>
      </c>
      <c r="D1" s="7" t="s">
        <v>96</v>
      </c>
      <c r="E1" s="7" t="s">
        <v>97</v>
      </c>
      <c r="F1" s="7" t="s">
        <v>98</v>
      </c>
      <c r="G1" s="7" t="s">
        <v>99</v>
      </c>
      <c r="H1" s="7" t="s">
        <v>100</v>
      </c>
    </row>
    <row r="2" spans="1:8" x14ac:dyDescent="0.2">
      <c r="A2" s="1" t="s">
        <v>0</v>
      </c>
      <c r="B2" s="4">
        <v>61727</v>
      </c>
      <c r="C2" s="5">
        <v>100.03</v>
      </c>
      <c r="D2" s="4">
        <v>32268</v>
      </c>
      <c r="E2" s="5">
        <v>99.99</v>
      </c>
      <c r="F2" s="4">
        <v>28497</v>
      </c>
      <c r="G2" s="5">
        <v>99.99</v>
      </c>
      <c r="H2" s="4">
        <v>154</v>
      </c>
    </row>
    <row r="3" spans="1:8" x14ac:dyDescent="0.2">
      <c r="A3" s="2" t="s">
        <v>78</v>
      </c>
      <c r="B3" s="4">
        <v>32</v>
      </c>
      <c r="C3" s="5">
        <v>0.05</v>
      </c>
      <c r="D3" s="4">
        <v>5</v>
      </c>
      <c r="E3" s="5">
        <v>0.02</v>
      </c>
      <c r="F3" s="4">
        <v>27</v>
      </c>
      <c r="G3" s="5">
        <v>0.09</v>
      </c>
      <c r="H3" s="4">
        <v>0</v>
      </c>
    </row>
    <row r="4" spans="1:8" x14ac:dyDescent="0.2">
      <c r="A4" s="2" t="s">
        <v>79</v>
      </c>
      <c r="B4" s="4">
        <v>9036</v>
      </c>
      <c r="C4" s="5">
        <v>14.64</v>
      </c>
      <c r="D4" s="4">
        <v>3455</v>
      </c>
      <c r="E4" s="5">
        <v>10.71</v>
      </c>
      <c r="F4" s="4">
        <v>5581</v>
      </c>
      <c r="G4" s="5">
        <v>19.579999999999998</v>
      </c>
      <c r="H4" s="4">
        <v>0</v>
      </c>
    </row>
    <row r="5" spans="1:8" x14ac:dyDescent="0.2">
      <c r="A5" s="2" t="s">
        <v>80</v>
      </c>
      <c r="B5" s="4">
        <v>6202</v>
      </c>
      <c r="C5" s="5">
        <v>10.050000000000001</v>
      </c>
      <c r="D5" s="4">
        <v>2237</v>
      </c>
      <c r="E5" s="5">
        <v>6.93</v>
      </c>
      <c r="F5" s="4">
        <v>3954</v>
      </c>
      <c r="G5" s="5">
        <v>13.88</v>
      </c>
      <c r="H5" s="4">
        <v>7</v>
      </c>
    </row>
    <row r="6" spans="1:8" x14ac:dyDescent="0.2">
      <c r="A6" s="2" t="s">
        <v>81</v>
      </c>
      <c r="B6" s="4">
        <v>205</v>
      </c>
      <c r="C6" s="5">
        <v>0.33</v>
      </c>
      <c r="D6" s="4">
        <v>11</v>
      </c>
      <c r="E6" s="5">
        <v>0.03</v>
      </c>
      <c r="F6" s="4">
        <v>155</v>
      </c>
      <c r="G6" s="5">
        <v>0.54</v>
      </c>
      <c r="H6" s="4">
        <v>2</v>
      </c>
    </row>
    <row r="7" spans="1:8" x14ac:dyDescent="0.2">
      <c r="A7" s="2" t="s">
        <v>82</v>
      </c>
      <c r="B7" s="4">
        <v>553</v>
      </c>
      <c r="C7" s="5">
        <v>0.9</v>
      </c>
      <c r="D7" s="4">
        <v>73</v>
      </c>
      <c r="E7" s="5">
        <v>0.23</v>
      </c>
      <c r="F7" s="4">
        <v>473</v>
      </c>
      <c r="G7" s="5">
        <v>1.66</v>
      </c>
      <c r="H7" s="4">
        <v>3</v>
      </c>
    </row>
    <row r="8" spans="1:8" x14ac:dyDescent="0.2">
      <c r="A8" s="2" t="s">
        <v>83</v>
      </c>
      <c r="B8" s="4">
        <v>479</v>
      </c>
      <c r="C8" s="5">
        <v>0.78</v>
      </c>
      <c r="D8" s="4">
        <v>119</v>
      </c>
      <c r="E8" s="5">
        <v>0.37</v>
      </c>
      <c r="F8" s="4">
        <v>328</v>
      </c>
      <c r="G8" s="5">
        <v>1.1499999999999999</v>
      </c>
      <c r="H8" s="4">
        <v>22</v>
      </c>
    </row>
    <row r="9" spans="1:8" x14ac:dyDescent="0.2">
      <c r="A9" s="2" t="s">
        <v>84</v>
      </c>
      <c r="B9" s="4">
        <v>13161</v>
      </c>
      <c r="C9" s="5">
        <v>21.32</v>
      </c>
      <c r="D9" s="4">
        <v>5596</v>
      </c>
      <c r="E9" s="5">
        <v>17.34</v>
      </c>
      <c r="F9" s="4">
        <v>7532</v>
      </c>
      <c r="G9" s="5">
        <v>26.43</v>
      </c>
      <c r="H9" s="4">
        <v>28</v>
      </c>
    </row>
    <row r="10" spans="1:8" x14ac:dyDescent="0.2">
      <c r="A10" s="2" t="s">
        <v>85</v>
      </c>
      <c r="B10" s="4">
        <v>405</v>
      </c>
      <c r="C10" s="5">
        <v>0.66</v>
      </c>
      <c r="D10" s="4">
        <v>71</v>
      </c>
      <c r="E10" s="5">
        <v>0.22</v>
      </c>
      <c r="F10" s="4">
        <v>331</v>
      </c>
      <c r="G10" s="5">
        <v>1.1599999999999999</v>
      </c>
      <c r="H10" s="4">
        <v>1</v>
      </c>
    </row>
    <row r="11" spans="1:8" x14ac:dyDescent="0.2">
      <c r="A11" s="2" t="s">
        <v>86</v>
      </c>
      <c r="B11" s="4">
        <v>5787</v>
      </c>
      <c r="C11" s="5">
        <v>9.3800000000000008</v>
      </c>
      <c r="D11" s="4">
        <v>3047</v>
      </c>
      <c r="E11" s="5">
        <v>9.44</v>
      </c>
      <c r="F11" s="4">
        <v>2720</v>
      </c>
      <c r="G11" s="5">
        <v>9.5399999999999991</v>
      </c>
      <c r="H11" s="4">
        <v>6</v>
      </c>
    </row>
    <row r="12" spans="1:8" x14ac:dyDescent="0.2">
      <c r="A12" s="2" t="s">
        <v>87</v>
      </c>
      <c r="B12" s="4">
        <v>3078</v>
      </c>
      <c r="C12" s="5">
        <v>4.99</v>
      </c>
      <c r="D12" s="4">
        <v>1682</v>
      </c>
      <c r="E12" s="5">
        <v>5.21</v>
      </c>
      <c r="F12" s="4">
        <v>1353</v>
      </c>
      <c r="G12" s="5">
        <v>4.75</v>
      </c>
      <c r="H12" s="4">
        <v>6</v>
      </c>
    </row>
    <row r="13" spans="1:8" x14ac:dyDescent="0.2">
      <c r="A13" s="2" t="s">
        <v>88</v>
      </c>
      <c r="B13" s="4">
        <v>9183</v>
      </c>
      <c r="C13" s="5">
        <v>14.88</v>
      </c>
      <c r="D13" s="4">
        <v>7059</v>
      </c>
      <c r="E13" s="5">
        <v>21.88</v>
      </c>
      <c r="F13" s="4">
        <v>2101</v>
      </c>
      <c r="G13" s="5">
        <v>7.37</v>
      </c>
      <c r="H13" s="4">
        <v>4</v>
      </c>
    </row>
    <row r="14" spans="1:8" x14ac:dyDescent="0.2">
      <c r="A14" s="2" t="s">
        <v>89</v>
      </c>
      <c r="B14" s="4">
        <v>6661</v>
      </c>
      <c r="C14" s="5">
        <v>10.79</v>
      </c>
      <c r="D14" s="4">
        <v>5222</v>
      </c>
      <c r="E14" s="5">
        <v>16.18</v>
      </c>
      <c r="F14" s="4">
        <v>1384</v>
      </c>
      <c r="G14" s="5">
        <v>4.8600000000000003</v>
      </c>
      <c r="H14" s="4">
        <v>11</v>
      </c>
    </row>
    <row r="15" spans="1:8" x14ac:dyDescent="0.2">
      <c r="A15" s="2" t="s">
        <v>90</v>
      </c>
      <c r="B15" s="4">
        <v>2177</v>
      </c>
      <c r="C15" s="5">
        <v>3.53</v>
      </c>
      <c r="D15" s="4">
        <v>1266</v>
      </c>
      <c r="E15" s="5">
        <v>3.92</v>
      </c>
      <c r="F15" s="4">
        <v>575</v>
      </c>
      <c r="G15" s="5">
        <v>2.02</v>
      </c>
      <c r="H15" s="4">
        <v>17</v>
      </c>
    </row>
    <row r="16" spans="1:8" x14ac:dyDescent="0.2">
      <c r="A16" s="2" t="s">
        <v>91</v>
      </c>
      <c r="B16" s="4">
        <v>2752</v>
      </c>
      <c r="C16" s="5">
        <v>4.46</v>
      </c>
      <c r="D16" s="4">
        <v>1691</v>
      </c>
      <c r="E16" s="5">
        <v>5.24</v>
      </c>
      <c r="F16" s="4">
        <v>820</v>
      </c>
      <c r="G16" s="5">
        <v>2.88</v>
      </c>
      <c r="H16" s="4">
        <v>6</v>
      </c>
    </row>
    <row r="17" spans="1:8" x14ac:dyDescent="0.2">
      <c r="A17" s="2" t="s">
        <v>92</v>
      </c>
      <c r="B17" s="4">
        <v>2016</v>
      </c>
      <c r="C17" s="5">
        <v>3.27</v>
      </c>
      <c r="D17" s="4">
        <v>734</v>
      </c>
      <c r="E17" s="5">
        <v>2.27</v>
      </c>
      <c r="F17" s="4">
        <v>1163</v>
      </c>
      <c r="G17" s="5">
        <v>4.08</v>
      </c>
      <c r="H17" s="4">
        <v>41</v>
      </c>
    </row>
    <row r="18" spans="1:8" x14ac:dyDescent="0.2">
      <c r="A18" s="1" t="s">
        <v>1</v>
      </c>
      <c r="B18" s="4">
        <v>10134</v>
      </c>
      <c r="C18" s="5">
        <v>99.990000000000009</v>
      </c>
      <c r="D18" s="4">
        <v>4671</v>
      </c>
      <c r="E18" s="5">
        <v>100.01</v>
      </c>
      <c r="F18" s="4">
        <v>5374</v>
      </c>
      <c r="G18" s="5">
        <v>99.990000000000009</v>
      </c>
      <c r="H18" s="4">
        <v>26</v>
      </c>
    </row>
    <row r="19" spans="1:8" x14ac:dyDescent="0.2">
      <c r="A19" s="2" t="s">
        <v>78</v>
      </c>
      <c r="B19" s="4">
        <v>1</v>
      </c>
      <c r="C19" s="5">
        <v>0.01</v>
      </c>
      <c r="D19" s="4">
        <v>0</v>
      </c>
      <c r="E19" s="5">
        <v>0</v>
      </c>
      <c r="F19" s="4">
        <v>1</v>
      </c>
      <c r="G19" s="5">
        <v>0.02</v>
      </c>
      <c r="H19" s="4">
        <v>0</v>
      </c>
    </row>
    <row r="20" spans="1:8" x14ac:dyDescent="0.2">
      <c r="A20" s="2" t="s">
        <v>79</v>
      </c>
      <c r="B20" s="4">
        <v>1426</v>
      </c>
      <c r="C20" s="5">
        <v>14.07</v>
      </c>
      <c r="D20" s="4">
        <v>373</v>
      </c>
      <c r="E20" s="5">
        <v>7.99</v>
      </c>
      <c r="F20" s="4">
        <v>1053</v>
      </c>
      <c r="G20" s="5">
        <v>19.59</v>
      </c>
      <c r="H20" s="4">
        <v>0</v>
      </c>
    </row>
    <row r="21" spans="1:8" x14ac:dyDescent="0.2">
      <c r="A21" s="2" t="s">
        <v>80</v>
      </c>
      <c r="B21" s="4">
        <v>595</v>
      </c>
      <c r="C21" s="5">
        <v>5.87</v>
      </c>
      <c r="D21" s="4">
        <v>173</v>
      </c>
      <c r="E21" s="5">
        <v>3.7</v>
      </c>
      <c r="F21" s="4">
        <v>421</v>
      </c>
      <c r="G21" s="5">
        <v>7.83</v>
      </c>
      <c r="H21" s="4">
        <v>0</v>
      </c>
    </row>
    <row r="22" spans="1:8" x14ac:dyDescent="0.2">
      <c r="A22" s="2" t="s">
        <v>81</v>
      </c>
      <c r="B22" s="4">
        <v>22</v>
      </c>
      <c r="C22" s="5">
        <v>0.22</v>
      </c>
      <c r="D22" s="4">
        <v>1</v>
      </c>
      <c r="E22" s="5">
        <v>0.02</v>
      </c>
      <c r="F22" s="4">
        <v>19</v>
      </c>
      <c r="G22" s="5">
        <v>0.35</v>
      </c>
      <c r="H22" s="4">
        <v>0</v>
      </c>
    </row>
    <row r="23" spans="1:8" x14ac:dyDescent="0.2">
      <c r="A23" s="2" t="s">
        <v>82</v>
      </c>
      <c r="B23" s="4">
        <v>133</v>
      </c>
      <c r="C23" s="5">
        <v>1.31</v>
      </c>
      <c r="D23" s="4">
        <v>10</v>
      </c>
      <c r="E23" s="5">
        <v>0.21</v>
      </c>
      <c r="F23" s="4">
        <v>120</v>
      </c>
      <c r="G23" s="5">
        <v>2.23</v>
      </c>
      <c r="H23" s="4">
        <v>3</v>
      </c>
    </row>
    <row r="24" spans="1:8" x14ac:dyDescent="0.2">
      <c r="A24" s="2" t="s">
        <v>83</v>
      </c>
      <c r="B24" s="4">
        <v>92</v>
      </c>
      <c r="C24" s="5">
        <v>0.91</v>
      </c>
      <c r="D24" s="4">
        <v>26</v>
      </c>
      <c r="E24" s="5">
        <v>0.56000000000000005</v>
      </c>
      <c r="F24" s="4">
        <v>65</v>
      </c>
      <c r="G24" s="5">
        <v>1.21</v>
      </c>
      <c r="H24" s="4">
        <v>1</v>
      </c>
    </row>
    <row r="25" spans="1:8" x14ac:dyDescent="0.2">
      <c r="A25" s="2" t="s">
        <v>84</v>
      </c>
      <c r="B25" s="4">
        <v>2175</v>
      </c>
      <c r="C25" s="5">
        <v>21.46</v>
      </c>
      <c r="D25" s="4">
        <v>700</v>
      </c>
      <c r="E25" s="5">
        <v>14.99</v>
      </c>
      <c r="F25" s="4">
        <v>1470</v>
      </c>
      <c r="G25" s="5">
        <v>27.35</v>
      </c>
      <c r="H25" s="4">
        <v>4</v>
      </c>
    </row>
    <row r="26" spans="1:8" x14ac:dyDescent="0.2">
      <c r="A26" s="2" t="s">
        <v>85</v>
      </c>
      <c r="B26" s="4">
        <v>94</v>
      </c>
      <c r="C26" s="5">
        <v>0.93</v>
      </c>
      <c r="D26" s="4">
        <v>4</v>
      </c>
      <c r="E26" s="5">
        <v>0.09</v>
      </c>
      <c r="F26" s="4">
        <v>88</v>
      </c>
      <c r="G26" s="5">
        <v>1.64</v>
      </c>
      <c r="H26" s="4">
        <v>1</v>
      </c>
    </row>
    <row r="27" spans="1:8" x14ac:dyDescent="0.2">
      <c r="A27" s="2" t="s">
        <v>86</v>
      </c>
      <c r="B27" s="4">
        <v>1590</v>
      </c>
      <c r="C27" s="5">
        <v>15.69</v>
      </c>
      <c r="D27" s="4">
        <v>897</v>
      </c>
      <c r="E27" s="5">
        <v>19.2</v>
      </c>
      <c r="F27" s="4">
        <v>690</v>
      </c>
      <c r="G27" s="5">
        <v>12.84</v>
      </c>
      <c r="H27" s="4">
        <v>0</v>
      </c>
    </row>
    <row r="28" spans="1:8" x14ac:dyDescent="0.2">
      <c r="A28" s="2" t="s">
        <v>87</v>
      </c>
      <c r="B28" s="4">
        <v>629</v>
      </c>
      <c r="C28" s="5">
        <v>6.21</v>
      </c>
      <c r="D28" s="4">
        <v>302</v>
      </c>
      <c r="E28" s="5">
        <v>6.47</v>
      </c>
      <c r="F28" s="4">
        <v>322</v>
      </c>
      <c r="G28" s="5">
        <v>5.99</v>
      </c>
      <c r="H28" s="4">
        <v>1</v>
      </c>
    </row>
    <row r="29" spans="1:8" x14ac:dyDescent="0.2">
      <c r="A29" s="2" t="s">
        <v>88</v>
      </c>
      <c r="B29" s="4">
        <v>1116</v>
      </c>
      <c r="C29" s="5">
        <v>11.01</v>
      </c>
      <c r="D29" s="4">
        <v>820</v>
      </c>
      <c r="E29" s="5">
        <v>17.559999999999999</v>
      </c>
      <c r="F29" s="4">
        <v>296</v>
      </c>
      <c r="G29" s="5">
        <v>5.51</v>
      </c>
      <c r="H29" s="4">
        <v>0</v>
      </c>
    </row>
    <row r="30" spans="1:8" x14ac:dyDescent="0.2">
      <c r="A30" s="2" t="s">
        <v>89</v>
      </c>
      <c r="B30" s="4">
        <v>1098</v>
      </c>
      <c r="C30" s="5">
        <v>10.83</v>
      </c>
      <c r="D30" s="4">
        <v>809</v>
      </c>
      <c r="E30" s="5">
        <v>17.32</v>
      </c>
      <c r="F30" s="4">
        <v>282</v>
      </c>
      <c r="G30" s="5">
        <v>5.25</v>
      </c>
      <c r="H30" s="4">
        <v>1</v>
      </c>
    </row>
    <row r="31" spans="1:8" x14ac:dyDescent="0.2">
      <c r="A31" s="2" t="s">
        <v>90</v>
      </c>
      <c r="B31" s="4">
        <v>348</v>
      </c>
      <c r="C31" s="5">
        <v>3.43</v>
      </c>
      <c r="D31" s="4">
        <v>202</v>
      </c>
      <c r="E31" s="5">
        <v>4.32</v>
      </c>
      <c r="F31" s="4">
        <v>118</v>
      </c>
      <c r="G31" s="5">
        <v>2.2000000000000002</v>
      </c>
      <c r="H31" s="4">
        <v>1</v>
      </c>
    </row>
    <row r="32" spans="1:8" x14ac:dyDescent="0.2">
      <c r="A32" s="2" t="s">
        <v>91</v>
      </c>
      <c r="B32" s="4">
        <v>463</v>
      </c>
      <c r="C32" s="5">
        <v>4.57</v>
      </c>
      <c r="D32" s="4">
        <v>265</v>
      </c>
      <c r="E32" s="5">
        <v>5.67</v>
      </c>
      <c r="F32" s="4">
        <v>185</v>
      </c>
      <c r="G32" s="5">
        <v>3.44</v>
      </c>
      <c r="H32" s="4">
        <v>3</v>
      </c>
    </row>
    <row r="33" spans="1:8" x14ac:dyDescent="0.2">
      <c r="A33" s="2" t="s">
        <v>92</v>
      </c>
      <c r="B33" s="4">
        <v>352</v>
      </c>
      <c r="C33" s="5">
        <v>3.47</v>
      </c>
      <c r="D33" s="4">
        <v>89</v>
      </c>
      <c r="E33" s="5">
        <v>1.91</v>
      </c>
      <c r="F33" s="4">
        <v>244</v>
      </c>
      <c r="G33" s="5">
        <v>4.54</v>
      </c>
      <c r="H33" s="4">
        <v>11</v>
      </c>
    </row>
    <row r="34" spans="1:8" x14ac:dyDescent="0.2">
      <c r="A34" s="1" t="s">
        <v>2</v>
      </c>
      <c r="B34" s="4">
        <v>7350</v>
      </c>
      <c r="C34" s="5">
        <v>100.00000000000001</v>
      </c>
      <c r="D34" s="4">
        <v>3607</v>
      </c>
      <c r="E34" s="5">
        <v>100</v>
      </c>
      <c r="F34" s="4">
        <v>3629</v>
      </c>
      <c r="G34" s="5">
        <v>100.01</v>
      </c>
      <c r="H34" s="4">
        <v>18</v>
      </c>
    </row>
    <row r="35" spans="1:8" x14ac:dyDescent="0.2">
      <c r="A35" s="2" t="s">
        <v>78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2">
      <c r="A36" s="2" t="s">
        <v>79</v>
      </c>
      <c r="B36" s="4">
        <v>796</v>
      </c>
      <c r="C36" s="5">
        <v>10.83</v>
      </c>
      <c r="D36" s="4">
        <v>169</v>
      </c>
      <c r="E36" s="5">
        <v>4.6900000000000004</v>
      </c>
      <c r="F36" s="4">
        <v>627</v>
      </c>
      <c r="G36" s="5">
        <v>17.28</v>
      </c>
      <c r="H36" s="4">
        <v>0</v>
      </c>
    </row>
    <row r="37" spans="1:8" x14ac:dyDescent="0.2">
      <c r="A37" s="2" t="s">
        <v>80</v>
      </c>
      <c r="B37" s="4">
        <v>445</v>
      </c>
      <c r="C37" s="5">
        <v>6.05</v>
      </c>
      <c r="D37" s="4">
        <v>140</v>
      </c>
      <c r="E37" s="5">
        <v>3.88</v>
      </c>
      <c r="F37" s="4">
        <v>305</v>
      </c>
      <c r="G37" s="5">
        <v>8.4</v>
      </c>
      <c r="H37" s="4">
        <v>0</v>
      </c>
    </row>
    <row r="38" spans="1:8" x14ac:dyDescent="0.2">
      <c r="A38" s="2" t="s">
        <v>81</v>
      </c>
      <c r="B38" s="4">
        <v>12</v>
      </c>
      <c r="C38" s="5">
        <v>0.16</v>
      </c>
      <c r="D38" s="4">
        <v>1</v>
      </c>
      <c r="E38" s="5">
        <v>0.03</v>
      </c>
      <c r="F38" s="4">
        <v>10</v>
      </c>
      <c r="G38" s="5">
        <v>0.28000000000000003</v>
      </c>
      <c r="H38" s="4">
        <v>0</v>
      </c>
    </row>
    <row r="39" spans="1:8" x14ac:dyDescent="0.2">
      <c r="A39" s="2" t="s">
        <v>82</v>
      </c>
      <c r="B39" s="4">
        <v>77</v>
      </c>
      <c r="C39" s="5">
        <v>1.05</v>
      </c>
      <c r="D39" s="4">
        <v>4</v>
      </c>
      <c r="E39" s="5">
        <v>0.11</v>
      </c>
      <c r="F39" s="4">
        <v>73</v>
      </c>
      <c r="G39" s="5">
        <v>2.0099999999999998</v>
      </c>
      <c r="H39" s="4">
        <v>0</v>
      </c>
    </row>
    <row r="40" spans="1:8" x14ac:dyDescent="0.2">
      <c r="A40" s="2" t="s">
        <v>83</v>
      </c>
      <c r="B40" s="4">
        <v>63</v>
      </c>
      <c r="C40" s="5">
        <v>0.86</v>
      </c>
      <c r="D40" s="4">
        <v>9</v>
      </c>
      <c r="E40" s="5">
        <v>0.25</v>
      </c>
      <c r="F40" s="4">
        <v>51</v>
      </c>
      <c r="G40" s="5">
        <v>1.41</v>
      </c>
      <c r="H40" s="4">
        <v>3</v>
      </c>
    </row>
    <row r="41" spans="1:8" x14ac:dyDescent="0.2">
      <c r="A41" s="2" t="s">
        <v>84</v>
      </c>
      <c r="B41" s="4">
        <v>1651</v>
      </c>
      <c r="C41" s="5">
        <v>22.46</v>
      </c>
      <c r="D41" s="4">
        <v>600</v>
      </c>
      <c r="E41" s="5">
        <v>16.63</v>
      </c>
      <c r="F41" s="4">
        <v>1049</v>
      </c>
      <c r="G41" s="5">
        <v>28.91</v>
      </c>
      <c r="H41" s="4">
        <v>2</v>
      </c>
    </row>
    <row r="42" spans="1:8" x14ac:dyDescent="0.2">
      <c r="A42" s="2" t="s">
        <v>85</v>
      </c>
      <c r="B42" s="4">
        <v>56</v>
      </c>
      <c r="C42" s="5">
        <v>0.76</v>
      </c>
      <c r="D42" s="4">
        <v>7</v>
      </c>
      <c r="E42" s="5">
        <v>0.19</v>
      </c>
      <c r="F42" s="4">
        <v>49</v>
      </c>
      <c r="G42" s="5">
        <v>1.35</v>
      </c>
      <c r="H42" s="4">
        <v>0</v>
      </c>
    </row>
    <row r="43" spans="1:8" x14ac:dyDescent="0.2">
      <c r="A43" s="2" t="s">
        <v>86</v>
      </c>
      <c r="B43" s="4">
        <v>932</v>
      </c>
      <c r="C43" s="5">
        <v>12.68</v>
      </c>
      <c r="D43" s="4">
        <v>492</v>
      </c>
      <c r="E43" s="5">
        <v>13.64</v>
      </c>
      <c r="F43" s="4">
        <v>439</v>
      </c>
      <c r="G43" s="5">
        <v>12.1</v>
      </c>
      <c r="H43" s="4">
        <v>1</v>
      </c>
    </row>
    <row r="44" spans="1:8" x14ac:dyDescent="0.2">
      <c r="A44" s="2" t="s">
        <v>87</v>
      </c>
      <c r="B44" s="4">
        <v>389</v>
      </c>
      <c r="C44" s="5">
        <v>5.29</v>
      </c>
      <c r="D44" s="4">
        <v>190</v>
      </c>
      <c r="E44" s="5">
        <v>5.27</v>
      </c>
      <c r="F44" s="4">
        <v>193</v>
      </c>
      <c r="G44" s="5">
        <v>5.32</v>
      </c>
      <c r="H44" s="4">
        <v>2</v>
      </c>
    </row>
    <row r="45" spans="1:8" x14ac:dyDescent="0.2">
      <c r="A45" s="2" t="s">
        <v>88</v>
      </c>
      <c r="B45" s="4">
        <v>1131</v>
      </c>
      <c r="C45" s="5">
        <v>15.39</v>
      </c>
      <c r="D45" s="4">
        <v>896</v>
      </c>
      <c r="E45" s="5">
        <v>24.84</v>
      </c>
      <c r="F45" s="4">
        <v>234</v>
      </c>
      <c r="G45" s="5">
        <v>6.45</v>
      </c>
      <c r="H45" s="4">
        <v>1</v>
      </c>
    </row>
    <row r="46" spans="1:8" x14ac:dyDescent="0.2">
      <c r="A46" s="2" t="s">
        <v>89</v>
      </c>
      <c r="B46" s="4">
        <v>831</v>
      </c>
      <c r="C46" s="5">
        <v>11.31</v>
      </c>
      <c r="D46" s="4">
        <v>616</v>
      </c>
      <c r="E46" s="5">
        <v>17.079999999999998</v>
      </c>
      <c r="F46" s="4">
        <v>211</v>
      </c>
      <c r="G46" s="5">
        <v>5.81</v>
      </c>
      <c r="H46" s="4">
        <v>2</v>
      </c>
    </row>
    <row r="47" spans="1:8" x14ac:dyDescent="0.2">
      <c r="A47" s="2" t="s">
        <v>90</v>
      </c>
      <c r="B47" s="4">
        <v>311</v>
      </c>
      <c r="C47" s="5">
        <v>4.2300000000000004</v>
      </c>
      <c r="D47" s="4">
        <v>183</v>
      </c>
      <c r="E47" s="5">
        <v>5.07</v>
      </c>
      <c r="F47" s="4">
        <v>85</v>
      </c>
      <c r="G47" s="5">
        <v>2.34</v>
      </c>
      <c r="H47" s="4">
        <v>1</v>
      </c>
    </row>
    <row r="48" spans="1:8" x14ac:dyDescent="0.2">
      <c r="A48" s="2" t="s">
        <v>91</v>
      </c>
      <c r="B48" s="4">
        <v>382</v>
      </c>
      <c r="C48" s="5">
        <v>5.2</v>
      </c>
      <c r="D48" s="4">
        <v>219</v>
      </c>
      <c r="E48" s="5">
        <v>6.07</v>
      </c>
      <c r="F48" s="4">
        <v>122</v>
      </c>
      <c r="G48" s="5">
        <v>3.36</v>
      </c>
      <c r="H48" s="4">
        <v>0</v>
      </c>
    </row>
    <row r="49" spans="1:8" x14ac:dyDescent="0.2">
      <c r="A49" s="2" t="s">
        <v>92</v>
      </c>
      <c r="B49" s="4">
        <v>274</v>
      </c>
      <c r="C49" s="5">
        <v>3.73</v>
      </c>
      <c r="D49" s="4">
        <v>81</v>
      </c>
      <c r="E49" s="5">
        <v>2.25</v>
      </c>
      <c r="F49" s="4">
        <v>181</v>
      </c>
      <c r="G49" s="5">
        <v>4.99</v>
      </c>
      <c r="H49" s="4">
        <v>6</v>
      </c>
    </row>
    <row r="50" spans="1:8" x14ac:dyDescent="0.2">
      <c r="A50" s="1" t="s">
        <v>3</v>
      </c>
      <c r="B50" s="4">
        <v>4302</v>
      </c>
      <c r="C50" s="5">
        <v>100</v>
      </c>
      <c r="D50" s="4">
        <v>2203</v>
      </c>
      <c r="E50" s="5">
        <v>99.999999999999986</v>
      </c>
      <c r="F50" s="4">
        <v>2055</v>
      </c>
      <c r="G50" s="5">
        <v>100.00000000000004</v>
      </c>
      <c r="H50" s="4">
        <v>11</v>
      </c>
    </row>
    <row r="51" spans="1:8" x14ac:dyDescent="0.2">
      <c r="A51" s="2" t="s">
        <v>78</v>
      </c>
      <c r="B51" s="4">
        <v>1</v>
      </c>
      <c r="C51" s="5">
        <v>0.02</v>
      </c>
      <c r="D51" s="4">
        <v>0</v>
      </c>
      <c r="E51" s="5">
        <v>0</v>
      </c>
      <c r="F51" s="4">
        <v>1</v>
      </c>
      <c r="G51" s="5">
        <v>0.05</v>
      </c>
      <c r="H51" s="4">
        <v>0</v>
      </c>
    </row>
    <row r="52" spans="1:8" x14ac:dyDescent="0.2">
      <c r="A52" s="2" t="s">
        <v>79</v>
      </c>
      <c r="B52" s="4">
        <v>580</v>
      </c>
      <c r="C52" s="5">
        <v>13.48</v>
      </c>
      <c r="D52" s="4">
        <v>231</v>
      </c>
      <c r="E52" s="5">
        <v>10.49</v>
      </c>
      <c r="F52" s="4">
        <v>349</v>
      </c>
      <c r="G52" s="5">
        <v>16.98</v>
      </c>
      <c r="H52" s="4">
        <v>0</v>
      </c>
    </row>
    <row r="53" spans="1:8" x14ac:dyDescent="0.2">
      <c r="A53" s="2" t="s">
        <v>80</v>
      </c>
      <c r="B53" s="4">
        <v>547</v>
      </c>
      <c r="C53" s="5">
        <v>12.72</v>
      </c>
      <c r="D53" s="4">
        <v>201</v>
      </c>
      <c r="E53" s="5">
        <v>9.1199999999999992</v>
      </c>
      <c r="F53" s="4">
        <v>346</v>
      </c>
      <c r="G53" s="5">
        <v>16.84</v>
      </c>
      <c r="H53" s="4">
        <v>0</v>
      </c>
    </row>
    <row r="54" spans="1:8" x14ac:dyDescent="0.2">
      <c r="A54" s="2" t="s">
        <v>81</v>
      </c>
      <c r="B54" s="4">
        <v>7</v>
      </c>
      <c r="C54" s="5">
        <v>0.16</v>
      </c>
      <c r="D54" s="4">
        <v>0</v>
      </c>
      <c r="E54" s="5">
        <v>0</v>
      </c>
      <c r="F54" s="4">
        <v>5</v>
      </c>
      <c r="G54" s="5">
        <v>0.24</v>
      </c>
      <c r="H54" s="4">
        <v>0</v>
      </c>
    </row>
    <row r="55" spans="1:8" x14ac:dyDescent="0.2">
      <c r="A55" s="2" t="s">
        <v>82</v>
      </c>
      <c r="B55" s="4">
        <v>36</v>
      </c>
      <c r="C55" s="5">
        <v>0.84</v>
      </c>
      <c r="D55" s="4">
        <v>6</v>
      </c>
      <c r="E55" s="5">
        <v>0.27</v>
      </c>
      <c r="F55" s="4">
        <v>30</v>
      </c>
      <c r="G55" s="5">
        <v>1.46</v>
      </c>
      <c r="H55" s="4">
        <v>0</v>
      </c>
    </row>
    <row r="56" spans="1:8" x14ac:dyDescent="0.2">
      <c r="A56" s="2" t="s">
        <v>83</v>
      </c>
      <c r="B56" s="4">
        <v>29</v>
      </c>
      <c r="C56" s="5">
        <v>0.67</v>
      </c>
      <c r="D56" s="4">
        <v>5</v>
      </c>
      <c r="E56" s="5">
        <v>0.23</v>
      </c>
      <c r="F56" s="4">
        <v>21</v>
      </c>
      <c r="G56" s="5">
        <v>1.02</v>
      </c>
      <c r="H56" s="4">
        <v>3</v>
      </c>
    </row>
    <row r="57" spans="1:8" x14ac:dyDescent="0.2">
      <c r="A57" s="2" t="s">
        <v>84</v>
      </c>
      <c r="B57" s="4">
        <v>933</v>
      </c>
      <c r="C57" s="5">
        <v>21.69</v>
      </c>
      <c r="D57" s="4">
        <v>331</v>
      </c>
      <c r="E57" s="5">
        <v>15.02</v>
      </c>
      <c r="F57" s="4">
        <v>602</v>
      </c>
      <c r="G57" s="5">
        <v>29.29</v>
      </c>
      <c r="H57" s="4">
        <v>0</v>
      </c>
    </row>
    <row r="58" spans="1:8" x14ac:dyDescent="0.2">
      <c r="A58" s="2" t="s">
        <v>85</v>
      </c>
      <c r="B58" s="4">
        <v>20</v>
      </c>
      <c r="C58" s="5">
        <v>0.46</v>
      </c>
      <c r="D58" s="4">
        <v>6</v>
      </c>
      <c r="E58" s="5">
        <v>0.27</v>
      </c>
      <c r="F58" s="4">
        <v>14</v>
      </c>
      <c r="G58" s="5">
        <v>0.68</v>
      </c>
      <c r="H58" s="4">
        <v>0</v>
      </c>
    </row>
    <row r="59" spans="1:8" x14ac:dyDescent="0.2">
      <c r="A59" s="2" t="s">
        <v>86</v>
      </c>
      <c r="B59" s="4">
        <v>450</v>
      </c>
      <c r="C59" s="5">
        <v>10.46</v>
      </c>
      <c r="D59" s="4">
        <v>244</v>
      </c>
      <c r="E59" s="5">
        <v>11.08</v>
      </c>
      <c r="F59" s="4">
        <v>205</v>
      </c>
      <c r="G59" s="5">
        <v>9.98</v>
      </c>
      <c r="H59" s="4">
        <v>0</v>
      </c>
    </row>
    <row r="60" spans="1:8" x14ac:dyDescent="0.2">
      <c r="A60" s="2" t="s">
        <v>87</v>
      </c>
      <c r="B60" s="4">
        <v>239</v>
      </c>
      <c r="C60" s="5">
        <v>5.56</v>
      </c>
      <c r="D60" s="4">
        <v>146</v>
      </c>
      <c r="E60" s="5">
        <v>6.63</v>
      </c>
      <c r="F60" s="4">
        <v>91</v>
      </c>
      <c r="G60" s="5">
        <v>4.43</v>
      </c>
      <c r="H60" s="4">
        <v>1</v>
      </c>
    </row>
    <row r="61" spans="1:8" x14ac:dyDescent="0.2">
      <c r="A61" s="2" t="s">
        <v>88</v>
      </c>
      <c r="B61" s="4">
        <v>527</v>
      </c>
      <c r="C61" s="5">
        <v>12.25</v>
      </c>
      <c r="D61" s="4">
        <v>408</v>
      </c>
      <c r="E61" s="5">
        <v>18.52</v>
      </c>
      <c r="F61" s="4">
        <v>119</v>
      </c>
      <c r="G61" s="5">
        <v>5.79</v>
      </c>
      <c r="H61" s="4">
        <v>0</v>
      </c>
    </row>
    <row r="62" spans="1:8" x14ac:dyDescent="0.2">
      <c r="A62" s="2" t="s">
        <v>89</v>
      </c>
      <c r="B62" s="4">
        <v>473</v>
      </c>
      <c r="C62" s="5">
        <v>10.99</v>
      </c>
      <c r="D62" s="4">
        <v>378</v>
      </c>
      <c r="E62" s="5">
        <v>17.16</v>
      </c>
      <c r="F62" s="4">
        <v>92</v>
      </c>
      <c r="G62" s="5">
        <v>4.4800000000000004</v>
      </c>
      <c r="H62" s="4">
        <v>1</v>
      </c>
    </row>
    <row r="63" spans="1:8" x14ac:dyDescent="0.2">
      <c r="A63" s="2" t="s">
        <v>90</v>
      </c>
      <c r="B63" s="4">
        <v>122</v>
      </c>
      <c r="C63" s="5">
        <v>2.84</v>
      </c>
      <c r="D63" s="4">
        <v>71</v>
      </c>
      <c r="E63" s="5">
        <v>3.22</v>
      </c>
      <c r="F63" s="4">
        <v>35</v>
      </c>
      <c r="G63" s="5">
        <v>1.7</v>
      </c>
      <c r="H63" s="4">
        <v>2</v>
      </c>
    </row>
    <row r="64" spans="1:8" x14ac:dyDescent="0.2">
      <c r="A64" s="2" t="s">
        <v>91</v>
      </c>
      <c r="B64" s="4">
        <v>184</v>
      </c>
      <c r="C64" s="5">
        <v>4.28</v>
      </c>
      <c r="D64" s="4">
        <v>123</v>
      </c>
      <c r="E64" s="5">
        <v>5.58</v>
      </c>
      <c r="F64" s="4">
        <v>53</v>
      </c>
      <c r="G64" s="5">
        <v>2.58</v>
      </c>
      <c r="H64" s="4">
        <v>0</v>
      </c>
    </row>
    <row r="65" spans="1:8" x14ac:dyDescent="0.2">
      <c r="A65" s="2" t="s">
        <v>92</v>
      </c>
      <c r="B65" s="4">
        <v>154</v>
      </c>
      <c r="C65" s="5">
        <v>3.58</v>
      </c>
      <c r="D65" s="4">
        <v>53</v>
      </c>
      <c r="E65" s="5">
        <v>2.41</v>
      </c>
      <c r="F65" s="4">
        <v>92</v>
      </c>
      <c r="G65" s="5">
        <v>4.4800000000000004</v>
      </c>
      <c r="H65" s="4">
        <v>4</v>
      </c>
    </row>
    <row r="66" spans="1:8" x14ac:dyDescent="0.2">
      <c r="A66" s="1" t="s">
        <v>4</v>
      </c>
      <c r="B66" s="4">
        <v>1543</v>
      </c>
      <c r="C66" s="5">
        <v>100.00999999999998</v>
      </c>
      <c r="D66" s="4">
        <v>690</v>
      </c>
      <c r="E66" s="5">
        <v>99.990000000000009</v>
      </c>
      <c r="F66" s="4">
        <v>822</v>
      </c>
      <c r="G66" s="5">
        <v>99.97999999999999</v>
      </c>
      <c r="H66" s="4">
        <v>8</v>
      </c>
    </row>
    <row r="67" spans="1:8" x14ac:dyDescent="0.2">
      <c r="A67" s="2" t="s">
        <v>78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79</v>
      </c>
      <c r="B68" s="4">
        <v>179</v>
      </c>
      <c r="C68" s="5">
        <v>11.6</v>
      </c>
      <c r="D68" s="4">
        <v>59</v>
      </c>
      <c r="E68" s="5">
        <v>8.5500000000000007</v>
      </c>
      <c r="F68" s="4">
        <v>120</v>
      </c>
      <c r="G68" s="5">
        <v>14.6</v>
      </c>
      <c r="H68" s="4">
        <v>0</v>
      </c>
    </row>
    <row r="69" spans="1:8" x14ac:dyDescent="0.2">
      <c r="A69" s="2" t="s">
        <v>80</v>
      </c>
      <c r="B69" s="4">
        <v>348</v>
      </c>
      <c r="C69" s="5">
        <v>22.55</v>
      </c>
      <c r="D69" s="4">
        <v>108</v>
      </c>
      <c r="E69" s="5">
        <v>15.65</v>
      </c>
      <c r="F69" s="4">
        <v>240</v>
      </c>
      <c r="G69" s="5">
        <v>29.2</v>
      </c>
      <c r="H69" s="4">
        <v>0</v>
      </c>
    </row>
    <row r="70" spans="1:8" x14ac:dyDescent="0.2">
      <c r="A70" s="2" t="s">
        <v>81</v>
      </c>
      <c r="B70" s="4">
        <v>2</v>
      </c>
      <c r="C70" s="5">
        <v>0.13</v>
      </c>
      <c r="D70" s="4">
        <v>0</v>
      </c>
      <c r="E70" s="5">
        <v>0</v>
      </c>
      <c r="F70" s="4">
        <v>2</v>
      </c>
      <c r="G70" s="5">
        <v>0.24</v>
      </c>
      <c r="H70" s="4">
        <v>0</v>
      </c>
    </row>
    <row r="71" spans="1:8" x14ac:dyDescent="0.2">
      <c r="A71" s="2" t="s">
        <v>82</v>
      </c>
      <c r="B71" s="4">
        <v>9</v>
      </c>
      <c r="C71" s="5">
        <v>0.57999999999999996</v>
      </c>
      <c r="D71" s="4">
        <v>0</v>
      </c>
      <c r="E71" s="5">
        <v>0</v>
      </c>
      <c r="F71" s="4">
        <v>9</v>
      </c>
      <c r="G71" s="5">
        <v>1.0900000000000001</v>
      </c>
      <c r="H71" s="4">
        <v>0</v>
      </c>
    </row>
    <row r="72" spans="1:8" x14ac:dyDescent="0.2">
      <c r="A72" s="2" t="s">
        <v>83</v>
      </c>
      <c r="B72" s="4">
        <v>6</v>
      </c>
      <c r="C72" s="5">
        <v>0.39</v>
      </c>
      <c r="D72" s="4">
        <v>2</v>
      </c>
      <c r="E72" s="5">
        <v>0.28999999999999998</v>
      </c>
      <c r="F72" s="4">
        <v>3</v>
      </c>
      <c r="G72" s="5">
        <v>0.36</v>
      </c>
      <c r="H72" s="4">
        <v>1</v>
      </c>
    </row>
    <row r="73" spans="1:8" x14ac:dyDescent="0.2">
      <c r="A73" s="2" t="s">
        <v>84</v>
      </c>
      <c r="B73" s="4">
        <v>330</v>
      </c>
      <c r="C73" s="5">
        <v>21.39</v>
      </c>
      <c r="D73" s="4">
        <v>126</v>
      </c>
      <c r="E73" s="5">
        <v>18.260000000000002</v>
      </c>
      <c r="F73" s="4">
        <v>204</v>
      </c>
      <c r="G73" s="5">
        <v>24.82</v>
      </c>
      <c r="H73" s="4">
        <v>0</v>
      </c>
    </row>
    <row r="74" spans="1:8" x14ac:dyDescent="0.2">
      <c r="A74" s="2" t="s">
        <v>85</v>
      </c>
      <c r="B74" s="4">
        <v>18</v>
      </c>
      <c r="C74" s="5">
        <v>1.17</v>
      </c>
      <c r="D74" s="4">
        <v>3</v>
      </c>
      <c r="E74" s="5">
        <v>0.43</v>
      </c>
      <c r="F74" s="4">
        <v>15</v>
      </c>
      <c r="G74" s="5">
        <v>1.82</v>
      </c>
      <c r="H74" s="4">
        <v>0</v>
      </c>
    </row>
    <row r="75" spans="1:8" x14ac:dyDescent="0.2">
      <c r="A75" s="2" t="s">
        <v>86</v>
      </c>
      <c r="B75" s="4">
        <v>122</v>
      </c>
      <c r="C75" s="5">
        <v>7.91</v>
      </c>
      <c r="D75" s="4">
        <v>47</v>
      </c>
      <c r="E75" s="5">
        <v>6.81</v>
      </c>
      <c r="F75" s="4">
        <v>72</v>
      </c>
      <c r="G75" s="5">
        <v>8.76</v>
      </c>
      <c r="H75" s="4">
        <v>2</v>
      </c>
    </row>
    <row r="76" spans="1:8" x14ac:dyDescent="0.2">
      <c r="A76" s="2" t="s">
        <v>87</v>
      </c>
      <c r="B76" s="4">
        <v>77</v>
      </c>
      <c r="C76" s="5">
        <v>4.99</v>
      </c>
      <c r="D76" s="4">
        <v>44</v>
      </c>
      <c r="E76" s="5">
        <v>6.38</v>
      </c>
      <c r="F76" s="4">
        <v>32</v>
      </c>
      <c r="G76" s="5">
        <v>3.89</v>
      </c>
      <c r="H76" s="4">
        <v>0</v>
      </c>
    </row>
    <row r="77" spans="1:8" x14ac:dyDescent="0.2">
      <c r="A77" s="2" t="s">
        <v>88</v>
      </c>
      <c r="B77" s="4">
        <v>130</v>
      </c>
      <c r="C77" s="5">
        <v>8.43</v>
      </c>
      <c r="D77" s="4">
        <v>93</v>
      </c>
      <c r="E77" s="5">
        <v>13.48</v>
      </c>
      <c r="F77" s="4">
        <v>37</v>
      </c>
      <c r="G77" s="5">
        <v>4.5</v>
      </c>
      <c r="H77" s="4">
        <v>0</v>
      </c>
    </row>
    <row r="78" spans="1:8" x14ac:dyDescent="0.2">
      <c r="A78" s="2" t="s">
        <v>89</v>
      </c>
      <c r="B78" s="4">
        <v>159</v>
      </c>
      <c r="C78" s="5">
        <v>10.3</v>
      </c>
      <c r="D78" s="4">
        <v>131</v>
      </c>
      <c r="E78" s="5">
        <v>18.989999999999998</v>
      </c>
      <c r="F78" s="4">
        <v>28</v>
      </c>
      <c r="G78" s="5">
        <v>3.41</v>
      </c>
      <c r="H78" s="4">
        <v>0</v>
      </c>
    </row>
    <row r="79" spans="1:8" x14ac:dyDescent="0.2">
      <c r="A79" s="2" t="s">
        <v>90</v>
      </c>
      <c r="B79" s="4">
        <v>47</v>
      </c>
      <c r="C79" s="5">
        <v>3.05</v>
      </c>
      <c r="D79" s="4">
        <v>23</v>
      </c>
      <c r="E79" s="5">
        <v>3.33</v>
      </c>
      <c r="F79" s="4">
        <v>15</v>
      </c>
      <c r="G79" s="5">
        <v>1.82</v>
      </c>
      <c r="H79" s="4">
        <v>2</v>
      </c>
    </row>
    <row r="80" spans="1:8" x14ac:dyDescent="0.2">
      <c r="A80" s="2" t="s">
        <v>91</v>
      </c>
      <c r="B80" s="4">
        <v>65</v>
      </c>
      <c r="C80" s="5">
        <v>4.21</v>
      </c>
      <c r="D80" s="4">
        <v>35</v>
      </c>
      <c r="E80" s="5">
        <v>5.07</v>
      </c>
      <c r="F80" s="4">
        <v>18</v>
      </c>
      <c r="G80" s="5">
        <v>2.19</v>
      </c>
      <c r="H80" s="4">
        <v>0</v>
      </c>
    </row>
    <row r="81" spans="1:8" x14ac:dyDescent="0.2">
      <c r="A81" s="2" t="s">
        <v>92</v>
      </c>
      <c r="B81" s="4">
        <v>51</v>
      </c>
      <c r="C81" s="5">
        <v>3.31</v>
      </c>
      <c r="D81" s="4">
        <v>19</v>
      </c>
      <c r="E81" s="5">
        <v>2.75</v>
      </c>
      <c r="F81" s="4">
        <v>27</v>
      </c>
      <c r="G81" s="5">
        <v>3.28</v>
      </c>
      <c r="H81" s="4">
        <v>3</v>
      </c>
    </row>
    <row r="82" spans="1:8" x14ac:dyDescent="0.2">
      <c r="A82" s="1" t="s">
        <v>5</v>
      </c>
      <c r="B82" s="4">
        <v>3569</v>
      </c>
      <c r="C82" s="5">
        <v>100</v>
      </c>
      <c r="D82" s="4">
        <v>2008</v>
      </c>
      <c r="E82" s="5">
        <v>100.01000000000002</v>
      </c>
      <c r="F82" s="4">
        <v>1491</v>
      </c>
      <c r="G82" s="5">
        <v>100.00999999999999</v>
      </c>
      <c r="H82" s="4">
        <v>8</v>
      </c>
    </row>
    <row r="83" spans="1:8" x14ac:dyDescent="0.2">
      <c r="A83" s="2" t="s">
        <v>78</v>
      </c>
      <c r="B83" s="4">
        <v>2</v>
      </c>
      <c r="C83" s="5">
        <v>0.06</v>
      </c>
      <c r="D83" s="4">
        <v>0</v>
      </c>
      <c r="E83" s="5">
        <v>0</v>
      </c>
      <c r="F83" s="4">
        <v>2</v>
      </c>
      <c r="G83" s="5">
        <v>0.13</v>
      </c>
      <c r="H83" s="4">
        <v>0</v>
      </c>
    </row>
    <row r="84" spans="1:8" x14ac:dyDescent="0.2">
      <c r="A84" s="2" t="s">
        <v>79</v>
      </c>
      <c r="B84" s="4">
        <v>438</v>
      </c>
      <c r="C84" s="5">
        <v>12.27</v>
      </c>
      <c r="D84" s="4">
        <v>171</v>
      </c>
      <c r="E84" s="5">
        <v>8.52</v>
      </c>
      <c r="F84" s="4">
        <v>267</v>
      </c>
      <c r="G84" s="5">
        <v>17.91</v>
      </c>
      <c r="H84" s="4">
        <v>0</v>
      </c>
    </row>
    <row r="85" spans="1:8" x14ac:dyDescent="0.2">
      <c r="A85" s="2" t="s">
        <v>80</v>
      </c>
      <c r="B85" s="4">
        <v>347</v>
      </c>
      <c r="C85" s="5">
        <v>9.7200000000000006</v>
      </c>
      <c r="D85" s="4">
        <v>124</v>
      </c>
      <c r="E85" s="5">
        <v>6.18</v>
      </c>
      <c r="F85" s="4">
        <v>223</v>
      </c>
      <c r="G85" s="5">
        <v>14.96</v>
      </c>
      <c r="H85" s="4">
        <v>0</v>
      </c>
    </row>
    <row r="86" spans="1:8" x14ac:dyDescent="0.2">
      <c r="A86" s="2" t="s">
        <v>81</v>
      </c>
      <c r="B86" s="4">
        <v>14</v>
      </c>
      <c r="C86" s="5">
        <v>0.39</v>
      </c>
      <c r="D86" s="4">
        <v>1</v>
      </c>
      <c r="E86" s="5">
        <v>0.05</v>
      </c>
      <c r="F86" s="4">
        <v>13</v>
      </c>
      <c r="G86" s="5">
        <v>0.87</v>
      </c>
      <c r="H86" s="4">
        <v>0</v>
      </c>
    </row>
    <row r="87" spans="1:8" x14ac:dyDescent="0.2">
      <c r="A87" s="2" t="s">
        <v>82</v>
      </c>
      <c r="B87" s="4">
        <v>31</v>
      </c>
      <c r="C87" s="5">
        <v>0.87</v>
      </c>
      <c r="D87" s="4">
        <v>3</v>
      </c>
      <c r="E87" s="5">
        <v>0.15</v>
      </c>
      <c r="F87" s="4">
        <v>26</v>
      </c>
      <c r="G87" s="5">
        <v>1.74</v>
      </c>
      <c r="H87" s="4">
        <v>0</v>
      </c>
    </row>
    <row r="88" spans="1:8" x14ac:dyDescent="0.2">
      <c r="A88" s="2" t="s">
        <v>83</v>
      </c>
      <c r="B88" s="4">
        <v>27</v>
      </c>
      <c r="C88" s="5">
        <v>0.76</v>
      </c>
      <c r="D88" s="4">
        <v>10</v>
      </c>
      <c r="E88" s="5">
        <v>0.5</v>
      </c>
      <c r="F88" s="4">
        <v>16</v>
      </c>
      <c r="G88" s="5">
        <v>1.07</v>
      </c>
      <c r="H88" s="4">
        <v>1</v>
      </c>
    </row>
    <row r="89" spans="1:8" x14ac:dyDescent="0.2">
      <c r="A89" s="2" t="s">
        <v>84</v>
      </c>
      <c r="B89" s="4">
        <v>714</v>
      </c>
      <c r="C89" s="5">
        <v>20.010000000000002</v>
      </c>
      <c r="D89" s="4">
        <v>336</v>
      </c>
      <c r="E89" s="5">
        <v>16.73</v>
      </c>
      <c r="F89" s="4">
        <v>377</v>
      </c>
      <c r="G89" s="5">
        <v>25.29</v>
      </c>
      <c r="H89" s="4">
        <v>1</v>
      </c>
    </row>
    <row r="90" spans="1:8" x14ac:dyDescent="0.2">
      <c r="A90" s="2" t="s">
        <v>85</v>
      </c>
      <c r="B90" s="4">
        <v>31</v>
      </c>
      <c r="C90" s="5">
        <v>0.87</v>
      </c>
      <c r="D90" s="4">
        <v>6</v>
      </c>
      <c r="E90" s="5">
        <v>0.3</v>
      </c>
      <c r="F90" s="4">
        <v>25</v>
      </c>
      <c r="G90" s="5">
        <v>1.68</v>
      </c>
      <c r="H90" s="4">
        <v>0</v>
      </c>
    </row>
    <row r="91" spans="1:8" x14ac:dyDescent="0.2">
      <c r="A91" s="2" t="s">
        <v>86</v>
      </c>
      <c r="B91" s="4">
        <v>427</v>
      </c>
      <c r="C91" s="5">
        <v>11.96</v>
      </c>
      <c r="D91" s="4">
        <v>280</v>
      </c>
      <c r="E91" s="5">
        <v>13.94</v>
      </c>
      <c r="F91" s="4">
        <v>146</v>
      </c>
      <c r="G91" s="5">
        <v>9.7899999999999991</v>
      </c>
      <c r="H91" s="4">
        <v>0</v>
      </c>
    </row>
    <row r="92" spans="1:8" x14ac:dyDescent="0.2">
      <c r="A92" s="2" t="s">
        <v>87</v>
      </c>
      <c r="B92" s="4">
        <v>186</v>
      </c>
      <c r="C92" s="5">
        <v>5.21</v>
      </c>
      <c r="D92" s="4">
        <v>96</v>
      </c>
      <c r="E92" s="5">
        <v>4.78</v>
      </c>
      <c r="F92" s="4">
        <v>83</v>
      </c>
      <c r="G92" s="5">
        <v>5.57</v>
      </c>
      <c r="H92" s="4">
        <v>1</v>
      </c>
    </row>
    <row r="93" spans="1:8" x14ac:dyDescent="0.2">
      <c r="A93" s="2" t="s">
        <v>88</v>
      </c>
      <c r="B93" s="4">
        <v>525</v>
      </c>
      <c r="C93" s="5">
        <v>14.71</v>
      </c>
      <c r="D93" s="4">
        <v>407</v>
      </c>
      <c r="E93" s="5">
        <v>20.27</v>
      </c>
      <c r="F93" s="4">
        <v>115</v>
      </c>
      <c r="G93" s="5">
        <v>7.71</v>
      </c>
      <c r="H93" s="4">
        <v>0</v>
      </c>
    </row>
    <row r="94" spans="1:8" x14ac:dyDescent="0.2">
      <c r="A94" s="2" t="s">
        <v>89</v>
      </c>
      <c r="B94" s="4">
        <v>415</v>
      </c>
      <c r="C94" s="5">
        <v>11.63</v>
      </c>
      <c r="D94" s="4">
        <v>347</v>
      </c>
      <c r="E94" s="5">
        <v>17.28</v>
      </c>
      <c r="F94" s="4">
        <v>66</v>
      </c>
      <c r="G94" s="5">
        <v>4.43</v>
      </c>
      <c r="H94" s="4">
        <v>0</v>
      </c>
    </row>
    <row r="95" spans="1:8" x14ac:dyDescent="0.2">
      <c r="A95" s="2" t="s">
        <v>90</v>
      </c>
      <c r="B95" s="4">
        <v>115</v>
      </c>
      <c r="C95" s="5">
        <v>3.22</v>
      </c>
      <c r="D95" s="4">
        <v>66</v>
      </c>
      <c r="E95" s="5">
        <v>3.29</v>
      </c>
      <c r="F95" s="4">
        <v>23</v>
      </c>
      <c r="G95" s="5">
        <v>1.54</v>
      </c>
      <c r="H95" s="4">
        <v>1</v>
      </c>
    </row>
    <row r="96" spans="1:8" x14ac:dyDescent="0.2">
      <c r="A96" s="2" t="s">
        <v>91</v>
      </c>
      <c r="B96" s="4">
        <v>177</v>
      </c>
      <c r="C96" s="5">
        <v>4.96</v>
      </c>
      <c r="D96" s="4">
        <v>110</v>
      </c>
      <c r="E96" s="5">
        <v>5.48</v>
      </c>
      <c r="F96" s="4">
        <v>46</v>
      </c>
      <c r="G96" s="5">
        <v>3.09</v>
      </c>
      <c r="H96" s="4">
        <v>0</v>
      </c>
    </row>
    <row r="97" spans="1:8" x14ac:dyDescent="0.2">
      <c r="A97" s="2" t="s">
        <v>92</v>
      </c>
      <c r="B97" s="4">
        <v>120</v>
      </c>
      <c r="C97" s="5">
        <v>3.36</v>
      </c>
      <c r="D97" s="4">
        <v>51</v>
      </c>
      <c r="E97" s="5">
        <v>2.54</v>
      </c>
      <c r="F97" s="4">
        <v>63</v>
      </c>
      <c r="G97" s="5">
        <v>4.2300000000000004</v>
      </c>
      <c r="H97" s="4">
        <v>4</v>
      </c>
    </row>
    <row r="98" spans="1:8" x14ac:dyDescent="0.2">
      <c r="A98" s="1" t="s">
        <v>6</v>
      </c>
      <c r="B98" s="4">
        <v>1897</v>
      </c>
      <c r="C98" s="5">
        <v>100.02000000000001</v>
      </c>
      <c r="D98" s="4">
        <v>916</v>
      </c>
      <c r="E98" s="5">
        <v>100</v>
      </c>
      <c r="F98" s="4">
        <v>960</v>
      </c>
      <c r="G98" s="5">
        <v>100.01</v>
      </c>
      <c r="H98" s="4">
        <v>2</v>
      </c>
    </row>
    <row r="99" spans="1:8" x14ac:dyDescent="0.2">
      <c r="A99" s="2" t="s">
        <v>78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79</v>
      </c>
      <c r="B100" s="4">
        <v>234</v>
      </c>
      <c r="C100" s="5">
        <v>12.34</v>
      </c>
      <c r="D100" s="4">
        <v>62</v>
      </c>
      <c r="E100" s="5">
        <v>6.77</v>
      </c>
      <c r="F100" s="4">
        <v>172</v>
      </c>
      <c r="G100" s="5">
        <v>17.920000000000002</v>
      </c>
      <c r="H100" s="4">
        <v>0</v>
      </c>
    </row>
    <row r="101" spans="1:8" x14ac:dyDescent="0.2">
      <c r="A101" s="2" t="s">
        <v>80</v>
      </c>
      <c r="B101" s="4">
        <v>216</v>
      </c>
      <c r="C101" s="5">
        <v>11.39</v>
      </c>
      <c r="D101" s="4">
        <v>57</v>
      </c>
      <c r="E101" s="5">
        <v>6.22</v>
      </c>
      <c r="F101" s="4">
        <v>158</v>
      </c>
      <c r="G101" s="5">
        <v>16.46</v>
      </c>
      <c r="H101" s="4">
        <v>0</v>
      </c>
    </row>
    <row r="102" spans="1:8" x14ac:dyDescent="0.2">
      <c r="A102" s="2" t="s">
        <v>81</v>
      </c>
      <c r="B102" s="4">
        <v>13</v>
      </c>
      <c r="C102" s="5">
        <v>0.69</v>
      </c>
      <c r="D102" s="4">
        <v>0</v>
      </c>
      <c r="E102" s="5">
        <v>0</v>
      </c>
      <c r="F102" s="4">
        <v>13</v>
      </c>
      <c r="G102" s="5">
        <v>1.35</v>
      </c>
      <c r="H102" s="4">
        <v>0</v>
      </c>
    </row>
    <row r="103" spans="1:8" x14ac:dyDescent="0.2">
      <c r="A103" s="2" t="s">
        <v>82</v>
      </c>
      <c r="B103" s="4">
        <v>19</v>
      </c>
      <c r="C103" s="5">
        <v>1</v>
      </c>
      <c r="D103" s="4">
        <v>0</v>
      </c>
      <c r="E103" s="5">
        <v>0</v>
      </c>
      <c r="F103" s="4">
        <v>19</v>
      </c>
      <c r="G103" s="5">
        <v>1.98</v>
      </c>
      <c r="H103" s="4">
        <v>0</v>
      </c>
    </row>
    <row r="104" spans="1:8" x14ac:dyDescent="0.2">
      <c r="A104" s="2" t="s">
        <v>83</v>
      </c>
      <c r="B104" s="4">
        <v>15</v>
      </c>
      <c r="C104" s="5">
        <v>0.79</v>
      </c>
      <c r="D104" s="4">
        <v>3</v>
      </c>
      <c r="E104" s="5">
        <v>0.33</v>
      </c>
      <c r="F104" s="4">
        <v>12</v>
      </c>
      <c r="G104" s="5">
        <v>1.25</v>
      </c>
      <c r="H104" s="4">
        <v>0</v>
      </c>
    </row>
    <row r="105" spans="1:8" x14ac:dyDescent="0.2">
      <c r="A105" s="2" t="s">
        <v>84</v>
      </c>
      <c r="B105" s="4">
        <v>357</v>
      </c>
      <c r="C105" s="5">
        <v>18.82</v>
      </c>
      <c r="D105" s="4">
        <v>124</v>
      </c>
      <c r="E105" s="5">
        <v>13.54</v>
      </c>
      <c r="F105" s="4">
        <v>232</v>
      </c>
      <c r="G105" s="5">
        <v>24.17</v>
      </c>
      <c r="H105" s="4">
        <v>1</v>
      </c>
    </row>
    <row r="106" spans="1:8" x14ac:dyDescent="0.2">
      <c r="A106" s="2" t="s">
        <v>85</v>
      </c>
      <c r="B106" s="4">
        <v>17</v>
      </c>
      <c r="C106" s="5">
        <v>0.9</v>
      </c>
      <c r="D106" s="4">
        <v>5</v>
      </c>
      <c r="E106" s="5">
        <v>0.55000000000000004</v>
      </c>
      <c r="F106" s="4">
        <v>12</v>
      </c>
      <c r="G106" s="5">
        <v>1.25</v>
      </c>
      <c r="H106" s="4">
        <v>0</v>
      </c>
    </row>
    <row r="107" spans="1:8" x14ac:dyDescent="0.2">
      <c r="A107" s="2" t="s">
        <v>86</v>
      </c>
      <c r="B107" s="4">
        <v>301</v>
      </c>
      <c r="C107" s="5">
        <v>15.87</v>
      </c>
      <c r="D107" s="4">
        <v>196</v>
      </c>
      <c r="E107" s="5">
        <v>21.4</v>
      </c>
      <c r="F107" s="4">
        <v>104</v>
      </c>
      <c r="G107" s="5">
        <v>10.83</v>
      </c>
      <c r="H107" s="4">
        <v>0</v>
      </c>
    </row>
    <row r="108" spans="1:8" x14ac:dyDescent="0.2">
      <c r="A108" s="2" t="s">
        <v>87</v>
      </c>
      <c r="B108" s="4">
        <v>105</v>
      </c>
      <c r="C108" s="5">
        <v>5.54</v>
      </c>
      <c r="D108" s="4">
        <v>58</v>
      </c>
      <c r="E108" s="5">
        <v>6.33</v>
      </c>
      <c r="F108" s="4">
        <v>47</v>
      </c>
      <c r="G108" s="5">
        <v>4.9000000000000004</v>
      </c>
      <c r="H108" s="4">
        <v>0</v>
      </c>
    </row>
    <row r="109" spans="1:8" x14ac:dyDescent="0.2">
      <c r="A109" s="2" t="s">
        <v>88</v>
      </c>
      <c r="B109" s="4">
        <v>260</v>
      </c>
      <c r="C109" s="5">
        <v>13.71</v>
      </c>
      <c r="D109" s="4">
        <v>187</v>
      </c>
      <c r="E109" s="5">
        <v>20.41</v>
      </c>
      <c r="F109" s="4">
        <v>73</v>
      </c>
      <c r="G109" s="5">
        <v>7.6</v>
      </c>
      <c r="H109" s="4">
        <v>0</v>
      </c>
    </row>
    <row r="110" spans="1:8" x14ac:dyDescent="0.2">
      <c r="A110" s="2" t="s">
        <v>89</v>
      </c>
      <c r="B110" s="4">
        <v>174</v>
      </c>
      <c r="C110" s="5">
        <v>9.17</v>
      </c>
      <c r="D110" s="4">
        <v>129</v>
      </c>
      <c r="E110" s="5">
        <v>14.08</v>
      </c>
      <c r="F110" s="4">
        <v>43</v>
      </c>
      <c r="G110" s="5">
        <v>4.4800000000000004</v>
      </c>
      <c r="H110" s="4">
        <v>1</v>
      </c>
    </row>
    <row r="111" spans="1:8" x14ac:dyDescent="0.2">
      <c r="A111" s="2" t="s">
        <v>90</v>
      </c>
      <c r="B111" s="4">
        <v>63</v>
      </c>
      <c r="C111" s="5">
        <v>3.32</v>
      </c>
      <c r="D111" s="4">
        <v>36</v>
      </c>
      <c r="E111" s="5">
        <v>3.93</v>
      </c>
      <c r="F111" s="4">
        <v>19</v>
      </c>
      <c r="G111" s="5">
        <v>1.98</v>
      </c>
      <c r="H111" s="4">
        <v>0</v>
      </c>
    </row>
    <row r="112" spans="1:8" x14ac:dyDescent="0.2">
      <c r="A112" s="2" t="s">
        <v>91</v>
      </c>
      <c r="B112" s="4">
        <v>67</v>
      </c>
      <c r="C112" s="5">
        <v>3.53</v>
      </c>
      <c r="D112" s="4">
        <v>43</v>
      </c>
      <c r="E112" s="5">
        <v>4.6900000000000004</v>
      </c>
      <c r="F112" s="4">
        <v>21</v>
      </c>
      <c r="G112" s="5">
        <v>2.19</v>
      </c>
      <c r="H112" s="4">
        <v>0</v>
      </c>
    </row>
    <row r="113" spans="1:8" x14ac:dyDescent="0.2">
      <c r="A113" s="2" t="s">
        <v>92</v>
      </c>
      <c r="B113" s="4">
        <v>56</v>
      </c>
      <c r="C113" s="5">
        <v>2.95</v>
      </c>
      <c r="D113" s="4">
        <v>16</v>
      </c>
      <c r="E113" s="5">
        <v>1.75</v>
      </c>
      <c r="F113" s="4">
        <v>35</v>
      </c>
      <c r="G113" s="5">
        <v>3.65</v>
      </c>
      <c r="H113" s="4">
        <v>0</v>
      </c>
    </row>
    <row r="114" spans="1:8" x14ac:dyDescent="0.2">
      <c r="A114" s="1" t="s">
        <v>7</v>
      </c>
      <c r="B114" s="4">
        <v>1391</v>
      </c>
      <c r="C114" s="5">
        <v>99.990000000000009</v>
      </c>
      <c r="D114" s="4">
        <v>734</v>
      </c>
      <c r="E114" s="5">
        <v>100.01</v>
      </c>
      <c r="F114" s="4">
        <v>639</v>
      </c>
      <c r="G114" s="5">
        <v>100.01999999999998</v>
      </c>
      <c r="H114" s="4">
        <v>2</v>
      </c>
    </row>
    <row r="115" spans="1:8" x14ac:dyDescent="0.2">
      <c r="A115" s="2" t="s">
        <v>78</v>
      </c>
      <c r="B115" s="4">
        <v>1</v>
      </c>
      <c r="C115" s="5">
        <v>7.0000000000000007E-2</v>
      </c>
      <c r="D115" s="4">
        <v>0</v>
      </c>
      <c r="E115" s="5">
        <v>0</v>
      </c>
      <c r="F115" s="4">
        <v>1</v>
      </c>
      <c r="G115" s="5">
        <v>0.16</v>
      </c>
      <c r="H115" s="4">
        <v>0</v>
      </c>
    </row>
    <row r="116" spans="1:8" x14ac:dyDescent="0.2">
      <c r="A116" s="2" t="s">
        <v>79</v>
      </c>
      <c r="B116" s="4">
        <v>184</v>
      </c>
      <c r="C116" s="5">
        <v>13.23</v>
      </c>
      <c r="D116" s="4">
        <v>55</v>
      </c>
      <c r="E116" s="5">
        <v>7.49</v>
      </c>
      <c r="F116" s="4">
        <v>129</v>
      </c>
      <c r="G116" s="5">
        <v>20.190000000000001</v>
      </c>
      <c r="H116" s="4">
        <v>0</v>
      </c>
    </row>
    <row r="117" spans="1:8" x14ac:dyDescent="0.2">
      <c r="A117" s="2" t="s">
        <v>80</v>
      </c>
      <c r="B117" s="4">
        <v>175</v>
      </c>
      <c r="C117" s="5">
        <v>12.58</v>
      </c>
      <c r="D117" s="4">
        <v>49</v>
      </c>
      <c r="E117" s="5">
        <v>6.68</v>
      </c>
      <c r="F117" s="4">
        <v>126</v>
      </c>
      <c r="G117" s="5">
        <v>19.72</v>
      </c>
      <c r="H117" s="4">
        <v>0</v>
      </c>
    </row>
    <row r="118" spans="1:8" x14ac:dyDescent="0.2">
      <c r="A118" s="2" t="s">
        <v>81</v>
      </c>
      <c r="B118" s="4">
        <v>3</v>
      </c>
      <c r="C118" s="5">
        <v>0.22</v>
      </c>
      <c r="D118" s="4">
        <v>0</v>
      </c>
      <c r="E118" s="5">
        <v>0</v>
      </c>
      <c r="F118" s="4">
        <v>3</v>
      </c>
      <c r="G118" s="5">
        <v>0.47</v>
      </c>
      <c r="H118" s="4">
        <v>0</v>
      </c>
    </row>
    <row r="119" spans="1:8" x14ac:dyDescent="0.2">
      <c r="A119" s="2" t="s">
        <v>82</v>
      </c>
      <c r="B119" s="4">
        <v>6</v>
      </c>
      <c r="C119" s="5">
        <v>0.43</v>
      </c>
      <c r="D119" s="4">
        <v>0</v>
      </c>
      <c r="E119" s="5">
        <v>0</v>
      </c>
      <c r="F119" s="4">
        <v>6</v>
      </c>
      <c r="G119" s="5">
        <v>0.94</v>
      </c>
      <c r="H119" s="4">
        <v>0</v>
      </c>
    </row>
    <row r="120" spans="1:8" x14ac:dyDescent="0.2">
      <c r="A120" s="2" t="s">
        <v>83</v>
      </c>
      <c r="B120" s="4">
        <v>8</v>
      </c>
      <c r="C120" s="5">
        <v>0.57999999999999996</v>
      </c>
      <c r="D120" s="4">
        <v>1</v>
      </c>
      <c r="E120" s="5">
        <v>0.14000000000000001</v>
      </c>
      <c r="F120" s="4">
        <v>7</v>
      </c>
      <c r="G120" s="5">
        <v>1.1000000000000001</v>
      </c>
      <c r="H120" s="4">
        <v>0</v>
      </c>
    </row>
    <row r="121" spans="1:8" x14ac:dyDescent="0.2">
      <c r="A121" s="2" t="s">
        <v>84</v>
      </c>
      <c r="B121" s="4">
        <v>312</v>
      </c>
      <c r="C121" s="5">
        <v>22.43</v>
      </c>
      <c r="D121" s="4">
        <v>143</v>
      </c>
      <c r="E121" s="5">
        <v>19.48</v>
      </c>
      <c r="F121" s="4">
        <v>169</v>
      </c>
      <c r="G121" s="5">
        <v>26.45</v>
      </c>
      <c r="H121" s="4">
        <v>0</v>
      </c>
    </row>
    <row r="122" spans="1:8" x14ac:dyDescent="0.2">
      <c r="A122" s="2" t="s">
        <v>85</v>
      </c>
      <c r="B122" s="4">
        <v>5</v>
      </c>
      <c r="C122" s="5">
        <v>0.36</v>
      </c>
      <c r="D122" s="4">
        <v>1</v>
      </c>
      <c r="E122" s="5">
        <v>0.14000000000000001</v>
      </c>
      <c r="F122" s="4">
        <v>4</v>
      </c>
      <c r="G122" s="5">
        <v>0.63</v>
      </c>
      <c r="H122" s="4">
        <v>0</v>
      </c>
    </row>
    <row r="123" spans="1:8" x14ac:dyDescent="0.2">
      <c r="A123" s="2" t="s">
        <v>86</v>
      </c>
      <c r="B123" s="4">
        <v>119</v>
      </c>
      <c r="C123" s="5">
        <v>8.5500000000000007</v>
      </c>
      <c r="D123" s="4">
        <v>54</v>
      </c>
      <c r="E123" s="5">
        <v>7.36</v>
      </c>
      <c r="F123" s="4">
        <v>64</v>
      </c>
      <c r="G123" s="5">
        <v>10.02</v>
      </c>
      <c r="H123" s="4">
        <v>1</v>
      </c>
    </row>
    <row r="124" spans="1:8" x14ac:dyDescent="0.2">
      <c r="A124" s="2" t="s">
        <v>87</v>
      </c>
      <c r="B124" s="4">
        <v>65</v>
      </c>
      <c r="C124" s="5">
        <v>4.67</v>
      </c>
      <c r="D124" s="4">
        <v>37</v>
      </c>
      <c r="E124" s="5">
        <v>5.04</v>
      </c>
      <c r="F124" s="4">
        <v>28</v>
      </c>
      <c r="G124" s="5">
        <v>4.38</v>
      </c>
      <c r="H124" s="4">
        <v>0</v>
      </c>
    </row>
    <row r="125" spans="1:8" x14ac:dyDescent="0.2">
      <c r="A125" s="2" t="s">
        <v>88</v>
      </c>
      <c r="B125" s="4">
        <v>203</v>
      </c>
      <c r="C125" s="5">
        <v>14.59</v>
      </c>
      <c r="D125" s="4">
        <v>175</v>
      </c>
      <c r="E125" s="5">
        <v>23.84</v>
      </c>
      <c r="F125" s="4">
        <v>28</v>
      </c>
      <c r="G125" s="5">
        <v>4.38</v>
      </c>
      <c r="H125" s="4">
        <v>0</v>
      </c>
    </row>
    <row r="126" spans="1:8" x14ac:dyDescent="0.2">
      <c r="A126" s="2" t="s">
        <v>89</v>
      </c>
      <c r="B126" s="4">
        <v>152</v>
      </c>
      <c r="C126" s="5">
        <v>10.93</v>
      </c>
      <c r="D126" s="4">
        <v>126</v>
      </c>
      <c r="E126" s="5">
        <v>17.170000000000002</v>
      </c>
      <c r="F126" s="4">
        <v>26</v>
      </c>
      <c r="G126" s="5">
        <v>4.07</v>
      </c>
      <c r="H126" s="4">
        <v>0</v>
      </c>
    </row>
    <row r="127" spans="1:8" x14ac:dyDescent="0.2">
      <c r="A127" s="2" t="s">
        <v>90</v>
      </c>
      <c r="B127" s="4">
        <v>71</v>
      </c>
      <c r="C127" s="5">
        <v>5.0999999999999996</v>
      </c>
      <c r="D127" s="4">
        <v>43</v>
      </c>
      <c r="E127" s="5">
        <v>5.86</v>
      </c>
      <c r="F127" s="4">
        <v>17</v>
      </c>
      <c r="G127" s="5">
        <v>2.66</v>
      </c>
      <c r="H127" s="4">
        <v>0</v>
      </c>
    </row>
    <row r="128" spans="1:8" x14ac:dyDescent="0.2">
      <c r="A128" s="2" t="s">
        <v>91</v>
      </c>
      <c r="B128" s="4">
        <v>58</v>
      </c>
      <c r="C128" s="5">
        <v>4.17</v>
      </c>
      <c r="D128" s="4">
        <v>37</v>
      </c>
      <c r="E128" s="5">
        <v>5.04</v>
      </c>
      <c r="F128" s="4">
        <v>18</v>
      </c>
      <c r="G128" s="5">
        <v>2.82</v>
      </c>
      <c r="H128" s="4">
        <v>0</v>
      </c>
    </row>
    <row r="129" spans="1:8" x14ac:dyDescent="0.2">
      <c r="A129" s="2" t="s">
        <v>92</v>
      </c>
      <c r="B129" s="4">
        <v>29</v>
      </c>
      <c r="C129" s="5">
        <v>2.08</v>
      </c>
      <c r="D129" s="4">
        <v>13</v>
      </c>
      <c r="E129" s="5">
        <v>1.77</v>
      </c>
      <c r="F129" s="4">
        <v>13</v>
      </c>
      <c r="G129" s="5">
        <v>2.0299999999999998</v>
      </c>
      <c r="H129" s="4">
        <v>1</v>
      </c>
    </row>
    <row r="130" spans="1:8" x14ac:dyDescent="0.2">
      <c r="A130" s="1" t="s">
        <v>8</v>
      </c>
      <c r="B130" s="4">
        <v>1157</v>
      </c>
      <c r="C130" s="5">
        <v>100.00999999999999</v>
      </c>
      <c r="D130" s="4">
        <v>628</v>
      </c>
      <c r="E130" s="5">
        <v>100.00999999999999</v>
      </c>
      <c r="F130" s="4">
        <v>518</v>
      </c>
      <c r="G130" s="5">
        <v>100.00999999999998</v>
      </c>
      <c r="H130" s="4">
        <v>3</v>
      </c>
    </row>
    <row r="131" spans="1:8" x14ac:dyDescent="0.2">
      <c r="A131" s="2" t="s">
        <v>78</v>
      </c>
      <c r="B131" s="4">
        <v>2</v>
      </c>
      <c r="C131" s="5">
        <v>0.17</v>
      </c>
      <c r="D131" s="4">
        <v>0</v>
      </c>
      <c r="E131" s="5">
        <v>0</v>
      </c>
      <c r="F131" s="4">
        <v>2</v>
      </c>
      <c r="G131" s="5">
        <v>0.39</v>
      </c>
      <c r="H131" s="4">
        <v>0</v>
      </c>
    </row>
    <row r="132" spans="1:8" x14ac:dyDescent="0.2">
      <c r="A132" s="2" t="s">
        <v>79</v>
      </c>
      <c r="B132" s="4">
        <v>180</v>
      </c>
      <c r="C132" s="5">
        <v>15.56</v>
      </c>
      <c r="D132" s="4">
        <v>82</v>
      </c>
      <c r="E132" s="5">
        <v>13.06</v>
      </c>
      <c r="F132" s="4">
        <v>98</v>
      </c>
      <c r="G132" s="5">
        <v>18.920000000000002</v>
      </c>
      <c r="H132" s="4">
        <v>0</v>
      </c>
    </row>
    <row r="133" spans="1:8" x14ac:dyDescent="0.2">
      <c r="A133" s="2" t="s">
        <v>80</v>
      </c>
      <c r="B133" s="4">
        <v>126</v>
      </c>
      <c r="C133" s="5">
        <v>10.89</v>
      </c>
      <c r="D133" s="4">
        <v>54</v>
      </c>
      <c r="E133" s="5">
        <v>8.6</v>
      </c>
      <c r="F133" s="4">
        <v>72</v>
      </c>
      <c r="G133" s="5">
        <v>13.9</v>
      </c>
      <c r="H133" s="4">
        <v>0</v>
      </c>
    </row>
    <row r="134" spans="1:8" x14ac:dyDescent="0.2">
      <c r="A134" s="2" t="s">
        <v>81</v>
      </c>
      <c r="B134" s="4">
        <v>3</v>
      </c>
      <c r="C134" s="5">
        <v>0.26</v>
      </c>
      <c r="D134" s="4">
        <v>1</v>
      </c>
      <c r="E134" s="5">
        <v>0.16</v>
      </c>
      <c r="F134" s="4">
        <v>2</v>
      </c>
      <c r="G134" s="5">
        <v>0.39</v>
      </c>
      <c r="H134" s="4">
        <v>0</v>
      </c>
    </row>
    <row r="135" spans="1:8" x14ac:dyDescent="0.2">
      <c r="A135" s="2" t="s">
        <v>82</v>
      </c>
      <c r="B135" s="4">
        <v>11</v>
      </c>
      <c r="C135" s="5">
        <v>0.95</v>
      </c>
      <c r="D135" s="4">
        <v>0</v>
      </c>
      <c r="E135" s="5">
        <v>0</v>
      </c>
      <c r="F135" s="4">
        <v>11</v>
      </c>
      <c r="G135" s="5">
        <v>2.12</v>
      </c>
      <c r="H135" s="4">
        <v>0</v>
      </c>
    </row>
    <row r="136" spans="1:8" x14ac:dyDescent="0.2">
      <c r="A136" s="2" t="s">
        <v>83</v>
      </c>
      <c r="B136" s="4">
        <v>6</v>
      </c>
      <c r="C136" s="5">
        <v>0.52</v>
      </c>
      <c r="D136" s="4">
        <v>1</v>
      </c>
      <c r="E136" s="5">
        <v>0.16</v>
      </c>
      <c r="F136" s="4">
        <v>5</v>
      </c>
      <c r="G136" s="5">
        <v>0.97</v>
      </c>
      <c r="H136" s="4">
        <v>0</v>
      </c>
    </row>
    <row r="137" spans="1:8" x14ac:dyDescent="0.2">
      <c r="A137" s="2" t="s">
        <v>84</v>
      </c>
      <c r="B137" s="4">
        <v>253</v>
      </c>
      <c r="C137" s="5">
        <v>21.87</v>
      </c>
      <c r="D137" s="4">
        <v>111</v>
      </c>
      <c r="E137" s="5">
        <v>17.68</v>
      </c>
      <c r="F137" s="4">
        <v>140</v>
      </c>
      <c r="G137" s="5">
        <v>27.03</v>
      </c>
      <c r="H137" s="4">
        <v>2</v>
      </c>
    </row>
    <row r="138" spans="1:8" x14ac:dyDescent="0.2">
      <c r="A138" s="2" t="s">
        <v>85</v>
      </c>
      <c r="B138" s="4">
        <v>8</v>
      </c>
      <c r="C138" s="5">
        <v>0.69</v>
      </c>
      <c r="D138" s="4">
        <v>2</v>
      </c>
      <c r="E138" s="5">
        <v>0.32</v>
      </c>
      <c r="F138" s="4">
        <v>6</v>
      </c>
      <c r="G138" s="5">
        <v>1.1599999999999999</v>
      </c>
      <c r="H138" s="4">
        <v>0</v>
      </c>
    </row>
    <row r="139" spans="1:8" x14ac:dyDescent="0.2">
      <c r="A139" s="2" t="s">
        <v>86</v>
      </c>
      <c r="B139" s="4">
        <v>96</v>
      </c>
      <c r="C139" s="5">
        <v>8.3000000000000007</v>
      </c>
      <c r="D139" s="4">
        <v>40</v>
      </c>
      <c r="E139" s="5">
        <v>6.37</v>
      </c>
      <c r="F139" s="4">
        <v>56</v>
      </c>
      <c r="G139" s="5">
        <v>10.81</v>
      </c>
      <c r="H139" s="4">
        <v>0</v>
      </c>
    </row>
    <row r="140" spans="1:8" x14ac:dyDescent="0.2">
      <c r="A140" s="2" t="s">
        <v>87</v>
      </c>
      <c r="B140" s="4">
        <v>62</v>
      </c>
      <c r="C140" s="5">
        <v>5.36</v>
      </c>
      <c r="D140" s="4">
        <v>38</v>
      </c>
      <c r="E140" s="5">
        <v>6.05</v>
      </c>
      <c r="F140" s="4">
        <v>24</v>
      </c>
      <c r="G140" s="5">
        <v>4.63</v>
      </c>
      <c r="H140" s="4">
        <v>0</v>
      </c>
    </row>
    <row r="141" spans="1:8" x14ac:dyDescent="0.2">
      <c r="A141" s="2" t="s">
        <v>88</v>
      </c>
      <c r="B141" s="4">
        <v>168</v>
      </c>
      <c r="C141" s="5">
        <v>14.52</v>
      </c>
      <c r="D141" s="4">
        <v>140</v>
      </c>
      <c r="E141" s="5">
        <v>22.29</v>
      </c>
      <c r="F141" s="4">
        <v>28</v>
      </c>
      <c r="G141" s="5">
        <v>5.41</v>
      </c>
      <c r="H141" s="4">
        <v>0</v>
      </c>
    </row>
    <row r="142" spans="1:8" x14ac:dyDescent="0.2">
      <c r="A142" s="2" t="s">
        <v>89</v>
      </c>
      <c r="B142" s="4">
        <v>130</v>
      </c>
      <c r="C142" s="5">
        <v>11.24</v>
      </c>
      <c r="D142" s="4">
        <v>102</v>
      </c>
      <c r="E142" s="5">
        <v>16.239999999999998</v>
      </c>
      <c r="F142" s="4">
        <v>27</v>
      </c>
      <c r="G142" s="5">
        <v>5.21</v>
      </c>
      <c r="H142" s="4">
        <v>1</v>
      </c>
    </row>
    <row r="143" spans="1:8" x14ac:dyDescent="0.2">
      <c r="A143" s="2" t="s">
        <v>90</v>
      </c>
      <c r="B143" s="4">
        <v>30</v>
      </c>
      <c r="C143" s="5">
        <v>2.59</v>
      </c>
      <c r="D143" s="4">
        <v>14</v>
      </c>
      <c r="E143" s="5">
        <v>2.23</v>
      </c>
      <c r="F143" s="4">
        <v>12</v>
      </c>
      <c r="G143" s="5">
        <v>2.3199999999999998</v>
      </c>
      <c r="H143" s="4">
        <v>0</v>
      </c>
    </row>
    <row r="144" spans="1:8" x14ac:dyDescent="0.2">
      <c r="A144" s="2" t="s">
        <v>91</v>
      </c>
      <c r="B144" s="4">
        <v>45</v>
      </c>
      <c r="C144" s="5">
        <v>3.89</v>
      </c>
      <c r="D144" s="4">
        <v>27</v>
      </c>
      <c r="E144" s="5">
        <v>4.3</v>
      </c>
      <c r="F144" s="4">
        <v>14</v>
      </c>
      <c r="G144" s="5">
        <v>2.7</v>
      </c>
      <c r="H144" s="4">
        <v>0</v>
      </c>
    </row>
    <row r="145" spans="1:8" x14ac:dyDescent="0.2">
      <c r="A145" s="2" t="s">
        <v>92</v>
      </c>
      <c r="B145" s="4">
        <v>37</v>
      </c>
      <c r="C145" s="5">
        <v>3.2</v>
      </c>
      <c r="D145" s="4">
        <v>16</v>
      </c>
      <c r="E145" s="5">
        <v>2.5499999999999998</v>
      </c>
      <c r="F145" s="4">
        <v>21</v>
      </c>
      <c r="G145" s="5">
        <v>4.05</v>
      </c>
      <c r="H145" s="4">
        <v>0</v>
      </c>
    </row>
    <row r="146" spans="1:8" x14ac:dyDescent="0.2">
      <c r="A146" s="1" t="s">
        <v>9</v>
      </c>
      <c r="B146" s="4">
        <v>1909</v>
      </c>
      <c r="C146" s="5">
        <v>99.980000000000018</v>
      </c>
      <c r="D146" s="4">
        <v>970</v>
      </c>
      <c r="E146" s="5">
        <v>100</v>
      </c>
      <c r="F146" s="4">
        <v>911</v>
      </c>
      <c r="G146" s="5">
        <v>100.02000000000002</v>
      </c>
      <c r="H146" s="4">
        <v>6</v>
      </c>
    </row>
    <row r="147" spans="1:8" x14ac:dyDescent="0.2">
      <c r="A147" s="2" t="s">
        <v>78</v>
      </c>
      <c r="B147" s="4">
        <v>3</v>
      </c>
      <c r="C147" s="5">
        <v>0.16</v>
      </c>
      <c r="D147" s="4">
        <v>0</v>
      </c>
      <c r="E147" s="5">
        <v>0</v>
      </c>
      <c r="F147" s="4">
        <v>3</v>
      </c>
      <c r="G147" s="5">
        <v>0.33</v>
      </c>
      <c r="H147" s="4">
        <v>0</v>
      </c>
    </row>
    <row r="148" spans="1:8" x14ac:dyDescent="0.2">
      <c r="A148" s="2" t="s">
        <v>79</v>
      </c>
      <c r="B148" s="4">
        <v>269</v>
      </c>
      <c r="C148" s="5">
        <v>14.09</v>
      </c>
      <c r="D148" s="4">
        <v>87</v>
      </c>
      <c r="E148" s="5">
        <v>8.9700000000000006</v>
      </c>
      <c r="F148" s="4">
        <v>182</v>
      </c>
      <c r="G148" s="5">
        <v>19.98</v>
      </c>
      <c r="H148" s="4">
        <v>0</v>
      </c>
    </row>
    <row r="149" spans="1:8" x14ac:dyDescent="0.2">
      <c r="A149" s="2" t="s">
        <v>80</v>
      </c>
      <c r="B149" s="4">
        <v>199</v>
      </c>
      <c r="C149" s="5">
        <v>10.42</v>
      </c>
      <c r="D149" s="4">
        <v>67</v>
      </c>
      <c r="E149" s="5">
        <v>6.91</v>
      </c>
      <c r="F149" s="4">
        <v>132</v>
      </c>
      <c r="G149" s="5">
        <v>14.49</v>
      </c>
      <c r="H149" s="4">
        <v>0</v>
      </c>
    </row>
    <row r="150" spans="1:8" x14ac:dyDescent="0.2">
      <c r="A150" s="2" t="s">
        <v>81</v>
      </c>
      <c r="B150" s="4">
        <v>3</v>
      </c>
      <c r="C150" s="5">
        <v>0.16</v>
      </c>
      <c r="D150" s="4">
        <v>0</v>
      </c>
      <c r="E150" s="5">
        <v>0</v>
      </c>
      <c r="F150" s="4">
        <v>3</v>
      </c>
      <c r="G150" s="5">
        <v>0.33</v>
      </c>
      <c r="H150" s="4">
        <v>0</v>
      </c>
    </row>
    <row r="151" spans="1:8" x14ac:dyDescent="0.2">
      <c r="A151" s="2" t="s">
        <v>82</v>
      </c>
      <c r="B151" s="4">
        <v>23</v>
      </c>
      <c r="C151" s="5">
        <v>1.2</v>
      </c>
      <c r="D151" s="4">
        <v>2</v>
      </c>
      <c r="E151" s="5">
        <v>0.21</v>
      </c>
      <c r="F151" s="4">
        <v>21</v>
      </c>
      <c r="G151" s="5">
        <v>2.31</v>
      </c>
      <c r="H151" s="4">
        <v>0</v>
      </c>
    </row>
    <row r="152" spans="1:8" x14ac:dyDescent="0.2">
      <c r="A152" s="2" t="s">
        <v>83</v>
      </c>
      <c r="B152" s="4">
        <v>10</v>
      </c>
      <c r="C152" s="5">
        <v>0.52</v>
      </c>
      <c r="D152" s="4">
        <v>0</v>
      </c>
      <c r="E152" s="5">
        <v>0</v>
      </c>
      <c r="F152" s="4">
        <v>10</v>
      </c>
      <c r="G152" s="5">
        <v>1.1000000000000001</v>
      </c>
      <c r="H152" s="4">
        <v>0</v>
      </c>
    </row>
    <row r="153" spans="1:8" x14ac:dyDescent="0.2">
      <c r="A153" s="2" t="s">
        <v>84</v>
      </c>
      <c r="B153" s="4">
        <v>433</v>
      </c>
      <c r="C153" s="5">
        <v>22.68</v>
      </c>
      <c r="D153" s="4">
        <v>181</v>
      </c>
      <c r="E153" s="5">
        <v>18.66</v>
      </c>
      <c r="F153" s="4">
        <v>251</v>
      </c>
      <c r="G153" s="5">
        <v>27.55</v>
      </c>
      <c r="H153" s="4">
        <v>1</v>
      </c>
    </row>
    <row r="154" spans="1:8" x14ac:dyDescent="0.2">
      <c r="A154" s="2" t="s">
        <v>85</v>
      </c>
      <c r="B154" s="4">
        <v>16</v>
      </c>
      <c r="C154" s="5">
        <v>0.84</v>
      </c>
      <c r="D154" s="4">
        <v>1</v>
      </c>
      <c r="E154" s="5">
        <v>0.1</v>
      </c>
      <c r="F154" s="4">
        <v>15</v>
      </c>
      <c r="G154" s="5">
        <v>1.65</v>
      </c>
      <c r="H154" s="4">
        <v>0</v>
      </c>
    </row>
    <row r="155" spans="1:8" x14ac:dyDescent="0.2">
      <c r="A155" s="2" t="s">
        <v>86</v>
      </c>
      <c r="B155" s="4">
        <v>117</v>
      </c>
      <c r="C155" s="5">
        <v>6.13</v>
      </c>
      <c r="D155" s="4">
        <v>55</v>
      </c>
      <c r="E155" s="5">
        <v>5.67</v>
      </c>
      <c r="F155" s="4">
        <v>61</v>
      </c>
      <c r="G155" s="5">
        <v>6.7</v>
      </c>
      <c r="H155" s="4">
        <v>0</v>
      </c>
    </row>
    <row r="156" spans="1:8" x14ac:dyDescent="0.2">
      <c r="A156" s="2" t="s">
        <v>87</v>
      </c>
      <c r="B156" s="4">
        <v>94</v>
      </c>
      <c r="C156" s="5">
        <v>4.92</v>
      </c>
      <c r="D156" s="4">
        <v>50</v>
      </c>
      <c r="E156" s="5">
        <v>5.15</v>
      </c>
      <c r="F156" s="4">
        <v>42</v>
      </c>
      <c r="G156" s="5">
        <v>4.6100000000000003</v>
      </c>
      <c r="H156" s="4">
        <v>0</v>
      </c>
    </row>
    <row r="157" spans="1:8" x14ac:dyDescent="0.2">
      <c r="A157" s="2" t="s">
        <v>88</v>
      </c>
      <c r="B157" s="4">
        <v>283</v>
      </c>
      <c r="C157" s="5">
        <v>14.82</v>
      </c>
      <c r="D157" s="4">
        <v>214</v>
      </c>
      <c r="E157" s="5">
        <v>22.06</v>
      </c>
      <c r="F157" s="4">
        <v>68</v>
      </c>
      <c r="G157" s="5">
        <v>7.46</v>
      </c>
      <c r="H157" s="4">
        <v>0</v>
      </c>
    </row>
    <row r="158" spans="1:8" x14ac:dyDescent="0.2">
      <c r="A158" s="2" t="s">
        <v>89</v>
      </c>
      <c r="B158" s="4">
        <v>254</v>
      </c>
      <c r="C158" s="5">
        <v>13.31</v>
      </c>
      <c r="D158" s="4">
        <v>196</v>
      </c>
      <c r="E158" s="5">
        <v>20.21</v>
      </c>
      <c r="F158" s="4">
        <v>57</v>
      </c>
      <c r="G158" s="5">
        <v>6.26</v>
      </c>
      <c r="H158" s="4">
        <v>1</v>
      </c>
    </row>
    <row r="159" spans="1:8" x14ac:dyDescent="0.2">
      <c r="A159" s="2" t="s">
        <v>90</v>
      </c>
      <c r="B159" s="4">
        <v>71</v>
      </c>
      <c r="C159" s="5">
        <v>3.72</v>
      </c>
      <c r="D159" s="4">
        <v>38</v>
      </c>
      <c r="E159" s="5">
        <v>3.92</v>
      </c>
      <c r="F159" s="4">
        <v>17</v>
      </c>
      <c r="G159" s="5">
        <v>1.87</v>
      </c>
      <c r="H159" s="4">
        <v>3</v>
      </c>
    </row>
    <row r="160" spans="1:8" x14ac:dyDescent="0.2">
      <c r="A160" s="2" t="s">
        <v>91</v>
      </c>
      <c r="B160" s="4">
        <v>69</v>
      </c>
      <c r="C160" s="5">
        <v>3.61</v>
      </c>
      <c r="D160" s="4">
        <v>50</v>
      </c>
      <c r="E160" s="5">
        <v>5.15</v>
      </c>
      <c r="F160" s="4">
        <v>15</v>
      </c>
      <c r="G160" s="5">
        <v>1.65</v>
      </c>
      <c r="H160" s="4">
        <v>0</v>
      </c>
    </row>
    <row r="161" spans="1:8" x14ac:dyDescent="0.2">
      <c r="A161" s="2" t="s">
        <v>92</v>
      </c>
      <c r="B161" s="4">
        <v>65</v>
      </c>
      <c r="C161" s="5">
        <v>3.4</v>
      </c>
      <c r="D161" s="4">
        <v>29</v>
      </c>
      <c r="E161" s="5">
        <v>2.99</v>
      </c>
      <c r="F161" s="4">
        <v>34</v>
      </c>
      <c r="G161" s="5">
        <v>3.73</v>
      </c>
      <c r="H161" s="4">
        <v>1</v>
      </c>
    </row>
    <row r="162" spans="1:8" x14ac:dyDescent="0.2">
      <c r="A162" s="1" t="s">
        <v>10</v>
      </c>
      <c r="B162" s="4">
        <v>1024</v>
      </c>
      <c r="C162" s="5">
        <v>99.990000000000009</v>
      </c>
      <c r="D162" s="4">
        <v>572</v>
      </c>
      <c r="E162" s="5">
        <v>99.97</v>
      </c>
      <c r="F162" s="4">
        <v>442</v>
      </c>
      <c r="G162" s="5">
        <v>100.00000000000001</v>
      </c>
      <c r="H162" s="4">
        <v>1</v>
      </c>
    </row>
    <row r="163" spans="1:8" x14ac:dyDescent="0.2">
      <c r="A163" s="2" t="s">
        <v>78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79</v>
      </c>
      <c r="B164" s="4">
        <v>122</v>
      </c>
      <c r="C164" s="5">
        <v>11.91</v>
      </c>
      <c r="D164" s="4">
        <v>46</v>
      </c>
      <c r="E164" s="5">
        <v>8.0399999999999991</v>
      </c>
      <c r="F164" s="4">
        <v>76</v>
      </c>
      <c r="G164" s="5">
        <v>17.190000000000001</v>
      </c>
      <c r="H164" s="4">
        <v>0</v>
      </c>
    </row>
    <row r="165" spans="1:8" x14ac:dyDescent="0.2">
      <c r="A165" s="2" t="s">
        <v>80</v>
      </c>
      <c r="B165" s="4">
        <v>93</v>
      </c>
      <c r="C165" s="5">
        <v>9.08</v>
      </c>
      <c r="D165" s="4">
        <v>30</v>
      </c>
      <c r="E165" s="5">
        <v>5.24</v>
      </c>
      <c r="F165" s="4">
        <v>63</v>
      </c>
      <c r="G165" s="5">
        <v>14.25</v>
      </c>
      <c r="H165" s="4">
        <v>0</v>
      </c>
    </row>
    <row r="166" spans="1:8" x14ac:dyDescent="0.2">
      <c r="A166" s="2" t="s">
        <v>81</v>
      </c>
      <c r="B166" s="4">
        <v>6</v>
      </c>
      <c r="C166" s="5">
        <v>0.59</v>
      </c>
      <c r="D166" s="4">
        <v>1</v>
      </c>
      <c r="E166" s="5">
        <v>0.17</v>
      </c>
      <c r="F166" s="4">
        <v>4</v>
      </c>
      <c r="G166" s="5">
        <v>0.9</v>
      </c>
      <c r="H166" s="4">
        <v>0</v>
      </c>
    </row>
    <row r="167" spans="1:8" x14ac:dyDescent="0.2">
      <c r="A167" s="2" t="s">
        <v>82</v>
      </c>
      <c r="B167" s="4">
        <v>7</v>
      </c>
      <c r="C167" s="5">
        <v>0.68</v>
      </c>
      <c r="D167" s="4">
        <v>1</v>
      </c>
      <c r="E167" s="5">
        <v>0.17</v>
      </c>
      <c r="F167" s="4">
        <v>6</v>
      </c>
      <c r="G167" s="5">
        <v>1.36</v>
      </c>
      <c r="H167" s="4">
        <v>0</v>
      </c>
    </row>
    <row r="168" spans="1:8" x14ac:dyDescent="0.2">
      <c r="A168" s="2" t="s">
        <v>83</v>
      </c>
      <c r="B168" s="4">
        <v>4</v>
      </c>
      <c r="C168" s="5">
        <v>0.39</v>
      </c>
      <c r="D168" s="4">
        <v>2</v>
      </c>
      <c r="E168" s="5">
        <v>0.35</v>
      </c>
      <c r="F168" s="4">
        <v>2</v>
      </c>
      <c r="G168" s="5">
        <v>0.45</v>
      </c>
      <c r="H168" s="4">
        <v>0</v>
      </c>
    </row>
    <row r="169" spans="1:8" x14ac:dyDescent="0.2">
      <c r="A169" s="2" t="s">
        <v>84</v>
      </c>
      <c r="B169" s="4">
        <v>222</v>
      </c>
      <c r="C169" s="5">
        <v>21.68</v>
      </c>
      <c r="D169" s="4">
        <v>96</v>
      </c>
      <c r="E169" s="5">
        <v>16.78</v>
      </c>
      <c r="F169" s="4">
        <v>126</v>
      </c>
      <c r="G169" s="5">
        <v>28.51</v>
      </c>
      <c r="H169" s="4">
        <v>0</v>
      </c>
    </row>
    <row r="170" spans="1:8" x14ac:dyDescent="0.2">
      <c r="A170" s="2" t="s">
        <v>85</v>
      </c>
      <c r="B170" s="4">
        <v>16</v>
      </c>
      <c r="C170" s="5">
        <v>1.56</v>
      </c>
      <c r="D170" s="4">
        <v>7</v>
      </c>
      <c r="E170" s="5">
        <v>1.22</v>
      </c>
      <c r="F170" s="4">
        <v>9</v>
      </c>
      <c r="G170" s="5">
        <v>2.04</v>
      </c>
      <c r="H170" s="4">
        <v>0</v>
      </c>
    </row>
    <row r="171" spans="1:8" x14ac:dyDescent="0.2">
      <c r="A171" s="2" t="s">
        <v>86</v>
      </c>
      <c r="B171" s="4">
        <v>102</v>
      </c>
      <c r="C171" s="5">
        <v>9.9600000000000009</v>
      </c>
      <c r="D171" s="4">
        <v>69</v>
      </c>
      <c r="E171" s="5">
        <v>12.06</v>
      </c>
      <c r="F171" s="4">
        <v>33</v>
      </c>
      <c r="G171" s="5">
        <v>7.47</v>
      </c>
      <c r="H171" s="4">
        <v>0</v>
      </c>
    </row>
    <row r="172" spans="1:8" x14ac:dyDescent="0.2">
      <c r="A172" s="2" t="s">
        <v>87</v>
      </c>
      <c r="B172" s="4">
        <v>51</v>
      </c>
      <c r="C172" s="5">
        <v>4.9800000000000004</v>
      </c>
      <c r="D172" s="4">
        <v>29</v>
      </c>
      <c r="E172" s="5">
        <v>5.07</v>
      </c>
      <c r="F172" s="4">
        <v>21</v>
      </c>
      <c r="G172" s="5">
        <v>4.75</v>
      </c>
      <c r="H172" s="4">
        <v>0</v>
      </c>
    </row>
    <row r="173" spans="1:8" x14ac:dyDescent="0.2">
      <c r="A173" s="2" t="s">
        <v>88</v>
      </c>
      <c r="B173" s="4">
        <v>150</v>
      </c>
      <c r="C173" s="5">
        <v>14.65</v>
      </c>
      <c r="D173" s="4">
        <v>111</v>
      </c>
      <c r="E173" s="5">
        <v>19.41</v>
      </c>
      <c r="F173" s="4">
        <v>38</v>
      </c>
      <c r="G173" s="5">
        <v>8.6</v>
      </c>
      <c r="H173" s="4">
        <v>0</v>
      </c>
    </row>
    <row r="174" spans="1:8" x14ac:dyDescent="0.2">
      <c r="A174" s="2" t="s">
        <v>89</v>
      </c>
      <c r="B174" s="4">
        <v>130</v>
      </c>
      <c r="C174" s="5">
        <v>12.7</v>
      </c>
      <c r="D174" s="4">
        <v>106</v>
      </c>
      <c r="E174" s="5">
        <v>18.53</v>
      </c>
      <c r="F174" s="4">
        <v>23</v>
      </c>
      <c r="G174" s="5">
        <v>5.2</v>
      </c>
      <c r="H174" s="4">
        <v>0</v>
      </c>
    </row>
    <row r="175" spans="1:8" x14ac:dyDescent="0.2">
      <c r="A175" s="2" t="s">
        <v>90</v>
      </c>
      <c r="B175" s="4">
        <v>43</v>
      </c>
      <c r="C175" s="5">
        <v>4.2</v>
      </c>
      <c r="D175" s="4">
        <v>32</v>
      </c>
      <c r="E175" s="5">
        <v>5.59</v>
      </c>
      <c r="F175" s="4">
        <v>8</v>
      </c>
      <c r="G175" s="5">
        <v>1.81</v>
      </c>
      <c r="H175" s="4">
        <v>0</v>
      </c>
    </row>
    <row r="176" spans="1:8" x14ac:dyDescent="0.2">
      <c r="A176" s="2" t="s">
        <v>91</v>
      </c>
      <c r="B176" s="4">
        <v>50</v>
      </c>
      <c r="C176" s="5">
        <v>4.88</v>
      </c>
      <c r="D176" s="4">
        <v>33</v>
      </c>
      <c r="E176" s="5">
        <v>5.77</v>
      </c>
      <c r="F176" s="4">
        <v>17</v>
      </c>
      <c r="G176" s="5">
        <v>3.85</v>
      </c>
      <c r="H176" s="4">
        <v>0</v>
      </c>
    </row>
    <row r="177" spans="1:8" x14ac:dyDescent="0.2">
      <c r="A177" s="2" t="s">
        <v>92</v>
      </c>
      <c r="B177" s="4">
        <v>28</v>
      </c>
      <c r="C177" s="5">
        <v>2.73</v>
      </c>
      <c r="D177" s="4">
        <v>9</v>
      </c>
      <c r="E177" s="5">
        <v>1.57</v>
      </c>
      <c r="F177" s="4">
        <v>16</v>
      </c>
      <c r="G177" s="5">
        <v>3.62</v>
      </c>
      <c r="H177" s="4">
        <v>1</v>
      </c>
    </row>
    <row r="178" spans="1:8" x14ac:dyDescent="0.2">
      <c r="A178" s="1" t="s">
        <v>11</v>
      </c>
      <c r="B178" s="4">
        <v>1208</v>
      </c>
      <c r="C178" s="5">
        <v>100.01</v>
      </c>
      <c r="D178" s="4">
        <v>642</v>
      </c>
      <c r="E178" s="5">
        <v>100.02</v>
      </c>
      <c r="F178" s="4">
        <v>551</v>
      </c>
      <c r="G178" s="5">
        <v>100.00000000000001</v>
      </c>
      <c r="H178" s="4">
        <v>0</v>
      </c>
    </row>
    <row r="179" spans="1:8" x14ac:dyDescent="0.2">
      <c r="A179" s="2" t="s">
        <v>78</v>
      </c>
      <c r="B179" s="4">
        <v>1</v>
      </c>
      <c r="C179" s="5">
        <v>0.08</v>
      </c>
      <c r="D179" s="4">
        <v>0</v>
      </c>
      <c r="E179" s="5">
        <v>0</v>
      </c>
      <c r="F179" s="4">
        <v>1</v>
      </c>
      <c r="G179" s="5">
        <v>0.18</v>
      </c>
      <c r="H179" s="4">
        <v>0</v>
      </c>
    </row>
    <row r="180" spans="1:8" x14ac:dyDescent="0.2">
      <c r="A180" s="2" t="s">
        <v>79</v>
      </c>
      <c r="B180" s="4">
        <v>189</v>
      </c>
      <c r="C180" s="5">
        <v>15.65</v>
      </c>
      <c r="D180" s="4">
        <v>67</v>
      </c>
      <c r="E180" s="5">
        <v>10.44</v>
      </c>
      <c r="F180" s="4">
        <v>122</v>
      </c>
      <c r="G180" s="5">
        <v>22.14</v>
      </c>
      <c r="H180" s="4">
        <v>0</v>
      </c>
    </row>
    <row r="181" spans="1:8" x14ac:dyDescent="0.2">
      <c r="A181" s="2" t="s">
        <v>80</v>
      </c>
      <c r="B181" s="4">
        <v>121</v>
      </c>
      <c r="C181" s="5">
        <v>10.02</v>
      </c>
      <c r="D181" s="4">
        <v>48</v>
      </c>
      <c r="E181" s="5">
        <v>7.48</v>
      </c>
      <c r="F181" s="4">
        <v>73</v>
      </c>
      <c r="G181" s="5">
        <v>13.25</v>
      </c>
      <c r="H181" s="4">
        <v>0</v>
      </c>
    </row>
    <row r="182" spans="1:8" x14ac:dyDescent="0.2">
      <c r="A182" s="2" t="s">
        <v>81</v>
      </c>
      <c r="B182" s="4">
        <v>1</v>
      </c>
      <c r="C182" s="5">
        <v>0.08</v>
      </c>
      <c r="D182" s="4">
        <v>0</v>
      </c>
      <c r="E182" s="5">
        <v>0</v>
      </c>
      <c r="F182" s="4">
        <v>1</v>
      </c>
      <c r="G182" s="5">
        <v>0.18</v>
      </c>
      <c r="H182" s="4">
        <v>0</v>
      </c>
    </row>
    <row r="183" spans="1:8" x14ac:dyDescent="0.2">
      <c r="A183" s="2" t="s">
        <v>82</v>
      </c>
      <c r="B183" s="4">
        <v>3</v>
      </c>
      <c r="C183" s="5">
        <v>0.25</v>
      </c>
      <c r="D183" s="4">
        <v>1</v>
      </c>
      <c r="E183" s="5">
        <v>0.16</v>
      </c>
      <c r="F183" s="4">
        <v>2</v>
      </c>
      <c r="G183" s="5">
        <v>0.36</v>
      </c>
      <c r="H183" s="4">
        <v>0</v>
      </c>
    </row>
    <row r="184" spans="1:8" x14ac:dyDescent="0.2">
      <c r="A184" s="2" t="s">
        <v>83</v>
      </c>
      <c r="B184" s="4">
        <v>7</v>
      </c>
      <c r="C184" s="5">
        <v>0.57999999999999996</v>
      </c>
      <c r="D184" s="4">
        <v>1</v>
      </c>
      <c r="E184" s="5">
        <v>0.16</v>
      </c>
      <c r="F184" s="4">
        <v>6</v>
      </c>
      <c r="G184" s="5">
        <v>1.0900000000000001</v>
      </c>
      <c r="H184" s="4">
        <v>0</v>
      </c>
    </row>
    <row r="185" spans="1:8" x14ac:dyDescent="0.2">
      <c r="A185" s="2" t="s">
        <v>84</v>
      </c>
      <c r="B185" s="4">
        <v>329</v>
      </c>
      <c r="C185" s="5">
        <v>27.24</v>
      </c>
      <c r="D185" s="4">
        <v>149</v>
      </c>
      <c r="E185" s="5">
        <v>23.21</v>
      </c>
      <c r="F185" s="4">
        <v>180</v>
      </c>
      <c r="G185" s="5">
        <v>32.67</v>
      </c>
      <c r="H185" s="4">
        <v>0</v>
      </c>
    </row>
    <row r="186" spans="1:8" x14ac:dyDescent="0.2">
      <c r="A186" s="2" t="s">
        <v>85</v>
      </c>
      <c r="B186" s="4">
        <v>11</v>
      </c>
      <c r="C186" s="5">
        <v>0.91</v>
      </c>
      <c r="D186" s="4">
        <v>3</v>
      </c>
      <c r="E186" s="5">
        <v>0.47</v>
      </c>
      <c r="F186" s="4">
        <v>8</v>
      </c>
      <c r="G186" s="5">
        <v>1.45</v>
      </c>
      <c r="H186" s="4">
        <v>0</v>
      </c>
    </row>
    <row r="187" spans="1:8" x14ac:dyDescent="0.2">
      <c r="A187" s="2" t="s">
        <v>86</v>
      </c>
      <c r="B187" s="4">
        <v>89</v>
      </c>
      <c r="C187" s="5">
        <v>7.37</v>
      </c>
      <c r="D187" s="4">
        <v>41</v>
      </c>
      <c r="E187" s="5">
        <v>6.39</v>
      </c>
      <c r="F187" s="4">
        <v>48</v>
      </c>
      <c r="G187" s="5">
        <v>8.7100000000000009</v>
      </c>
      <c r="H187" s="4">
        <v>0</v>
      </c>
    </row>
    <row r="188" spans="1:8" x14ac:dyDescent="0.2">
      <c r="A188" s="2" t="s">
        <v>87</v>
      </c>
      <c r="B188" s="4">
        <v>61</v>
      </c>
      <c r="C188" s="5">
        <v>5.05</v>
      </c>
      <c r="D188" s="4">
        <v>35</v>
      </c>
      <c r="E188" s="5">
        <v>5.45</v>
      </c>
      <c r="F188" s="4">
        <v>26</v>
      </c>
      <c r="G188" s="5">
        <v>4.72</v>
      </c>
      <c r="H188" s="4">
        <v>0</v>
      </c>
    </row>
    <row r="189" spans="1:8" x14ac:dyDescent="0.2">
      <c r="A189" s="2" t="s">
        <v>88</v>
      </c>
      <c r="B189" s="4">
        <v>124</v>
      </c>
      <c r="C189" s="5">
        <v>10.26</v>
      </c>
      <c r="D189" s="4">
        <v>110</v>
      </c>
      <c r="E189" s="5">
        <v>17.13</v>
      </c>
      <c r="F189" s="4">
        <v>12</v>
      </c>
      <c r="G189" s="5">
        <v>2.1800000000000002</v>
      </c>
      <c r="H189" s="4">
        <v>0</v>
      </c>
    </row>
    <row r="190" spans="1:8" x14ac:dyDescent="0.2">
      <c r="A190" s="2" t="s">
        <v>89</v>
      </c>
      <c r="B190" s="4">
        <v>137</v>
      </c>
      <c r="C190" s="5">
        <v>11.34</v>
      </c>
      <c r="D190" s="4">
        <v>112</v>
      </c>
      <c r="E190" s="5">
        <v>17.45</v>
      </c>
      <c r="F190" s="4">
        <v>25</v>
      </c>
      <c r="G190" s="5">
        <v>4.54</v>
      </c>
      <c r="H190" s="4">
        <v>0</v>
      </c>
    </row>
    <row r="191" spans="1:8" x14ac:dyDescent="0.2">
      <c r="A191" s="2" t="s">
        <v>90</v>
      </c>
      <c r="B191" s="4">
        <v>40</v>
      </c>
      <c r="C191" s="5">
        <v>3.31</v>
      </c>
      <c r="D191" s="4">
        <v>23</v>
      </c>
      <c r="E191" s="5">
        <v>3.58</v>
      </c>
      <c r="F191" s="4">
        <v>11</v>
      </c>
      <c r="G191" s="5">
        <v>2</v>
      </c>
      <c r="H191" s="4">
        <v>0</v>
      </c>
    </row>
    <row r="192" spans="1:8" x14ac:dyDescent="0.2">
      <c r="A192" s="2" t="s">
        <v>91</v>
      </c>
      <c r="B192" s="4">
        <v>57</v>
      </c>
      <c r="C192" s="5">
        <v>4.72</v>
      </c>
      <c r="D192" s="4">
        <v>36</v>
      </c>
      <c r="E192" s="5">
        <v>5.61</v>
      </c>
      <c r="F192" s="4">
        <v>16</v>
      </c>
      <c r="G192" s="5">
        <v>2.9</v>
      </c>
      <c r="H192" s="4">
        <v>0</v>
      </c>
    </row>
    <row r="193" spans="1:8" x14ac:dyDescent="0.2">
      <c r="A193" s="2" t="s">
        <v>92</v>
      </c>
      <c r="B193" s="4">
        <v>38</v>
      </c>
      <c r="C193" s="5">
        <v>3.15</v>
      </c>
      <c r="D193" s="4">
        <v>16</v>
      </c>
      <c r="E193" s="5">
        <v>2.4900000000000002</v>
      </c>
      <c r="F193" s="4">
        <v>20</v>
      </c>
      <c r="G193" s="5">
        <v>3.63</v>
      </c>
      <c r="H193" s="4">
        <v>0</v>
      </c>
    </row>
    <row r="194" spans="1:8" x14ac:dyDescent="0.2">
      <c r="A194" s="1" t="s">
        <v>12</v>
      </c>
      <c r="B194" s="4">
        <v>754</v>
      </c>
      <c r="C194" s="5">
        <v>99.999999999999986</v>
      </c>
      <c r="D194" s="4">
        <v>403</v>
      </c>
      <c r="E194" s="5">
        <v>100.02000000000001</v>
      </c>
      <c r="F194" s="4">
        <v>325</v>
      </c>
      <c r="G194" s="5">
        <v>99.999999999999986</v>
      </c>
      <c r="H194" s="4">
        <v>3</v>
      </c>
    </row>
    <row r="195" spans="1:8" x14ac:dyDescent="0.2">
      <c r="A195" s="2" t="s">
        <v>78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79</v>
      </c>
      <c r="B196" s="4">
        <v>120</v>
      </c>
      <c r="C196" s="5">
        <v>15.92</v>
      </c>
      <c r="D196" s="4">
        <v>51</v>
      </c>
      <c r="E196" s="5">
        <v>12.66</v>
      </c>
      <c r="F196" s="4">
        <v>69</v>
      </c>
      <c r="G196" s="5">
        <v>21.23</v>
      </c>
      <c r="H196" s="4">
        <v>0</v>
      </c>
    </row>
    <row r="197" spans="1:8" x14ac:dyDescent="0.2">
      <c r="A197" s="2" t="s">
        <v>80</v>
      </c>
      <c r="B197" s="4">
        <v>54</v>
      </c>
      <c r="C197" s="5">
        <v>7.16</v>
      </c>
      <c r="D197" s="4">
        <v>21</v>
      </c>
      <c r="E197" s="5">
        <v>5.21</v>
      </c>
      <c r="F197" s="4">
        <v>33</v>
      </c>
      <c r="G197" s="5">
        <v>10.15</v>
      </c>
      <c r="H197" s="4">
        <v>0</v>
      </c>
    </row>
    <row r="198" spans="1:8" x14ac:dyDescent="0.2">
      <c r="A198" s="2" t="s">
        <v>81</v>
      </c>
      <c r="B198" s="4">
        <v>1</v>
      </c>
      <c r="C198" s="5">
        <v>0.13</v>
      </c>
      <c r="D198" s="4">
        <v>0</v>
      </c>
      <c r="E198" s="5">
        <v>0</v>
      </c>
      <c r="F198" s="4">
        <v>1</v>
      </c>
      <c r="G198" s="5">
        <v>0.31</v>
      </c>
      <c r="H198" s="4">
        <v>0</v>
      </c>
    </row>
    <row r="199" spans="1:8" x14ac:dyDescent="0.2">
      <c r="A199" s="2" t="s">
        <v>82</v>
      </c>
      <c r="B199" s="4">
        <v>4</v>
      </c>
      <c r="C199" s="5">
        <v>0.53</v>
      </c>
      <c r="D199" s="4">
        <v>0</v>
      </c>
      <c r="E199" s="5">
        <v>0</v>
      </c>
      <c r="F199" s="4">
        <v>4</v>
      </c>
      <c r="G199" s="5">
        <v>1.23</v>
      </c>
      <c r="H199" s="4">
        <v>0</v>
      </c>
    </row>
    <row r="200" spans="1:8" x14ac:dyDescent="0.2">
      <c r="A200" s="2" t="s">
        <v>83</v>
      </c>
      <c r="B200" s="4">
        <v>9</v>
      </c>
      <c r="C200" s="5">
        <v>1.19</v>
      </c>
      <c r="D200" s="4">
        <v>2</v>
      </c>
      <c r="E200" s="5">
        <v>0.5</v>
      </c>
      <c r="F200" s="4">
        <v>5</v>
      </c>
      <c r="G200" s="5">
        <v>1.54</v>
      </c>
      <c r="H200" s="4">
        <v>1</v>
      </c>
    </row>
    <row r="201" spans="1:8" x14ac:dyDescent="0.2">
      <c r="A201" s="2" t="s">
        <v>84</v>
      </c>
      <c r="B201" s="4">
        <v>154</v>
      </c>
      <c r="C201" s="5">
        <v>20.420000000000002</v>
      </c>
      <c r="D201" s="4">
        <v>72</v>
      </c>
      <c r="E201" s="5">
        <v>17.87</v>
      </c>
      <c r="F201" s="4">
        <v>81</v>
      </c>
      <c r="G201" s="5">
        <v>24.92</v>
      </c>
      <c r="H201" s="4">
        <v>1</v>
      </c>
    </row>
    <row r="202" spans="1:8" x14ac:dyDescent="0.2">
      <c r="A202" s="2" t="s">
        <v>85</v>
      </c>
      <c r="B202" s="4">
        <v>7</v>
      </c>
      <c r="C202" s="5">
        <v>0.93</v>
      </c>
      <c r="D202" s="4">
        <v>0</v>
      </c>
      <c r="E202" s="5">
        <v>0</v>
      </c>
      <c r="F202" s="4">
        <v>7</v>
      </c>
      <c r="G202" s="5">
        <v>2.15</v>
      </c>
      <c r="H202" s="4">
        <v>0</v>
      </c>
    </row>
    <row r="203" spans="1:8" x14ac:dyDescent="0.2">
      <c r="A203" s="2" t="s">
        <v>86</v>
      </c>
      <c r="B203" s="4">
        <v>31</v>
      </c>
      <c r="C203" s="5">
        <v>4.1100000000000003</v>
      </c>
      <c r="D203" s="4">
        <v>13</v>
      </c>
      <c r="E203" s="5">
        <v>3.23</v>
      </c>
      <c r="F203" s="4">
        <v>18</v>
      </c>
      <c r="G203" s="5">
        <v>5.54</v>
      </c>
      <c r="H203" s="4">
        <v>0</v>
      </c>
    </row>
    <row r="204" spans="1:8" x14ac:dyDescent="0.2">
      <c r="A204" s="2" t="s">
        <v>87</v>
      </c>
      <c r="B204" s="4">
        <v>30</v>
      </c>
      <c r="C204" s="5">
        <v>3.98</v>
      </c>
      <c r="D204" s="4">
        <v>19</v>
      </c>
      <c r="E204" s="5">
        <v>4.71</v>
      </c>
      <c r="F204" s="4">
        <v>9</v>
      </c>
      <c r="G204" s="5">
        <v>2.77</v>
      </c>
      <c r="H204" s="4">
        <v>0</v>
      </c>
    </row>
    <row r="205" spans="1:8" x14ac:dyDescent="0.2">
      <c r="A205" s="2" t="s">
        <v>88</v>
      </c>
      <c r="B205" s="4">
        <v>132</v>
      </c>
      <c r="C205" s="5">
        <v>17.510000000000002</v>
      </c>
      <c r="D205" s="4">
        <v>97</v>
      </c>
      <c r="E205" s="5">
        <v>24.07</v>
      </c>
      <c r="F205" s="4">
        <v>35</v>
      </c>
      <c r="G205" s="5">
        <v>10.77</v>
      </c>
      <c r="H205" s="4">
        <v>0</v>
      </c>
    </row>
    <row r="206" spans="1:8" x14ac:dyDescent="0.2">
      <c r="A206" s="2" t="s">
        <v>89</v>
      </c>
      <c r="B206" s="4">
        <v>90</v>
      </c>
      <c r="C206" s="5">
        <v>11.94</v>
      </c>
      <c r="D206" s="4">
        <v>71</v>
      </c>
      <c r="E206" s="5">
        <v>17.62</v>
      </c>
      <c r="F206" s="4">
        <v>19</v>
      </c>
      <c r="G206" s="5">
        <v>5.85</v>
      </c>
      <c r="H206" s="4">
        <v>0</v>
      </c>
    </row>
    <row r="207" spans="1:8" x14ac:dyDescent="0.2">
      <c r="A207" s="2" t="s">
        <v>90</v>
      </c>
      <c r="B207" s="4">
        <v>46</v>
      </c>
      <c r="C207" s="5">
        <v>6.1</v>
      </c>
      <c r="D207" s="4">
        <v>29</v>
      </c>
      <c r="E207" s="5">
        <v>7.2</v>
      </c>
      <c r="F207" s="4">
        <v>9</v>
      </c>
      <c r="G207" s="5">
        <v>2.77</v>
      </c>
      <c r="H207" s="4">
        <v>0</v>
      </c>
    </row>
    <row r="208" spans="1:8" x14ac:dyDescent="0.2">
      <c r="A208" s="2" t="s">
        <v>91</v>
      </c>
      <c r="B208" s="4">
        <v>42</v>
      </c>
      <c r="C208" s="5">
        <v>5.57</v>
      </c>
      <c r="D208" s="4">
        <v>17</v>
      </c>
      <c r="E208" s="5">
        <v>4.22</v>
      </c>
      <c r="F208" s="4">
        <v>16</v>
      </c>
      <c r="G208" s="5">
        <v>4.92</v>
      </c>
      <c r="H208" s="4">
        <v>0</v>
      </c>
    </row>
    <row r="209" spans="1:8" x14ac:dyDescent="0.2">
      <c r="A209" s="2" t="s">
        <v>92</v>
      </c>
      <c r="B209" s="4">
        <v>34</v>
      </c>
      <c r="C209" s="5">
        <v>4.51</v>
      </c>
      <c r="D209" s="4">
        <v>11</v>
      </c>
      <c r="E209" s="5">
        <v>2.73</v>
      </c>
      <c r="F209" s="4">
        <v>19</v>
      </c>
      <c r="G209" s="5">
        <v>5.85</v>
      </c>
      <c r="H209" s="4">
        <v>1</v>
      </c>
    </row>
    <row r="210" spans="1:8" x14ac:dyDescent="0.2">
      <c r="A210" s="1" t="s">
        <v>13</v>
      </c>
      <c r="B210" s="4">
        <v>749</v>
      </c>
      <c r="C210" s="5">
        <v>100.00000000000001</v>
      </c>
      <c r="D210" s="4">
        <v>441</v>
      </c>
      <c r="E210" s="5">
        <v>99.999999999999986</v>
      </c>
      <c r="F210" s="4">
        <v>292</v>
      </c>
      <c r="G210" s="5">
        <v>100.00000000000001</v>
      </c>
      <c r="H210" s="4">
        <v>1</v>
      </c>
    </row>
    <row r="211" spans="1:8" x14ac:dyDescent="0.2">
      <c r="A211" s="2" t="s">
        <v>78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79</v>
      </c>
      <c r="B212" s="4">
        <v>132</v>
      </c>
      <c r="C212" s="5">
        <v>17.62</v>
      </c>
      <c r="D212" s="4">
        <v>76</v>
      </c>
      <c r="E212" s="5">
        <v>17.23</v>
      </c>
      <c r="F212" s="4">
        <v>56</v>
      </c>
      <c r="G212" s="5">
        <v>19.18</v>
      </c>
      <c r="H212" s="4">
        <v>0</v>
      </c>
    </row>
    <row r="213" spans="1:8" x14ac:dyDescent="0.2">
      <c r="A213" s="2" t="s">
        <v>80</v>
      </c>
      <c r="B213" s="4">
        <v>53</v>
      </c>
      <c r="C213" s="5">
        <v>7.08</v>
      </c>
      <c r="D213" s="4">
        <v>22</v>
      </c>
      <c r="E213" s="5">
        <v>4.99</v>
      </c>
      <c r="F213" s="4">
        <v>31</v>
      </c>
      <c r="G213" s="5">
        <v>10.62</v>
      </c>
      <c r="H213" s="4">
        <v>0</v>
      </c>
    </row>
    <row r="214" spans="1:8" x14ac:dyDescent="0.2">
      <c r="A214" s="2" t="s">
        <v>81</v>
      </c>
      <c r="B214" s="4">
        <v>2</v>
      </c>
      <c r="C214" s="5">
        <v>0.27</v>
      </c>
      <c r="D214" s="4">
        <v>0</v>
      </c>
      <c r="E214" s="5">
        <v>0</v>
      </c>
      <c r="F214" s="4">
        <v>2</v>
      </c>
      <c r="G214" s="5">
        <v>0.68</v>
      </c>
      <c r="H214" s="4">
        <v>0</v>
      </c>
    </row>
    <row r="215" spans="1:8" x14ac:dyDescent="0.2">
      <c r="A215" s="2" t="s">
        <v>82</v>
      </c>
      <c r="B215" s="4">
        <v>5</v>
      </c>
      <c r="C215" s="5">
        <v>0.67</v>
      </c>
      <c r="D215" s="4">
        <v>1</v>
      </c>
      <c r="E215" s="5">
        <v>0.23</v>
      </c>
      <c r="F215" s="4">
        <v>4</v>
      </c>
      <c r="G215" s="5">
        <v>1.37</v>
      </c>
      <c r="H215" s="4">
        <v>0</v>
      </c>
    </row>
    <row r="216" spans="1:8" x14ac:dyDescent="0.2">
      <c r="A216" s="2" t="s">
        <v>83</v>
      </c>
      <c r="B216" s="4">
        <v>7</v>
      </c>
      <c r="C216" s="5">
        <v>0.93</v>
      </c>
      <c r="D216" s="4">
        <v>4</v>
      </c>
      <c r="E216" s="5">
        <v>0.91</v>
      </c>
      <c r="F216" s="4">
        <v>2</v>
      </c>
      <c r="G216" s="5">
        <v>0.68</v>
      </c>
      <c r="H216" s="4">
        <v>1</v>
      </c>
    </row>
    <row r="217" spans="1:8" x14ac:dyDescent="0.2">
      <c r="A217" s="2" t="s">
        <v>84</v>
      </c>
      <c r="B217" s="4">
        <v>185</v>
      </c>
      <c r="C217" s="5">
        <v>24.7</v>
      </c>
      <c r="D217" s="4">
        <v>93</v>
      </c>
      <c r="E217" s="5">
        <v>21.09</v>
      </c>
      <c r="F217" s="4">
        <v>92</v>
      </c>
      <c r="G217" s="5">
        <v>31.51</v>
      </c>
      <c r="H217" s="4">
        <v>0</v>
      </c>
    </row>
    <row r="218" spans="1:8" x14ac:dyDescent="0.2">
      <c r="A218" s="2" t="s">
        <v>85</v>
      </c>
      <c r="B218" s="4">
        <v>2</v>
      </c>
      <c r="C218" s="5">
        <v>0.27</v>
      </c>
      <c r="D218" s="4">
        <v>0</v>
      </c>
      <c r="E218" s="5">
        <v>0</v>
      </c>
      <c r="F218" s="4">
        <v>2</v>
      </c>
      <c r="G218" s="5">
        <v>0.68</v>
      </c>
      <c r="H218" s="4">
        <v>0</v>
      </c>
    </row>
    <row r="219" spans="1:8" x14ac:dyDescent="0.2">
      <c r="A219" s="2" t="s">
        <v>86</v>
      </c>
      <c r="B219" s="4">
        <v>29</v>
      </c>
      <c r="C219" s="5">
        <v>3.87</v>
      </c>
      <c r="D219" s="4">
        <v>14</v>
      </c>
      <c r="E219" s="5">
        <v>3.17</v>
      </c>
      <c r="F219" s="4">
        <v>15</v>
      </c>
      <c r="G219" s="5">
        <v>5.14</v>
      </c>
      <c r="H219" s="4">
        <v>0</v>
      </c>
    </row>
    <row r="220" spans="1:8" x14ac:dyDescent="0.2">
      <c r="A220" s="2" t="s">
        <v>87</v>
      </c>
      <c r="B220" s="4">
        <v>23</v>
      </c>
      <c r="C220" s="5">
        <v>3.07</v>
      </c>
      <c r="D220" s="4">
        <v>15</v>
      </c>
      <c r="E220" s="5">
        <v>3.4</v>
      </c>
      <c r="F220" s="4">
        <v>8</v>
      </c>
      <c r="G220" s="5">
        <v>2.74</v>
      </c>
      <c r="H220" s="4">
        <v>0</v>
      </c>
    </row>
    <row r="221" spans="1:8" x14ac:dyDescent="0.2">
      <c r="A221" s="2" t="s">
        <v>88</v>
      </c>
      <c r="B221" s="4">
        <v>131</v>
      </c>
      <c r="C221" s="5">
        <v>17.489999999999998</v>
      </c>
      <c r="D221" s="4">
        <v>100</v>
      </c>
      <c r="E221" s="5">
        <v>22.68</v>
      </c>
      <c r="F221" s="4">
        <v>31</v>
      </c>
      <c r="G221" s="5">
        <v>10.62</v>
      </c>
      <c r="H221" s="4">
        <v>0</v>
      </c>
    </row>
    <row r="222" spans="1:8" x14ac:dyDescent="0.2">
      <c r="A222" s="2" t="s">
        <v>89</v>
      </c>
      <c r="B222" s="4">
        <v>106</v>
      </c>
      <c r="C222" s="5">
        <v>14.15</v>
      </c>
      <c r="D222" s="4">
        <v>89</v>
      </c>
      <c r="E222" s="5">
        <v>20.18</v>
      </c>
      <c r="F222" s="4">
        <v>17</v>
      </c>
      <c r="G222" s="5">
        <v>5.82</v>
      </c>
      <c r="H222" s="4">
        <v>0</v>
      </c>
    </row>
    <row r="223" spans="1:8" x14ac:dyDescent="0.2">
      <c r="A223" s="2" t="s">
        <v>90</v>
      </c>
      <c r="B223" s="4">
        <v>18</v>
      </c>
      <c r="C223" s="5">
        <v>2.4</v>
      </c>
      <c r="D223" s="4">
        <v>10</v>
      </c>
      <c r="E223" s="5">
        <v>2.27</v>
      </c>
      <c r="F223" s="4">
        <v>5</v>
      </c>
      <c r="G223" s="5">
        <v>1.71</v>
      </c>
      <c r="H223" s="4">
        <v>0</v>
      </c>
    </row>
    <row r="224" spans="1:8" x14ac:dyDescent="0.2">
      <c r="A224" s="2" t="s">
        <v>91</v>
      </c>
      <c r="B224" s="4">
        <v>34</v>
      </c>
      <c r="C224" s="5">
        <v>4.54</v>
      </c>
      <c r="D224" s="4">
        <v>12</v>
      </c>
      <c r="E224" s="5">
        <v>2.72</v>
      </c>
      <c r="F224" s="4">
        <v>19</v>
      </c>
      <c r="G224" s="5">
        <v>6.51</v>
      </c>
      <c r="H224" s="4">
        <v>0</v>
      </c>
    </row>
    <row r="225" spans="1:8" x14ac:dyDescent="0.2">
      <c r="A225" s="2" t="s">
        <v>92</v>
      </c>
      <c r="B225" s="4">
        <v>22</v>
      </c>
      <c r="C225" s="5">
        <v>2.94</v>
      </c>
      <c r="D225" s="4">
        <v>5</v>
      </c>
      <c r="E225" s="5">
        <v>1.1299999999999999</v>
      </c>
      <c r="F225" s="4">
        <v>8</v>
      </c>
      <c r="G225" s="5">
        <v>2.74</v>
      </c>
      <c r="H225" s="4">
        <v>0</v>
      </c>
    </row>
    <row r="226" spans="1:8" x14ac:dyDescent="0.2">
      <c r="A226" s="1" t="s">
        <v>14</v>
      </c>
      <c r="B226" s="4">
        <v>1654</v>
      </c>
      <c r="C226" s="5">
        <v>99.98</v>
      </c>
      <c r="D226" s="4">
        <v>699</v>
      </c>
      <c r="E226" s="5">
        <v>99.99</v>
      </c>
      <c r="F226" s="4">
        <v>918</v>
      </c>
      <c r="G226" s="5">
        <v>100</v>
      </c>
      <c r="H226" s="4">
        <v>1</v>
      </c>
    </row>
    <row r="227" spans="1:8" x14ac:dyDescent="0.2">
      <c r="A227" s="2" t="s">
        <v>78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79</v>
      </c>
      <c r="B228" s="4">
        <v>242</v>
      </c>
      <c r="C228" s="5">
        <v>14.63</v>
      </c>
      <c r="D228" s="4">
        <v>71</v>
      </c>
      <c r="E228" s="5">
        <v>10.16</v>
      </c>
      <c r="F228" s="4">
        <v>171</v>
      </c>
      <c r="G228" s="5">
        <v>18.63</v>
      </c>
      <c r="H228" s="4">
        <v>0</v>
      </c>
    </row>
    <row r="229" spans="1:8" x14ac:dyDescent="0.2">
      <c r="A229" s="2" t="s">
        <v>80</v>
      </c>
      <c r="B229" s="4">
        <v>218</v>
      </c>
      <c r="C229" s="5">
        <v>13.18</v>
      </c>
      <c r="D229" s="4">
        <v>51</v>
      </c>
      <c r="E229" s="5">
        <v>7.3</v>
      </c>
      <c r="F229" s="4">
        <v>167</v>
      </c>
      <c r="G229" s="5">
        <v>18.190000000000001</v>
      </c>
      <c r="H229" s="4">
        <v>0</v>
      </c>
    </row>
    <row r="230" spans="1:8" x14ac:dyDescent="0.2">
      <c r="A230" s="2" t="s">
        <v>81</v>
      </c>
      <c r="B230" s="4">
        <v>9</v>
      </c>
      <c r="C230" s="5">
        <v>0.54</v>
      </c>
      <c r="D230" s="4">
        <v>0</v>
      </c>
      <c r="E230" s="5">
        <v>0</v>
      </c>
      <c r="F230" s="4">
        <v>9</v>
      </c>
      <c r="G230" s="5">
        <v>0.98</v>
      </c>
      <c r="H230" s="4">
        <v>0</v>
      </c>
    </row>
    <row r="231" spans="1:8" x14ac:dyDescent="0.2">
      <c r="A231" s="2" t="s">
        <v>82</v>
      </c>
      <c r="B231" s="4">
        <v>18</v>
      </c>
      <c r="C231" s="5">
        <v>1.0900000000000001</v>
      </c>
      <c r="D231" s="4">
        <v>2</v>
      </c>
      <c r="E231" s="5">
        <v>0.28999999999999998</v>
      </c>
      <c r="F231" s="4">
        <v>16</v>
      </c>
      <c r="G231" s="5">
        <v>1.74</v>
      </c>
      <c r="H231" s="4">
        <v>0</v>
      </c>
    </row>
    <row r="232" spans="1:8" x14ac:dyDescent="0.2">
      <c r="A232" s="2" t="s">
        <v>83</v>
      </c>
      <c r="B232" s="4">
        <v>5</v>
      </c>
      <c r="C232" s="5">
        <v>0.3</v>
      </c>
      <c r="D232" s="4">
        <v>1</v>
      </c>
      <c r="E232" s="5">
        <v>0.14000000000000001</v>
      </c>
      <c r="F232" s="4">
        <v>4</v>
      </c>
      <c r="G232" s="5">
        <v>0.44</v>
      </c>
      <c r="H232" s="4">
        <v>0</v>
      </c>
    </row>
    <row r="233" spans="1:8" x14ac:dyDescent="0.2">
      <c r="A233" s="2" t="s">
        <v>84</v>
      </c>
      <c r="B233" s="4">
        <v>296</v>
      </c>
      <c r="C233" s="5">
        <v>17.899999999999999</v>
      </c>
      <c r="D233" s="4">
        <v>112</v>
      </c>
      <c r="E233" s="5">
        <v>16.02</v>
      </c>
      <c r="F233" s="4">
        <v>184</v>
      </c>
      <c r="G233" s="5">
        <v>20.04</v>
      </c>
      <c r="H233" s="4">
        <v>0</v>
      </c>
    </row>
    <row r="234" spans="1:8" x14ac:dyDescent="0.2">
      <c r="A234" s="2" t="s">
        <v>85</v>
      </c>
      <c r="B234" s="4">
        <v>9</v>
      </c>
      <c r="C234" s="5">
        <v>0.54</v>
      </c>
      <c r="D234" s="4">
        <v>0</v>
      </c>
      <c r="E234" s="5">
        <v>0</v>
      </c>
      <c r="F234" s="4">
        <v>9</v>
      </c>
      <c r="G234" s="5">
        <v>0.98</v>
      </c>
      <c r="H234" s="4">
        <v>0</v>
      </c>
    </row>
    <row r="235" spans="1:8" x14ac:dyDescent="0.2">
      <c r="A235" s="2" t="s">
        <v>86</v>
      </c>
      <c r="B235" s="4">
        <v>95</v>
      </c>
      <c r="C235" s="5">
        <v>5.74</v>
      </c>
      <c r="D235" s="4">
        <v>14</v>
      </c>
      <c r="E235" s="5">
        <v>2</v>
      </c>
      <c r="F235" s="4">
        <v>79</v>
      </c>
      <c r="G235" s="5">
        <v>8.61</v>
      </c>
      <c r="H235" s="4">
        <v>1</v>
      </c>
    </row>
    <row r="236" spans="1:8" x14ac:dyDescent="0.2">
      <c r="A236" s="2" t="s">
        <v>87</v>
      </c>
      <c r="B236" s="4">
        <v>90</v>
      </c>
      <c r="C236" s="5">
        <v>5.44</v>
      </c>
      <c r="D236" s="4">
        <v>46</v>
      </c>
      <c r="E236" s="5">
        <v>6.58</v>
      </c>
      <c r="F236" s="4">
        <v>44</v>
      </c>
      <c r="G236" s="5">
        <v>4.79</v>
      </c>
      <c r="H236" s="4">
        <v>0</v>
      </c>
    </row>
    <row r="237" spans="1:8" x14ac:dyDescent="0.2">
      <c r="A237" s="2" t="s">
        <v>88</v>
      </c>
      <c r="B237" s="4">
        <v>311</v>
      </c>
      <c r="C237" s="5">
        <v>18.8</v>
      </c>
      <c r="D237" s="4">
        <v>193</v>
      </c>
      <c r="E237" s="5">
        <v>27.61</v>
      </c>
      <c r="F237" s="4">
        <v>118</v>
      </c>
      <c r="G237" s="5">
        <v>12.85</v>
      </c>
      <c r="H237" s="4">
        <v>0</v>
      </c>
    </row>
    <row r="238" spans="1:8" x14ac:dyDescent="0.2">
      <c r="A238" s="2" t="s">
        <v>89</v>
      </c>
      <c r="B238" s="4">
        <v>160</v>
      </c>
      <c r="C238" s="5">
        <v>9.67</v>
      </c>
      <c r="D238" s="4">
        <v>114</v>
      </c>
      <c r="E238" s="5">
        <v>16.309999999999999</v>
      </c>
      <c r="F238" s="4">
        <v>46</v>
      </c>
      <c r="G238" s="5">
        <v>5.01</v>
      </c>
      <c r="H238" s="4">
        <v>0</v>
      </c>
    </row>
    <row r="239" spans="1:8" x14ac:dyDescent="0.2">
      <c r="A239" s="2" t="s">
        <v>90</v>
      </c>
      <c r="B239" s="4">
        <v>52</v>
      </c>
      <c r="C239" s="5">
        <v>3.14</v>
      </c>
      <c r="D239" s="4">
        <v>27</v>
      </c>
      <c r="E239" s="5">
        <v>3.86</v>
      </c>
      <c r="F239" s="4">
        <v>21</v>
      </c>
      <c r="G239" s="5">
        <v>2.29</v>
      </c>
      <c r="H239" s="4">
        <v>0</v>
      </c>
    </row>
    <row r="240" spans="1:8" x14ac:dyDescent="0.2">
      <c r="A240" s="2" t="s">
        <v>91</v>
      </c>
      <c r="B240" s="4">
        <v>91</v>
      </c>
      <c r="C240" s="5">
        <v>5.5</v>
      </c>
      <c r="D240" s="4">
        <v>47</v>
      </c>
      <c r="E240" s="5">
        <v>6.72</v>
      </c>
      <c r="F240" s="4">
        <v>14</v>
      </c>
      <c r="G240" s="5">
        <v>1.53</v>
      </c>
      <c r="H240" s="4">
        <v>0</v>
      </c>
    </row>
    <row r="241" spans="1:8" x14ac:dyDescent="0.2">
      <c r="A241" s="2" t="s">
        <v>92</v>
      </c>
      <c r="B241" s="4">
        <v>58</v>
      </c>
      <c r="C241" s="5">
        <v>3.51</v>
      </c>
      <c r="D241" s="4">
        <v>21</v>
      </c>
      <c r="E241" s="5">
        <v>3</v>
      </c>
      <c r="F241" s="4">
        <v>36</v>
      </c>
      <c r="G241" s="5">
        <v>3.92</v>
      </c>
      <c r="H241" s="4">
        <v>0</v>
      </c>
    </row>
    <row r="242" spans="1:8" x14ac:dyDescent="0.2">
      <c r="A242" s="1" t="s">
        <v>15</v>
      </c>
      <c r="B242" s="4">
        <v>1729</v>
      </c>
      <c r="C242" s="5">
        <v>99.98</v>
      </c>
      <c r="D242" s="4">
        <v>894</v>
      </c>
      <c r="E242" s="5">
        <v>99.999999999999972</v>
      </c>
      <c r="F242" s="4">
        <v>797</v>
      </c>
      <c r="G242" s="5">
        <v>100.00999999999999</v>
      </c>
      <c r="H242" s="4">
        <v>4</v>
      </c>
    </row>
    <row r="243" spans="1:8" x14ac:dyDescent="0.2">
      <c r="A243" s="2" t="s">
        <v>78</v>
      </c>
      <c r="B243" s="4">
        <v>1</v>
      </c>
      <c r="C243" s="5">
        <v>0.06</v>
      </c>
      <c r="D243" s="4">
        <v>0</v>
      </c>
      <c r="E243" s="5">
        <v>0</v>
      </c>
      <c r="F243" s="4">
        <v>1</v>
      </c>
      <c r="G243" s="5">
        <v>0.13</v>
      </c>
      <c r="H243" s="4">
        <v>0</v>
      </c>
    </row>
    <row r="244" spans="1:8" x14ac:dyDescent="0.2">
      <c r="A244" s="2" t="s">
        <v>79</v>
      </c>
      <c r="B244" s="4">
        <v>234</v>
      </c>
      <c r="C244" s="5">
        <v>13.53</v>
      </c>
      <c r="D244" s="4">
        <v>80</v>
      </c>
      <c r="E244" s="5">
        <v>8.9499999999999993</v>
      </c>
      <c r="F244" s="4">
        <v>154</v>
      </c>
      <c r="G244" s="5">
        <v>19.32</v>
      </c>
      <c r="H244" s="4">
        <v>0</v>
      </c>
    </row>
    <row r="245" spans="1:8" x14ac:dyDescent="0.2">
      <c r="A245" s="2" t="s">
        <v>80</v>
      </c>
      <c r="B245" s="4">
        <v>226</v>
      </c>
      <c r="C245" s="5">
        <v>13.07</v>
      </c>
      <c r="D245" s="4">
        <v>104</v>
      </c>
      <c r="E245" s="5">
        <v>11.63</v>
      </c>
      <c r="F245" s="4">
        <v>122</v>
      </c>
      <c r="G245" s="5">
        <v>15.31</v>
      </c>
      <c r="H245" s="4">
        <v>0</v>
      </c>
    </row>
    <row r="246" spans="1:8" x14ac:dyDescent="0.2">
      <c r="A246" s="2" t="s">
        <v>81</v>
      </c>
      <c r="B246" s="4">
        <v>4</v>
      </c>
      <c r="C246" s="5">
        <v>0.23</v>
      </c>
      <c r="D246" s="4">
        <v>0</v>
      </c>
      <c r="E246" s="5">
        <v>0</v>
      </c>
      <c r="F246" s="4">
        <v>2</v>
      </c>
      <c r="G246" s="5">
        <v>0.25</v>
      </c>
      <c r="H246" s="4">
        <v>1</v>
      </c>
    </row>
    <row r="247" spans="1:8" x14ac:dyDescent="0.2">
      <c r="A247" s="2" t="s">
        <v>82</v>
      </c>
      <c r="B247" s="4">
        <v>27</v>
      </c>
      <c r="C247" s="5">
        <v>1.56</v>
      </c>
      <c r="D247" s="4">
        <v>4</v>
      </c>
      <c r="E247" s="5">
        <v>0.45</v>
      </c>
      <c r="F247" s="4">
        <v>23</v>
      </c>
      <c r="G247" s="5">
        <v>2.89</v>
      </c>
      <c r="H247" s="4">
        <v>0</v>
      </c>
    </row>
    <row r="248" spans="1:8" x14ac:dyDescent="0.2">
      <c r="A248" s="2" t="s">
        <v>83</v>
      </c>
      <c r="B248" s="4">
        <v>17</v>
      </c>
      <c r="C248" s="5">
        <v>0.98</v>
      </c>
      <c r="D248" s="4">
        <v>2</v>
      </c>
      <c r="E248" s="5">
        <v>0.22</v>
      </c>
      <c r="F248" s="4">
        <v>15</v>
      </c>
      <c r="G248" s="5">
        <v>1.88</v>
      </c>
      <c r="H248" s="4">
        <v>0</v>
      </c>
    </row>
    <row r="249" spans="1:8" x14ac:dyDescent="0.2">
      <c r="A249" s="2" t="s">
        <v>84</v>
      </c>
      <c r="B249" s="4">
        <v>373</v>
      </c>
      <c r="C249" s="5">
        <v>21.57</v>
      </c>
      <c r="D249" s="4">
        <v>172</v>
      </c>
      <c r="E249" s="5">
        <v>19.239999999999998</v>
      </c>
      <c r="F249" s="4">
        <v>200</v>
      </c>
      <c r="G249" s="5">
        <v>25.09</v>
      </c>
      <c r="H249" s="4">
        <v>1</v>
      </c>
    </row>
    <row r="250" spans="1:8" x14ac:dyDescent="0.2">
      <c r="A250" s="2" t="s">
        <v>85</v>
      </c>
      <c r="B250" s="4">
        <v>9</v>
      </c>
      <c r="C250" s="5">
        <v>0.52</v>
      </c>
      <c r="D250" s="4">
        <v>2</v>
      </c>
      <c r="E250" s="5">
        <v>0.22</v>
      </c>
      <c r="F250" s="4">
        <v>7</v>
      </c>
      <c r="G250" s="5">
        <v>0.88</v>
      </c>
      <c r="H250" s="4">
        <v>0</v>
      </c>
    </row>
    <row r="251" spans="1:8" x14ac:dyDescent="0.2">
      <c r="A251" s="2" t="s">
        <v>86</v>
      </c>
      <c r="B251" s="4">
        <v>160</v>
      </c>
      <c r="C251" s="5">
        <v>9.25</v>
      </c>
      <c r="D251" s="4">
        <v>82</v>
      </c>
      <c r="E251" s="5">
        <v>9.17</v>
      </c>
      <c r="F251" s="4">
        <v>78</v>
      </c>
      <c r="G251" s="5">
        <v>9.7899999999999991</v>
      </c>
      <c r="H251" s="4">
        <v>0</v>
      </c>
    </row>
    <row r="252" spans="1:8" x14ac:dyDescent="0.2">
      <c r="A252" s="2" t="s">
        <v>87</v>
      </c>
      <c r="B252" s="4">
        <v>71</v>
      </c>
      <c r="C252" s="5">
        <v>4.1100000000000003</v>
      </c>
      <c r="D252" s="4">
        <v>38</v>
      </c>
      <c r="E252" s="5">
        <v>4.25</v>
      </c>
      <c r="F252" s="4">
        <v>33</v>
      </c>
      <c r="G252" s="5">
        <v>4.1399999999999997</v>
      </c>
      <c r="H252" s="4">
        <v>0</v>
      </c>
    </row>
    <row r="253" spans="1:8" x14ac:dyDescent="0.2">
      <c r="A253" s="2" t="s">
        <v>88</v>
      </c>
      <c r="B253" s="4">
        <v>183</v>
      </c>
      <c r="C253" s="5">
        <v>10.58</v>
      </c>
      <c r="D253" s="4">
        <v>135</v>
      </c>
      <c r="E253" s="5">
        <v>15.1</v>
      </c>
      <c r="F253" s="4">
        <v>47</v>
      </c>
      <c r="G253" s="5">
        <v>5.9</v>
      </c>
      <c r="H253" s="4">
        <v>0</v>
      </c>
    </row>
    <row r="254" spans="1:8" x14ac:dyDescent="0.2">
      <c r="A254" s="2" t="s">
        <v>89</v>
      </c>
      <c r="B254" s="4">
        <v>200</v>
      </c>
      <c r="C254" s="5">
        <v>11.57</v>
      </c>
      <c r="D254" s="4">
        <v>166</v>
      </c>
      <c r="E254" s="5">
        <v>18.57</v>
      </c>
      <c r="F254" s="4">
        <v>34</v>
      </c>
      <c r="G254" s="5">
        <v>4.2699999999999996</v>
      </c>
      <c r="H254" s="4">
        <v>0</v>
      </c>
    </row>
    <row r="255" spans="1:8" x14ac:dyDescent="0.2">
      <c r="A255" s="2" t="s">
        <v>90</v>
      </c>
      <c r="B255" s="4">
        <v>78</v>
      </c>
      <c r="C255" s="5">
        <v>4.51</v>
      </c>
      <c r="D255" s="4">
        <v>32</v>
      </c>
      <c r="E255" s="5">
        <v>3.58</v>
      </c>
      <c r="F255" s="4">
        <v>19</v>
      </c>
      <c r="G255" s="5">
        <v>2.38</v>
      </c>
      <c r="H255" s="4">
        <v>1</v>
      </c>
    </row>
    <row r="256" spans="1:8" x14ac:dyDescent="0.2">
      <c r="A256" s="2" t="s">
        <v>91</v>
      </c>
      <c r="B256" s="4">
        <v>87</v>
      </c>
      <c r="C256" s="5">
        <v>5.03</v>
      </c>
      <c r="D256" s="4">
        <v>57</v>
      </c>
      <c r="E256" s="5">
        <v>6.38</v>
      </c>
      <c r="F256" s="4">
        <v>25</v>
      </c>
      <c r="G256" s="5">
        <v>3.14</v>
      </c>
      <c r="H256" s="4">
        <v>1</v>
      </c>
    </row>
    <row r="257" spans="1:8" x14ac:dyDescent="0.2">
      <c r="A257" s="2" t="s">
        <v>92</v>
      </c>
      <c r="B257" s="4">
        <v>59</v>
      </c>
      <c r="C257" s="5">
        <v>3.41</v>
      </c>
      <c r="D257" s="4">
        <v>20</v>
      </c>
      <c r="E257" s="5">
        <v>2.2400000000000002</v>
      </c>
      <c r="F257" s="4">
        <v>37</v>
      </c>
      <c r="G257" s="5">
        <v>4.6399999999999997</v>
      </c>
      <c r="H257" s="4">
        <v>0</v>
      </c>
    </row>
    <row r="258" spans="1:8" x14ac:dyDescent="0.2">
      <c r="A258" s="1" t="s">
        <v>16</v>
      </c>
      <c r="B258" s="4">
        <v>2836</v>
      </c>
      <c r="C258" s="5">
        <v>99.999999999999986</v>
      </c>
      <c r="D258" s="4">
        <v>1624</v>
      </c>
      <c r="E258" s="5">
        <v>100.02</v>
      </c>
      <c r="F258" s="4">
        <v>1184</v>
      </c>
      <c r="G258" s="5">
        <v>99.98</v>
      </c>
      <c r="H258" s="4">
        <v>4</v>
      </c>
    </row>
    <row r="259" spans="1:8" x14ac:dyDescent="0.2">
      <c r="A259" s="2" t="s">
        <v>78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79</v>
      </c>
      <c r="B260" s="4">
        <v>458</v>
      </c>
      <c r="C260" s="5">
        <v>16.149999999999999</v>
      </c>
      <c r="D260" s="4">
        <v>209</v>
      </c>
      <c r="E260" s="5">
        <v>12.87</v>
      </c>
      <c r="F260" s="4">
        <v>249</v>
      </c>
      <c r="G260" s="5">
        <v>21.03</v>
      </c>
      <c r="H260" s="4">
        <v>0</v>
      </c>
    </row>
    <row r="261" spans="1:8" x14ac:dyDescent="0.2">
      <c r="A261" s="2" t="s">
        <v>80</v>
      </c>
      <c r="B261" s="4">
        <v>284</v>
      </c>
      <c r="C261" s="5">
        <v>10.01</v>
      </c>
      <c r="D261" s="4">
        <v>112</v>
      </c>
      <c r="E261" s="5">
        <v>6.9</v>
      </c>
      <c r="F261" s="4">
        <v>172</v>
      </c>
      <c r="G261" s="5">
        <v>14.53</v>
      </c>
      <c r="H261" s="4">
        <v>0</v>
      </c>
    </row>
    <row r="262" spans="1:8" x14ac:dyDescent="0.2">
      <c r="A262" s="2" t="s">
        <v>81</v>
      </c>
      <c r="B262" s="4">
        <v>6</v>
      </c>
      <c r="C262" s="5">
        <v>0.21</v>
      </c>
      <c r="D262" s="4">
        <v>0</v>
      </c>
      <c r="E262" s="5">
        <v>0</v>
      </c>
      <c r="F262" s="4">
        <v>5</v>
      </c>
      <c r="G262" s="5">
        <v>0.42</v>
      </c>
      <c r="H262" s="4">
        <v>1</v>
      </c>
    </row>
    <row r="263" spans="1:8" x14ac:dyDescent="0.2">
      <c r="A263" s="2" t="s">
        <v>82</v>
      </c>
      <c r="B263" s="4">
        <v>21</v>
      </c>
      <c r="C263" s="5">
        <v>0.74</v>
      </c>
      <c r="D263" s="4">
        <v>5</v>
      </c>
      <c r="E263" s="5">
        <v>0.31</v>
      </c>
      <c r="F263" s="4">
        <v>16</v>
      </c>
      <c r="G263" s="5">
        <v>1.35</v>
      </c>
      <c r="H263" s="4">
        <v>0</v>
      </c>
    </row>
    <row r="264" spans="1:8" x14ac:dyDescent="0.2">
      <c r="A264" s="2" t="s">
        <v>83</v>
      </c>
      <c r="B264" s="4">
        <v>20</v>
      </c>
      <c r="C264" s="5">
        <v>0.71</v>
      </c>
      <c r="D264" s="4">
        <v>6</v>
      </c>
      <c r="E264" s="5">
        <v>0.37</v>
      </c>
      <c r="F264" s="4">
        <v>14</v>
      </c>
      <c r="G264" s="5">
        <v>1.18</v>
      </c>
      <c r="H264" s="4">
        <v>0</v>
      </c>
    </row>
    <row r="265" spans="1:8" x14ac:dyDescent="0.2">
      <c r="A265" s="2" t="s">
        <v>84</v>
      </c>
      <c r="B265" s="4">
        <v>616</v>
      </c>
      <c r="C265" s="5">
        <v>21.72</v>
      </c>
      <c r="D265" s="4">
        <v>315</v>
      </c>
      <c r="E265" s="5">
        <v>19.399999999999999</v>
      </c>
      <c r="F265" s="4">
        <v>301</v>
      </c>
      <c r="G265" s="5">
        <v>25.42</v>
      </c>
      <c r="H265" s="4">
        <v>0</v>
      </c>
    </row>
    <row r="266" spans="1:8" x14ac:dyDescent="0.2">
      <c r="A266" s="2" t="s">
        <v>85</v>
      </c>
      <c r="B266" s="4">
        <v>16</v>
      </c>
      <c r="C266" s="5">
        <v>0.56000000000000005</v>
      </c>
      <c r="D266" s="4">
        <v>5</v>
      </c>
      <c r="E266" s="5">
        <v>0.31</v>
      </c>
      <c r="F266" s="4">
        <v>11</v>
      </c>
      <c r="G266" s="5">
        <v>0.93</v>
      </c>
      <c r="H266" s="4">
        <v>0</v>
      </c>
    </row>
    <row r="267" spans="1:8" x14ac:dyDescent="0.2">
      <c r="A267" s="2" t="s">
        <v>86</v>
      </c>
      <c r="B267" s="4">
        <v>168</v>
      </c>
      <c r="C267" s="5">
        <v>5.92</v>
      </c>
      <c r="D267" s="4">
        <v>54</v>
      </c>
      <c r="E267" s="5">
        <v>3.33</v>
      </c>
      <c r="F267" s="4">
        <v>114</v>
      </c>
      <c r="G267" s="5">
        <v>9.6300000000000008</v>
      </c>
      <c r="H267" s="4">
        <v>0</v>
      </c>
    </row>
    <row r="268" spans="1:8" x14ac:dyDescent="0.2">
      <c r="A268" s="2" t="s">
        <v>87</v>
      </c>
      <c r="B268" s="4">
        <v>172</v>
      </c>
      <c r="C268" s="5">
        <v>6.06</v>
      </c>
      <c r="D268" s="4">
        <v>105</v>
      </c>
      <c r="E268" s="5">
        <v>6.47</v>
      </c>
      <c r="F268" s="4">
        <v>66</v>
      </c>
      <c r="G268" s="5">
        <v>5.57</v>
      </c>
      <c r="H268" s="4">
        <v>0</v>
      </c>
    </row>
    <row r="269" spans="1:8" x14ac:dyDescent="0.2">
      <c r="A269" s="2" t="s">
        <v>88</v>
      </c>
      <c r="B269" s="4">
        <v>374</v>
      </c>
      <c r="C269" s="5">
        <v>13.19</v>
      </c>
      <c r="D269" s="4">
        <v>322</v>
      </c>
      <c r="E269" s="5">
        <v>19.829999999999998</v>
      </c>
      <c r="F269" s="4">
        <v>52</v>
      </c>
      <c r="G269" s="5">
        <v>4.3899999999999997</v>
      </c>
      <c r="H269" s="4">
        <v>0</v>
      </c>
    </row>
    <row r="270" spans="1:8" x14ac:dyDescent="0.2">
      <c r="A270" s="2" t="s">
        <v>89</v>
      </c>
      <c r="B270" s="4">
        <v>338</v>
      </c>
      <c r="C270" s="5">
        <v>11.92</v>
      </c>
      <c r="D270" s="4">
        <v>275</v>
      </c>
      <c r="E270" s="5">
        <v>16.93</v>
      </c>
      <c r="F270" s="4">
        <v>61</v>
      </c>
      <c r="G270" s="5">
        <v>5.15</v>
      </c>
      <c r="H270" s="4">
        <v>1</v>
      </c>
    </row>
    <row r="271" spans="1:8" x14ac:dyDescent="0.2">
      <c r="A271" s="2" t="s">
        <v>90</v>
      </c>
      <c r="B271" s="4">
        <v>87</v>
      </c>
      <c r="C271" s="5">
        <v>3.07</v>
      </c>
      <c r="D271" s="4">
        <v>45</v>
      </c>
      <c r="E271" s="5">
        <v>2.77</v>
      </c>
      <c r="F271" s="4">
        <v>28</v>
      </c>
      <c r="G271" s="5">
        <v>2.36</v>
      </c>
      <c r="H271" s="4">
        <v>0</v>
      </c>
    </row>
    <row r="272" spans="1:8" x14ac:dyDescent="0.2">
      <c r="A272" s="2" t="s">
        <v>91</v>
      </c>
      <c r="B272" s="4">
        <v>159</v>
      </c>
      <c r="C272" s="5">
        <v>5.61</v>
      </c>
      <c r="D272" s="4">
        <v>108</v>
      </c>
      <c r="E272" s="5">
        <v>6.65</v>
      </c>
      <c r="F272" s="4">
        <v>45</v>
      </c>
      <c r="G272" s="5">
        <v>3.8</v>
      </c>
      <c r="H272" s="4">
        <v>0</v>
      </c>
    </row>
    <row r="273" spans="1:8" x14ac:dyDescent="0.2">
      <c r="A273" s="2" t="s">
        <v>92</v>
      </c>
      <c r="B273" s="4">
        <v>117</v>
      </c>
      <c r="C273" s="5">
        <v>4.13</v>
      </c>
      <c r="D273" s="4">
        <v>63</v>
      </c>
      <c r="E273" s="5">
        <v>3.88</v>
      </c>
      <c r="F273" s="4">
        <v>50</v>
      </c>
      <c r="G273" s="5">
        <v>4.22</v>
      </c>
      <c r="H273" s="4">
        <v>2</v>
      </c>
    </row>
    <row r="274" spans="1:8" x14ac:dyDescent="0.2">
      <c r="A274" s="1" t="s">
        <v>17</v>
      </c>
      <c r="B274" s="4">
        <v>1637</v>
      </c>
      <c r="C274" s="5">
        <v>100.00000000000001</v>
      </c>
      <c r="D274" s="4">
        <v>905</v>
      </c>
      <c r="E274" s="5">
        <v>99.99</v>
      </c>
      <c r="F274" s="4">
        <v>706</v>
      </c>
      <c r="G274" s="5">
        <v>100.00000000000001</v>
      </c>
      <c r="H274" s="4">
        <v>1</v>
      </c>
    </row>
    <row r="275" spans="1:8" x14ac:dyDescent="0.2">
      <c r="A275" s="2" t="s">
        <v>78</v>
      </c>
      <c r="B275" s="4">
        <v>1</v>
      </c>
      <c r="C275" s="5">
        <v>0.06</v>
      </c>
      <c r="D275" s="4">
        <v>0</v>
      </c>
      <c r="E275" s="5">
        <v>0</v>
      </c>
      <c r="F275" s="4">
        <v>1</v>
      </c>
      <c r="G275" s="5">
        <v>0.14000000000000001</v>
      </c>
      <c r="H275" s="4">
        <v>0</v>
      </c>
    </row>
    <row r="276" spans="1:8" x14ac:dyDescent="0.2">
      <c r="A276" s="2" t="s">
        <v>79</v>
      </c>
      <c r="B276" s="4">
        <v>240</v>
      </c>
      <c r="C276" s="5">
        <v>14.66</v>
      </c>
      <c r="D276" s="4">
        <v>93</v>
      </c>
      <c r="E276" s="5">
        <v>10.28</v>
      </c>
      <c r="F276" s="4">
        <v>147</v>
      </c>
      <c r="G276" s="5">
        <v>20.82</v>
      </c>
      <c r="H276" s="4">
        <v>0</v>
      </c>
    </row>
    <row r="277" spans="1:8" x14ac:dyDescent="0.2">
      <c r="A277" s="2" t="s">
        <v>80</v>
      </c>
      <c r="B277" s="4">
        <v>223</v>
      </c>
      <c r="C277" s="5">
        <v>13.62</v>
      </c>
      <c r="D277" s="4">
        <v>68</v>
      </c>
      <c r="E277" s="5">
        <v>7.51</v>
      </c>
      <c r="F277" s="4">
        <v>155</v>
      </c>
      <c r="G277" s="5">
        <v>21.95</v>
      </c>
      <c r="H277" s="4">
        <v>0</v>
      </c>
    </row>
    <row r="278" spans="1:8" x14ac:dyDescent="0.2">
      <c r="A278" s="2" t="s">
        <v>81</v>
      </c>
      <c r="B278" s="4">
        <v>6</v>
      </c>
      <c r="C278" s="5">
        <v>0.37</v>
      </c>
      <c r="D278" s="4">
        <v>1</v>
      </c>
      <c r="E278" s="5">
        <v>0.11</v>
      </c>
      <c r="F278" s="4">
        <v>4</v>
      </c>
      <c r="G278" s="5">
        <v>0.56999999999999995</v>
      </c>
      <c r="H278" s="4">
        <v>0</v>
      </c>
    </row>
    <row r="279" spans="1:8" x14ac:dyDescent="0.2">
      <c r="A279" s="2" t="s">
        <v>82</v>
      </c>
      <c r="B279" s="4">
        <v>9</v>
      </c>
      <c r="C279" s="5">
        <v>0.55000000000000004</v>
      </c>
      <c r="D279" s="4">
        <v>0</v>
      </c>
      <c r="E279" s="5">
        <v>0</v>
      </c>
      <c r="F279" s="4">
        <v>9</v>
      </c>
      <c r="G279" s="5">
        <v>1.27</v>
      </c>
      <c r="H279" s="4">
        <v>0</v>
      </c>
    </row>
    <row r="280" spans="1:8" x14ac:dyDescent="0.2">
      <c r="A280" s="2" t="s">
        <v>83</v>
      </c>
      <c r="B280" s="4">
        <v>8</v>
      </c>
      <c r="C280" s="5">
        <v>0.49</v>
      </c>
      <c r="D280" s="4">
        <v>2</v>
      </c>
      <c r="E280" s="5">
        <v>0.22</v>
      </c>
      <c r="F280" s="4">
        <v>5</v>
      </c>
      <c r="G280" s="5">
        <v>0.71</v>
      </c>
      <c r="H280" s="4">
        <v>0</v>
      </c>
    </row>
    <row r="281" spans="1:8" x14ac:dyDescent="0.2">
      <c r="A281" s="2" t="s">
        <v>84</v>
      </c>
      <c r="B281" s="4">
        <v>335</v>
      </c>
      <c r="C281" s="5">
        <v>20.46</v>
      </c>
      <c r="D281" s="4">
        <v>137</v>
      </c>
      <c r="E281" s="5">
        <v>15.14</v>
      </c>
      <c r="F281" s="4">
        <v>198</v>
      </c>
      <c r="G281" s="5">
        <v>28.05</v>
      </c>
      <c r="H281" s="4">
        <v>0</v>
      </c>
    </row>
    <row r="282" spans="1:8" x14ac:dyDescent="0.2">
      <c r="A282" s="2" t="s">
        <v>85</v>
      </c>
      <c r="B282" s="4">
        <v>4</v>
      </c>
      <c r="C282" s="5">
        <v>0.24</v>
      </c>
      <c r="D282" s="4">
        <v>1</v>
      </c>
      <c r="E282" s="5">
        <v>0.11</v>
      </c>
      <c r="F282" s="4">
        <v>3</v>
      </c>
      <c r="G282" s="5">
        <v>0.42</v>
      </c>
      <c r="H282" s="4">
        <v>0</v>
      </c>
    </row>
    <row r="283" spans="1:8" x14ac:dyDescent="0.2">
      <c r="A283" s="2" t="s">
        <v>86</v>
      </c>
      <c r="B283" s="4">
        <v>184</v>
      </c>
      <c r="C283" s="5">
        <v>11.24</v>
      </c>
      <c r="D283" s="4">
        <v>145</v>
      </c>
      <c r="E283" s="5">
        <v>16.02</v>
      </c>
      <c r="F283" s="4">
        <v>39</v>
      </c>
      <c r="G283" s="5">
        <v>5.52</v>
      </c>
      <c r="H283" s="4">
        <v>0</v>
      </c>
    </row>
    <row r="284" spans="1:8" x14ac:dyDescent="0.2">
      <c r="A284" s="2" t="s">
        <v>87</v>
      </c>
      <c r="B284" s="4">
        <v>73</v>
      </c>
      <c r="C284" s="5">
        <v>4.46</v>
      </c>
      <c r="D284" s="4">
        <v>48</v>
      </c>
      <c r="E284" s="5">
        <v>5.3</v>
      </c>
      <c r="F284" s="4">
        <v>25</v>
      </c>
      <c r="G284" s="5">
        <v>3.54</v>
      </c>
      <c r="H284" s="4">
        <v>0</v>
      </c>
    </row>
    <row r="285" spans="1:8" x14ac:dyDescent="0.2">
      <c r="A285" s="2" t="s">
        <v>88</v>
      </c>
      <c r="B285" s="4">
        <v>183</v>
      </c>
      <c r="C285" s="5">
        <v>11.18</v>
      </c>
      <c r="D285" s="4">
        <v>148</v>
      </c>
      <c r="E285" s="5">
        <v>16.350000000000001</v>
      </c>
      <c r="F285" s="4">
        <v>35</v>
      </c>
      <c r="G285" s="5">
        <v>4.96</v>
      </c>
      <c r="H285" s="4">
        <v>0</v>
      </c>
    </row>
    <row r="286" spans="1:8" x14ac:dyDescent="0.2">
      <c r="A286" s="2" t="s">
        <v>89</v>
      </c>
      <c r="B286" s="4">
        <v>195</v>
      </c>
      <c r="C286" s="5">
        <v>11.91</v>
      </c>
      <c r="D286" s="4">
        <v>164</v>
      </c>
      <c r="E286" s="5">
        <v>18.12</v>
      </c>
      <c r="F286" s="4">
        <v>29</v>
      </c>
      <c r="G286" s="5">
        <v>4.1100000000000003</v>
      </c>
      <c r="H286" s="4">
        <v>0</v>
      </c>
    </row>
    <row r="287" spans="1:8" x14ac:dyDescent="0.2">
      <c r="A287" s="2" t="s">
        <v>90</v>
      </c>
      <c r="B287" s="4">
        <v>60</v>
      </c>
      <c r="C287" s="5">
        <v>3.67</v>
      </c>
      <c r="D287" s="4">
        <v>35</v>
      </c>
      <c r="E287" s="5">
        <v>3.87</v>
      </c>
      <c r="F287" s="4">
        <v>10</v>
      </c>
      <c r="G287" s="5">
        <v>1.42</v>
      </c>
      <c r="H287" s="4">
        <v>0</v>
      </c>
    </row>
    <row r="288" spans="1:8" x14ac:dyDescent="0.2">
      <c r="A288" s="2" t="s">
        <v>91</v>
      </c>
      <c r="B288" s="4">
        <v>70</v>
      </c>
      <c r="C288" s="5">
        <v>4.28</v>
      </c>
      <c r="D288" s="4">
        <v>42</v>
      </c>
      <c r="E288" s="5">
        <v>4.6399999999999997</v>
      </c>
      <c r="F288" s="4">
        <v>24</v>
      </c>
      <c r="G288" s="5">
        <v>3.4</v>
      </c>
      <c r="H288" s="4">
        <v>1</v>
      </c>
    </row>
    <row r="289" spans="1:8" x14ac:dyDescent="0.2">
      <c r="A289" s="2" t="s">
        <v>92</v>
      </c>
      <c r="B289" s="4">
        <v>46</v>
      </c>
      <c r="C289" s="5">
        <v>2.81</v>
      </c>
      <c r="D289" s="4">
        <v>21</v>
      </c>
      <c r="E289" s="5">
        <v>2.3199999999999998</v>
      </c>
      <c r="F289" s="4">
        <v>22</v>
      </c>
      <c r="G289" s="5">
        <v>3.12</v>
      </c>
      <c r="H289" s="4">
        <v>0</v>
      </c>
    </row>
    <row r="290" spans="1:8" x14ac:dyDescent="0.2">
      <c r="A290" s="1" t="s">
        <v>18</v>
      </c>
      <c r="B290" s="4">
        <v>791</v>
      </c>
      <c r="C290" s="5">
        <v>100.00000000000001</v>
      </c>
      <c r="D290" s="4">
        <v>434</v>
      </c>
      <c r="E290" s="5">
        <v>100.01</v>
      </c>
      <c r="F290" s="4">
        <v>330</v>
      </c>
      <c r="G290" s="5">
        <v>100.00999999999998</v>
      </c>
      <c r="H290" s="4">
        <v>2</v>
      </c>
    </row>
    <row r="291" spans="1:8" x14ac:dyDescent="0.2">
      <c r="A291" s="2" t="s">
        <v>78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79</v>
      </c>
      <c r="B292" s="4">
        <v>165</v>
      </c>
      <c r="C292" s="5">
        <v>20.86</v>
      </c>
      <c r="D292" s="4">
        <v>86</v>
      </c>
      <c r="E292" s="5">
        <v>19.82</v>
      </c>
      <c r="F292" s="4">
        <v>79</v>
      </c>
      <c r="G292" s="5">
        <v>23.94</v>
      </c>
      <c r="H292" s="4">
        <v>0</v>
      </c>
    </row>
    <row r="293" spans="1:8" x14ac:dyDescent="0.2">
      <c r="A293" s="2" t="s">
        <v>80</v>
      </c>
      <c r="B293" s="4">
        <v>117</v>
      </c>
      <c r="C293" s="5">
        <v>14.79</v>
      </c>
      <c r="D293" s="4">
        <v>47</v>
      </c>
      <c r="E293" s="5">
        <v>10.83</v>
      </c>
      <c r="F293" s="4">
        <v>69</v>
      </c>
      <c r="G293" s="5">
        <v>20.91</v>
      </c>
      <c r="H293" s="4">
        <v>1</v>
      </c>
    </row>
    <row r="294" spans="1:8" x14ac:dyDescent="0.2">
      <c r="A294" s="2" t="s">
        <v>81</v>
      </c>
      <c r="B294" s="4">
        <v>5</v>
      </c>
      <c r="C294" s="5">
        <v>0.63</v>
      </c>
      <c r="D294" s="4">
        <v>1</v>
      </c>
      <c r="E294" s="5">
        <v>0.23</v>
      </c>
      <c r="F294" s="4">
        <v>4</v>
      </c>
      <c r="G294" s="5">
        <v>1.21</v>
      </c>
      <c r="H294" s="4">
        <v>0</v>
      </c>
    </row>
    <row r="295" spans="1:8" x14ac:dyDescent="0.2">
      <c r="A295" s="2" t="s">
        <v>82</v>
      </c>
      <c r="B295" s="4">
        <v>9</v>
      </c>
      <c r="C295" s="5">
        <v>1.1399999999999999</v>
      </c>
      <c r="D295" s="4">
        <v>2</v>
      </c>
      <c r="E295" s="5">
        <v>0.46</v>
      </c>
      <c r="F295" s="4">
        <v>7</v>
      </c>
      <c r="G295" s="5">
        <v>2.12</v>
      </c>
      <c r="H295" s="4">
        <v>0</v>
      </c>
    </row>
    <row r="296" spans="1:8" x14ac:dyDescent="0.2">
      <c r="A296" s="2" t="s">
        <v>83</v>
      </c>
      <c r="B296" s="4">
        <v>3</v>
      </c>
      <c r="C296" s="5">
        <v>0.38</v>
      </c>
      <c r="D296" s="4">
        <v>0</v>
      </c>
      <c r="E296" s="5">
        <v>0</v>
      </c>
      <c r="F296" s="4">
        <v>3</v>
      </c>
      <c r="G296" s="5">
        <v>0.91</v>
      </c>
      <c r="H296" s="4">
        <v>0</v>
      </c>
    </row>
    <row r="297" spans="1:8" x14ac:dyDescent="0.2">
      <c r="A297" s="2" t="s">
        <v>84</v>
      </c>
      <c r="B297" s="4">
        <v>168</v>
      </c>
      <c r="C297" s="5">
        <v>21.24</v>
      </c>
      <c r="D297" s="4">
        <v>81</v>
      </c>
      <c r="E297" s="5">
        <v>18.66</v>
      </c>
      <c r="F297" s="4">
        <v>85</v>
      </c>
      <c r="G297" s="5">
        <v>25.76</v>
      </c>
      <c r="H297" s="4">
        <v>0</v>
      </c>
    </row>
    <row r="298" spans="1:8" x14ac:dyDescent="0.2">
      <c r="A298" s="2" t="s">
        <v>85</v>
      </c>
      <c r="B298" s="4">
        <v>2</v>
      </c>
      <c r="C298" s="5">
        <v>0.25</v>
      </c>
      <c r="D298" s="4">
        <v>1</v>
      </c>
      <c r="E298" s="5">
        <v>0.23</v>
      </c>
      <c r="F298" s="4">
        <v>1</v>
      </c>
      <c r="G298" s="5">
        <v>0.3</v>
      </c>
      <c r="H298" s="4">
        <v>0</v>
      </c>
    </row>
    <row r="299" spans="1:8" x14ac:dyDescent="0.2">
      <c r="A299" s="2" t="s">
        <v>86</v>
      </c>
      <c r="B299" s="4">
        <v>35</v>
      </c>
      <c r="C299" s="5">
        <v>4.42</v>
      </c>
      <c r="D299" s="4">
        <v>16</v>
      </c>
      <c r="E299" s="5">
        <v>3.69</v>
      </c>
      <c r="F299" s="4">
        <v>19</v>
      </c>
      <c r="G299" s="5">
        <v>5.76</v>
      </c>
      <c r="H299" s="4">
        <v>0</v>
      </c>
    </row>
    <row r="300" spans="1:8" x14ac:dyDescent="0.2">
      <c r="A300" s="2" t="s">
        <v>87</v>
      </c>
      <c r="B300" s="4">
        <v>26</v>
      </c>
      <c r="C300" s="5">
        <v>3.29</v>
      </c>
      <c r="D300" s="4">
        <v>16</v>
      </c>
      <c r="E300" s="5">
        <v>3.69</v>
      </c>
      <c r="F300" s="4">
        <v>10</v>
      </c>
      <c r="G300" s="5">
        <v>3.03</v>
      </c>
      <c r="H300" s="4">
        <v>0</v>
      </c>
    </row>
    <row r="301" spans="1:8" x14ac:dyDescent="0.2">
      <c r="A301" s="2" t="s">
        <v>88</v>
      </c>
      <c r="B301" s="4">
        <v>90</v>
      </c>
      <c r="C301" s="5">
        <v>11.38</v>
      </c>
      <c r="D301" s="4">
        <v>76</v>
      </c>
      <c r="E301" s="5">
        <v>17.510000000000002</v>
      </c>
      <c r="F301" s="4">
        <v>13</v>
      </c>
      <c r="G301" s="5">
        <v>3.94</v>
      </c>
      <c r="H301" s="4">
        <v>0</v>
      </c>
    </row>
    <row r="302" spans="1:8" x14ac:dyDescent="0.2">
      <c r="A302" s="2" t="s">
        <v>89</v>
      </c>
      <c r="B302" s="4">
        <v>80</v>
      </c>
      <c r="C302" s="5">
        <v>10.11</v>
      </c>
      <c r="D302" s="4">
        <v>65</v>
      </c>
      <c r="E302" s="5">
        <v>14.98</v>
      </c>
      <c r="F302" s="4">
        <v>13</v>
      </c>
      <c r="G302" s="5">
        <v>3.94</v>
      </c>
      <c r="H302" s="4">
        <v>0</v>
      </c>
    </row>
    <row r="303" spans="1:8" x14ac:dyDescent="0.2">
      <c r="A303" s="2" t="s">
        <v>90</v>
      </c>
      <c r="B303" s="4">
        <v>26</v>
      </c>
      <c r="C303" s="5">
        <v>3.29</v>
      </c>
      <c r="D303" s="4">
        <v>11</v>
      </c>
      <c r="E303" s="5">
        <v>2.5299999999999998</v>
      </c>
      <c r="F303" s="4">
        <v>6</v>
      </c>
      <c r="G303" s="5">
        <v>1.82</v>
      </c>
      <c r="H303" s="4">
        <v>0</v>
      </c>
    </row>
    <row r="304" spans="1:8" x14ac:dyDescent="0.2">
      <c r="A304" s="2" t="s">
        <v>91</v>
      </c>
      <c r="B304" s="4">
        <v>34</v>
      </c>
      <c r="C304" s="5">
        <v>4.3</v>
      </c>
      <c r="D304" s="4">
        <v>18</v>
      </c>
      <c r="E304" s="5">
        <v>4.1500000000000004</v>
      </c>
      <c r="F304" s="4">
        <v>6</v>
      </c>
      <c r="G304" s="5">
        <v>1.82</v>
      </c>
      <c r="H304" s="4">
        <v>1</v>
      </c>
    </row>
    <row r="305" spans="1:8" x14ac:dyDescent="0.2">
      <c r="A305" s="2" t="s">
        <v>92</v>
      </c>
      <c r="B305" s="4">
        <v>31</v>
      </c>
      <c r="C305" s="5">
        <v>3.92</v>
      </c>
      <c r="D305" s="4">
        <v>14</v>
      </c>
      <c r="E305" s="5">
        <v>3.23</v>
      </c>
      <c r="F305" s="4">
        <v>15</v>
      </c>
      <c r="G305" s="5">
        <v>4.55</v>
      </c>
      <c r="H305" s="4">
        <v>0</v>
      </c>
    </row>
    <row r="306" spans="1:8" x14ac:dyDescent="0.2">
      <c r="A306" s="1" t="s">
        <v>19</v>
      </c>
      <c r="B306" s="4">
        <v>2188</v>
      </c>
      <c r="C306" s="5">
        <v>100.02</v>
      </c>
      <c r="D306" s="4">
        <v>1158</v>
      </c>
      <c r="E306" s="5">
        <v>100.01</v>
      </c>
      <c r="F306" s="4">
        <v>1018</v>
      </c>
      <c r="G306" s="5">
        <v>100.02</v>
      </c>
      <c r="H306" s="4">
        <v>2</v>
      </c>
    </row>
    <row r="307" spans="1:8" x14ac:dyDescent="0.2">
      <c r="A307" s="2" t="s">
        <v>78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79</v>
      </c>
      <c r="B308" s="4">
        <v>385</v>
      </c>
      <c r="C308" s="5">
        <v>17.600000000000001</v>
      </c>
      <c r="D308" s="4">
        <v>126</v>
      </c>
      <c r="E308" s="5">
        <v>10.88</v>
      </c>
      <c r="F308" s="4">
        <v>259</v>
      </c>
      <c r="G308" s="5">
        <v>25.44</v>
      </c>
      <c r="H308" s="4">
        <v>0</v>
      </c>
    </row>
    <row r="309" spans="1:8" x14ac:dyDescent="0.2">
      <c r="A309" s="2" t="s">
        <v>80</v>
      </c>
      <c r="B309" s="4">
        <v>180</v>
      </c>
      <c r="C309" s="5">
        <v>8.23</v>
      </c>
      <c r="D309" s="4">
        <v>49</v>
      </c>
      <c r="E309" s="5">
        <v>4.2300000000000004</v>
      </c>
      <c r="F309" s="4">
        <v>131</v>
      </c>
      <c r="G309" s="5">
        <v>12.87</v>
      </c>
      <c r="H309" s="4">
        <v>0</v>
      </c>
    </row>
    <row r="310" spans="1:8" x14ac:dyDescent="0.2">
      <c r="A310" s="2" t="s">
        <v>81</v>
      </c>
      <c r="B310" s="4">
        <v>7</v>
      </c>
      <c r="C310" s="5">
        <v>0.32</v>
      </c>
      <c r="D310" s="4">
        <v>1</v>
      </c>
      <c r="E310" s="5">
        <v>0.09</v>
      </c>
      <c r="F310" s="4">
        <v>6</v>
      </c>
      <c r="G310" s="5">
        <v>0.59</v>
      </c>
      <c r="H310" s="4">
        <v>0</v>
      </c>
    </row>
    <row r="311" spans="1:8" x14ac:dyDescent="0.2">
      <c r="A311" s="2" t="s">
        <v>82</v>
      </c>
      <c r="B311" s="4">
        <v>12</v>
      </c>
      <c r="C311" s="5">
        <v>0.55000000000000004</v>
      </c>
      <c r="D311" s="4">
        <v>3</v>
      </c>
      <c r="E311" s="5">
        <v>0.26</v>
      </c>
      <c r="F311" s="4">
        <v>9</v>
      </c>
      <c r="G311" s="5">
        <v>0.88</v>
      </c>
      <c r="H311" s="4">
        <v>0</v>
      </c>
    </row>
    <row r="312" spans="1:8" x14ac:dyDescent="0.2">
      <c r="A312" s="2" t="s">
        <v>83</v>
      </c>
      <c r="B312" s="4">
        <v>14</v>
      </c>
      <c r="C312" s="5">
        <v>0.64</v>
      </c>
      <c r="D312" s="4">
        <v>4</v>
      </c>
      <c r="E312" s="5">
        <v>0.35</v>
      </c>
      <c r="F312" s="4">
        <v>10</v>
      </c>
      <c r="G312" s="5">
        <v>0.98</v>
      </c>
      <c r="H312" s="4">
        <v>0</v>
      </c>
    </row>
    <row r="313" spans="1:8" x14ac:dyDescent="0.2">
      <c r="A313" s="2" t="s">
        <v>84</v>
      </c>
      <c r="B313" s="4">
        <v>461</v>
      </c>
      <c r="C313" s="5">
        <v>21.07</v>
      </c>
      <c r="D313" s="4">
        <v>211</v>
      </c>
      <c r="E313" s="5">
        <v>18.22</v>
      </c>
      <c r="F313" s="4">
        <v>249</v>
      </c>
      <c r="G313" s="5">
        <v>24.46</v>
      </c>
      <c r="H313" s="4">
        <v>1</v>
      </c>
    </row>
    <row r="314" spans="1:8" x14ac:dyDescent="0.2">
      <c r="A314" s="2" t="s">
        <v>85</v>
      </c>
      <c r="B314" s="4">
        <v>9</v>
      </c>
      <c r="C314" s="5">
        <v>0.41</v>
      </c>
      <c r="D314" s="4">
        <v>1</v>
      </c>
      <c r="E314" s="5">
        <v>0.09</v>
      </c>
      <c r="F314" s="4">
        <v>8</v>
      </c>
      <c r="G314" s="5">
        <v>0.79</v>
      </c>
      <c r="H314" s="4">
        <v>0</v>
      </c>
    </row>
    <row r="315" spans="1:8" x14ac:dyDescent="0.2">
      <c r="A315" s="2" t="s">
        <v>86</v>
      </c>
      <c r="B315" s="4">
        <v>176</v>
      </c>
      <c r="C315" s="5">
        <v>8.0399999999999991</v>
      </c>
      <c r="D315" s="4">
        <v>102</v>
      </c>
      <c r="E315" s="5">
        <v>8.81</v>
      </c>
      <c r="F315" s="4">
        <v>74</v>
      </c>
      <c r="G315" s="5">
        <v>7.27</v>
      </c>
      <c r="H315" s="4">
        <v>0</v>
      </c>
    </row>
    <row r="316" spans="1:8" x14ac:dyDescent="0.2">
      <c r="A316" s="2" t="s">
        <v>87</v>
      </c>
      <c r="B316" s="4">
        <v>89</v>
      </c>
      <c r="C316" s="5">
        <v>4.07</v>
      </c>
      <c r="D316" s="4">
        <v>41</v>
      </c>
      <c r="E316" s="5">
        <v>3.54</v>
      </c>
      <c r="F316" s="4">
        <v>48</v>
      </c>
      <c r="G316" s="5">
        <v>4.72</v>
      </c>
      <c r="H316" s="4">
        <v>0</v>
      </c>
    </row>
    <row r="317" spans="1:8" x14ac:dyDescent="0.2">
      <c r="A317" s="2" t="s">
        <v>88</v>
      </c>
      <c r="B317" s="4">
        <v>301</v>
      </c>
      <c r="C317" s="5">
        <v>13.76</v>
      </c>
      <c r="D317" s="4">
        <v>243</v>
      </c>
      <c r="E317" s="5">
        <v>20.98</v>
      </c>
      <c r="F317" s="4">
        <v>58</v>
      </c>
      <c r="G317" s="5">
        <v>5.7</v>
      </c>
      <c r="H317" s="4">
        <v>0</v>
      </c>
    </row>
    <row r="318" spans="1:8" x14ac:dyDescent="0.2">
      <c r="A318" s="2" t="s">
        <v>89</v>
      </c>
      <c r="B318" s="4">
        <v>264</v>
      </c>
      <c r="C318" s="5">
        <v>12.07</v>
      </c>
      <c r="D318" s="4">
        <v>203</v>
      </c>
      <c r="E318" s="5">
        <v>17.53</v>
      </c>
      <c r="F318" s="4">
        <v>59</v>
      </c>
      <c r="G318" s="5">
        <v>5.8</v>
      </c>
      <c r="H318" s="4">
        <v>0</v>
      </c>
    </row>
    <row r="319" spans="1:8" x14ac:dyDescent="0.2">
      <c r="A319" s="2" t="s">
        <v>90</v>
      </c>
      <c r="B319" s="4">
        <v>116</v>
      </c>
      <c r="C319" s="5">
        <v>5.3</v>
      </c>
      <c r="D319" s="4">
        <v>75</v>
      </c>
      <c r="E319" s="5">
        <v>6.48</v>
      </c>
      <c r="F319" s="4">
        <v>34</v>
      </c>
      <c r="G319" s="5">
        <v>3.34</v>
      </c>
      <c r="H319" s="4">
        <v>0</v>
      </c>
    </row>
    <row r="320" spans="1:8" x14ac:dyDescent="0.2">
      <c r="A320" s="2" t="s">
        <v>91</v>
      </c>
      <c r="B320" s="4">
        <v>115</v>
      </c>
      <c r="C320" s="5">
        <v>5.26</v>
      </c>
      <c r="D320" s="4">
        <v>73</v>
      </c>
      <c r="E320" s="5">
        <v>6.3</v>
      </c>
      <c r="F320" s="4">
        <v>42</v>
      </c>
      <c r="G320" s="5">
        <v>4.13</v>
      </c>
      <c r="H320" s="4">
        <v>0</v>
      </c>
    </row>
    <row r="321" spans="1:8" x14ac:dyDescent="0.2">
      <c r="A321" s="2" t="s">
        <v>92</v>
      </c>
      <c r="B321" s="4">
        <v>59</v>
      </c>
      <c r="C321" s="5">
        <v>2.7</v>
      </c>
      <c r="D321" s="4">
        <v>26</v>
      </c>
      <c r="E321" s="5">
        <v>2.25</v>
      </c>
      <c r="F321" s="4">
        <v>31</v>
      </c>
      <c r="G321" s="5">
        <v>3.05</v>
      </c>
      <c r="H321" s="4">
        <v>1</v>
      </c>
    </row>
    <row r="322" spans="1:8" x14ac:dyDescent="0.2">
      <c r="A322" s="1" t="s">
        <v>20</v>
      </c>
      <c r="B322" s="4">
        <v>184</v>
      </c>
      <c r="C322" s="5">
        <v>100.00000000000001</v>
      </c>
      <c r="D322" s="4">
        <v>129</v>
      </c>
      <c r="E322" s="5">
        <v>100.01</v>
      </c>
      <c r="F322" s="4">
        <v>50</v>
      </c>
      <c r="G322" s="5">
        <v>100</v>
      </c>
      <c r="H322" s="4">
        <v>1</v>
      </c>
    </row>
    <row r="323" spans="1:8" x14ac:dyDescent="0.2">
      <c r="A323" s="2" t="s">
        <v>78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79</v>
      </c>
      <c r="B324" s="4">
        <v>37</v>
      </c>
      <c r="C324" s="5">
        <v>20.11</v>
      </c>
      <c r="D324" s="4">
        <v>27</v>
      </c>
      <c r="E324" s="5">
        <v>20.93</v>
      </c>
      <c r="F324" s="4">
        <v>10</v>
      </c>
      <c r="G324" s="5">
        <v>20</v>
      </c>
      <c r="H324" s="4">
        <v>0</v>
      </c>
    </row>
    <row r="325" spans="1:8" x14ac:dyDescent="0.2">
      <c r="A325" s="2" t="s">
        <v>80</v>
      </c>
      <c r="B325" s="4">
        <v>24</v>
      </c>
      <c r="C325" s="5">
        <v>13.04</v>
      </c>
      <c r="D325" s="4">
        <v>16</v>
      </c>
      <c r="E325" s="5">
        <v>12.4</v>
      </c>
      <c r="F325" s="4">
        <v>8</v>
      </c>
      <c r="G325" s="5">
        <v>16</v>
      </c>
      <c r="H325" s="4">
        <v>0</v>
      </c>
    </row>
    <row r="326" spans="1:8" x14ac:dyDescent="0.2">
      <c r="A326" s="2" t="s">
        <v>81</v>
      </c>
      <c r="B326" s="4">
        <v>2</v>
      </c>
      <c r="C326" s="5">
        <v>1.0900000000000001</v>
      </c>
      <c r="D326" s="4">
        <v>0</v>
      </c>
      <c r="E326" s="5">
        <v>0</v>
      </c>
      <c r="F326" s="4">
        <v>1</v>
      </c>
      <c r="G326" s="5">
        <v>2</v>
      </c>
      <c r="H326" s="4">
        <v>0</v>
      </c>
    </row>
    <row r="327" spans="1:8" x14ac:dyDescent="0.2">
      <c r="A327" s="2" t="s">
        <v>82</v>
      </c>
      <c r="B327" s="4">
        <v>2</v>
      </c>
      <c r="C327" s="5">
        <v>1.0900000000000001</v>
      </c>
      <c r="D327" s="4">
        <v>1</v>
      </c>
      <c r="E327" s="5">
        <v>0.78</v>
      </c>
      <c r="F327" s="4">
        <v>1</v>
      </c>
      <c r="G327" s="5">
        <v>2</v>
      </c>
      <c r="H327" s="4">
        <v>0</v>
      </c>
    </row>
    <row r="328" spans="1:8" x14ac:dyDescent="0.2">
      <c r="A328" s="2" t="s">
        <v>83</v>
      </c>
      <c r="B328" s="4">
        <v>2</v>
      </c>
      <c r="C328" s="5">
        <v>1.0900000000000001</v>
      </c>
      <c r="D328" s="4">
        <v>0</v>
      </c>
      <c r="E328" s="5">
        <v>0</v>
      </c>
      <c r="F328" s="4">
        <v>1</v>
      </c>
      <c r="G328" s="5">
        <v>2</v>
      </c>
      <c r="H328" s="4">
        <v>0</v>
      </c>
    </row>
    <row r="329" spans="1:8" x14ac:dyDescent="0.2">
      <c r="A329" s="2" t="s">
        <v>84</v>
      </c>
      <c r="B329" s="4">
        <v>41</v>
      </c>
      <c r="C329" s="5">
        <v>22.28</v>
      </c>
      <c r="D329" s="4">
        <v>22</v>
      </c>
      <c r="E329" s="5">
        <v>17.05</v>
      </c>
      <c r="F329" s="4">
        <v>18</v>
      </c>
      <c r="G329" s="5">
        <v>36</v>
      </c>
      <c r="H329" s="4">
        <v>1</v>
      </c>
    </row>
    <row r="330" spans="1:8" x14ac:dyDescent="0.2">
      <c r="A330" s="2" t="s">
        <v>85</v>
      </c>
      <c r="B330" s="4">
        <v>0</v>
      </c>
      <c r="C330" s="5">
        <v>0</v>
      </c>
      <c r="D330" s="4">
        <v>0</v>
      </c>
      <c r="E330" s="5">
        <v>0</v>
      </c>
      <c r="F330" s="4">
        <v>0</v>
      </c>
      <c r="G330" s="5">
        <v>0</v>
      </c>
      <c r="H330" s="4">
        <v>0</v>
      </c>
    </row>
    <row r="331" spans="1:8" x14ac:dyDescent="0.2">
      <c r="A331" s="2" t="s">
        <v>86</v>
      </c>
      <c r="B331" s="4">
        <v>4</v>
      </c>
      <c r="C331" s="5">
        <v>2.17</v>
      </c>
      <c r="D331" s="4">
        <v>3</v>
      </c>
      <c r="E331" s="5">
        <v>2.33</v>
      </c>
      <c r="F331" s="4">
        <v>1</v>
      </c>
      <c r="G331" s="5">
        <v>2</v>
      </c>
      <c r="H331" s="4">
        <v>0</v>
      </c>
    </row>
    <row r="332" spans="1:8" x14ac:dyDescent="0.2">
      <c r="A332" s="2" t="s">
        <v>87</v>
      </c>
      <c r="B332" s="4">
        <v>8</v>
      </c>
      <c r="C332" s="5">
        <v>4.3499999999999996</v>
      </c>
      <c r="D332" s="4">
        <v>5</v>
      </c>
      <c r="E332" s="5">
        <v>3.88</v>
      </c>
      <c r="F332" s="4">
        <v>2</v>
      </c>
      <c r="G332" s="5">
        <v>4</v>
      </c>
      <c r="H332" s="4">
        <v>0</v>
      </c>
    </row>
    <row r="333" spans="1:8" x14ac:dyDescent="0.2">
      <c r="A333" s="2" t="s">
        <v>88</v>
      </c>
      <c r="B333" s="4">
        <v>26</v>
      </c>
      <c r="C333" s="5">
        <v>14.13</v>
      </c>
      <c r="D333" s="4">
        <v>25</v>
      </c>
      <c r="E333" s="5">
        <v>19.38</v>
      </c>
      <c r="F333" s="4">
        <v>1</v>
      </c>
      <c r="G333" s="5">
        <v>2</v>
      </c>
      <c r="H333" s="4">
        <v>0</v>
      </c>
    </row>
    <row r="334" spans="1:8" x14ac:dyDescent="0.2">
      <c r="A334" s="2" t="s">
        <v>89</v>
      </c>
      <c r="B334" s="4">
        <v>23</v>
      </c>
      <c r="C334" s="5">
        <v>12.5</v>
      </c>
      <c r="D334" s="4">
        <v>19</v>
      </c>
      <c r="E334" s="5">
        <v>14.73</v>
      </c>
      <c r="F334" s="4">
        <v>4</v>
      </c>
      <c r="G334" s="5">
        <v>8</v>
      </c>
      <c r="H334" s="4">
        <v>0</v>
      </c>
    </row>
    <row r="335" spans="1:8" x14ac:dyDescent="0.2">
      <c r="A335" s="2" t="s">
        <v>90</v>
      </c>
      <c r="B335" s="4">
        <v>4</v>
      </c>
      <c r="C335" s="5">
        <v>2.17</v>
      </c>
      <c r="D335" s="4">
        <v>3</v>
      </c>
      <c r="E335" s="5">
        <v>2.33</v>
      </c>
      <c r="F335" s="4">
        <v>0</v>
      </c>
      <c r="G335" s="5">
        <v>0</v>
      </c>
      <c r="H335" s="4">
        <v>0</v>
      </c>
    </row>
    <row r="336" spans="1:8" x14ac:dyDescent="0.2">
      <c r="A336" s="2" t="s">
        <v>91</v>
      </c>
      <c r="B336" s="4">
        <v>6</v>
      </c>
      <c r="C336" s="5">
        <v>3.26</v>
      </c>
      <c r="D336" s="4">
        <v>6</v>
      </c>
      <c r="E336" s="5">
        <v>4.6500000000000004</v>
      </c>
      <c r="F336" s="4">
        <v>0</v>
      </c>
      <c r="G336" s="5">
        <v>0</v>
      </c>
      <c r="H336" s="4">
        <v>0</v>
      </c>
    </row>
    <row r="337" spans="1:8" x14ac:dyDescent="0.2">
      <c r="A337" s="2" t="s">
        <v>92</v>
      </c>
      <c r="B337" s="4">
        <v>5</v>
      </c>
      <c r="C337" s="5">
        <v>2.72</v>
      </c>
      <c r="D337" s="4">
        <v>2</v>
      </c>
      <c r="E337" s="5">
        <v>1.55</v>
      </c>
      <c r="F337" s="4">
        <v>3</v>
      </c>
      <c r="G337" s="5">
        <v>6</v>
      </c>
      <c r="H337" s="4">
        <v>0</v>
      </c>
    </row>
    <row r="338" spans="1:8" x14ac:dyDescent="0.2">
      <c r="A338" s="1" t="s">
        <v>21</v>
      </c>
      <c r="B338" s="4">
        <v>114</v>
      </c>
      <c r="C338" s="5">
        <v>100</v>
      </c>
      <c r="D338" s="4">
        <v>62</v>
      </c>
      <c r="E338" s="5">
        <v>99.99</v>
      </c>
      <c r="F338" s="4">
        <v>45</v>
      </c>
      <c r="G338" s="5">
        <v>100</v>
      </c>
      <c r="H338" s="4">
        <v>0</v>
      </c>
    </row>
    <row r="339" spans="1:8" x14ac:dyDescent="0.2">
      <c r="A339" s="2" t="s">
        <v>78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79</v>
      </c>
      <c r="B340" s="4">
        <v>24</v>
      </c>
      <c r="C340" s="5">
        <v>21.05</v>
      </c>
      <c r="D340" s="4">
        <v>14</v>
      </c>
      <c r="E340" s="5">
        <v>22.58</v>
      </c>
      <c r="F340" s="4">
        <v>10</v>
      </c>
      <c r="G340" s="5">
        <v>22.22</v>
      </c>
      <c r="H340" s="4">
        <v>0</v>
      </c>
    </row>
    <row r="341" spans="1:8" x14ac:dyDescent="0.2">
      <c r="A341" s="2" t="s">
        <v>80</v>
      </c>
      <c r="B341" s="4">
        <v>7</v>
      </c>
      <c r="C341" s="5">
        <v>6.14</v>
      </c>
      <c r="D341" s="4">
        <v>3</v>
      </c>
      <c r="E341" s="5">
        <v>4.84</v>
      </c>
      <c r="F341" s="4">
        <v>4</v>
      </c>
      <c r="G341" s="5">
        <v>8.89</v>
      </c>
      <c r="H341" s="4">
        <v>0</v>
      </c>
    </row>
    <row r="342" spans="1:8" x14ac:dyDescent="0.2">
      <c r="A342" s="2" t="s">
        <v>81</v>
      </c>
      <c r="B342" s="4">
        <v>2</v>
      </c>
      <c r="C342" s="5">
        <v>1.75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2">
      <c r="A343" s="2" t="s">
        <v>82</v>
      </c>
      <c r="B343" s="4">
        <v>0</v>
      </c>
      <c r="C343" s="5">
        <v>0</v>
      </c>
      <c r="D343" s="4">
        <v>0</v>
      </c>
      <c r="E343" s="5">
        <v>0</v>
      </c>
      <c r="F343" s="4">
        <v>0</v>
      </c>
      <c r="G343" s="5">
        <v>0</v>
      </c>
      <c r="H343" s="4">
        <v>0</v>
      </c>
    </row>
    <row r="344" spans="1:8" x14ac:dyDescent="0.2">
      <c r="A344" s="2" t="s">
        <v>83</v>
      </c>
      <c r="B344" s="4">
        <v>2</v>
      </c>
      <c r="C344" s="5">
        <v>1.75</v>
      </c>
      <c r="D344" s="4">
        <v>0</v>
      </c>
      <c r="E344" s="5">
        <v>0</v>
      </c>
      <c r="F344" s="4">
        <v>1</v>
      </c>
      <c r="G344" s="5">
        <v>2.2200000000000002</v>
      </c>
      <c r="H344" s="4">
        <v>0</v>
      </c>
    </row>
    <row r="345" spans="1:8" x14ac:dyDescent="0.2">
      <c r="A345" s="2" t="s">
        <v>84</v>
      </c>
      <c r="B345" s="4">
        <v>31</v>
      </c>
      <c r="C345" s="5">
        <v>27.19</v>
      </c>
      <c r="D345" s="4">
        <v>14</v>
      </c>
      <c r="E345" s="5">
        <v>22.58</v>
      </c>
      <c r="F345" s="4">
        <v>17</v>
      </c>
      <c r="G345" s="5">
        <v>37.78</v>
      </c>
      <c r="H345" s="4">
        <v>0</v>
      </c>
    </row>
    <row r="346" spans="1:8" x14ac:dyDescent="0.2">
      <c r="A346" s="2" t="s">
        <v>85</v>
      </c>
      <c r="B346" s="4">
        <v>0</v>
      </c>
      <c r="C346" s="5">
        <v>0</v>
      </c>
      <c r="D346" s="4">
        <v>0</v>
      </c>
      <c r="E346" s="5">
        <v>0</v>
      </c>
      <c r="F346" s="4">
        <v>0</v>
      </c>
      <c r="G346" s="5">
        <v>0</v>
      </c>
      <c r="H346" s="4">
        <v>0</v>
      </c>
    </row>
    <row r="347" spans="1:8" x14ac:dyDescent="0.2">
      <c r="A347" s="2" t="s">
        <v>86</v>
      </c>
      <c r="B347" s="4">
        <v>1</v>
      </c>
      <c r="C347" s="5">
        <v>0.88</v>
      </c>
      <c r="D347" s="4">
        <v>0</v>
      </c>
      <c r="E347" s="5">
        <v>0</v>
      </c>
      <c r="F347" s="4">
        <v>1</v>
      </c>
      <c r="G347" s="5">
        <v>2.2200000000000002</v>
      </c>
      <c r="H347" s="4">
        <v>0</v>
      </c>
    </row>
    <row r="348" spans="1:8" x14ac:dyDescent="0.2">
      <c r="A348" s="2" t="s">
        <v>87</v>
      </c>
      <c r="B348" s="4">
        <v>1</v>
      </c>
      <c r="C348" s="5">
        <v>0.88</v>
      </c>
      <c r="D348" s="4">
        <v>1</v>
      </c>
      <c r="E348" s="5">
        <v>1.61</v>
      </c>
      <c r="F348" s="4">
        <v>0</v>
      </c>
      <c r="G348" s="5">
        <v>0</v>
      </c>
      <c r="H348" s="4">
        <v>0</v>
      </c>
    </row>
    <row r="349" spans="1:8" x14ac:dyDescent="0.2">
      <c r="A349" s="2" t="s">
        <v>88</v>
      </c>
      <c r="B349" s="4">
        <v>18</v>
      </c>
      <c r="C349" s="5">
        <v>15.79</v>
      </c>
      <c r="D349" s="4">
        <v>11</v>
      </c>
      <c r="E349" s="5">
        <v>17.739999999999998</v>
      </c>
      <c r="F349" s="4">
        <v>7</v>
      </c>
      <c r="G349" s="5">
        <v>15.56</v>
      </c>
      <c r="H349" s="4">
        <v>0</v>
      </c>
    </row>
    <row r="350" spans="1:8" x14ac:dyDescent="0.2">
      <c r="A350" s="2" t="s">
        <v>89</v>
      </c>
      <c r="B350" s="4">
        <v>12</v>
      </c>
      <c r="C350" s="5">
        <v>10.53</v>
      </c>
      <c r="D350" s="4">
        <v>11</v>
      </c>
      <c r="E350" s="5">
        <v>17.739999999999998</v>
      </c>
      <c r="F350" s="4">
        <v>1</v>
      </c>
      <c r="G350" s="5">
        <v>2.2200000000000002</v>
      </c>
      <c r="H350" s="4">
        <v>0</v>
      </c>
    </row>
    <row r="351" spans="1:8" x14ac:dyDescent="0.2">
      <c r="A351" s="2" t="s">
        <v>90</v>
      </c>
      <c r="B351" s="4">
        <v>8</v>
      </c>
      <c r="C351" s="5">
        <v>7.02</v>
      </c>
      <c r="D351" s="4">
        <v>7</v>
      </c>
      <c r="E351" s="5">
        <v>11.29</v>
      </c>
      <c r="F351" s="4">
        <v>0</v>
      </c>
      <c r="G351" s="5">
        <v>0</v>
      </c>
      <c r="H351" s="4">
        <v>0</v>
      </c>
    </row>
    <row r="352" spans="1:8" x14ac:dyDescent="0.2">
      <c r="A352" s="2" t="s">
        <v>91</v>
      </c>
      <c r="B352" s="4">
        <v>3</v>
      </c>
      <c r="C352" s="5">
        <v>2.63</v>
      </c>
      <c r="D352" s="4">
        <v>1</v>
      </c>
      <c r="E352" s="5">
        <v>1.61</v>
      </c>
      <c r="F352" s="4">
        <v>0</v>
      </c>
      <c r="G352" s="5">
        <v>0</v>
      </c>
      <c r="H352" s="4">
        <v>0</v>
      </c>
    </row>
    <row r="353" spans="1:8" x14ac:dyDescent="0.2">
      <c r="A353" s="2" t="s">
        <v>92</v>
      </c>
      <c r="B353" s="4">
        <v>5</v>
      </c>
      <c r="C353" s="5">
        <v>4.3899999999999997</v>
      </c>
      <c r="D353" s="4">
        <v>0</v>
      </c>
      <c r="E353" s="5">
        <v>0</v>
      </c>
      <c r="F353" s="4">
        <v>4</v>
      </c>
      <c r="G353" s="5">
        <v>8.89</v>
      </c>
      <c r="H353" s="4">
        <v>0</v>
      </c>
    </row>
    <row r="354" spans="1:8" x14ac:dyDescent="0.2">
      <c r="A354" s="1" t="s">
        <v>22</v>
      </c>
      <c r="B354" s="4">
        <v>67</v>
      </c>
      <c r="C354" s="5">
        <v>100.02</v>
      </c>
      <c r="D354" s="4">
        <v>38</v>
      </c>
      <c r="E354" s="5">
        <v>99.999999999999972</v>
      </c>
      <c r="F354" s="4">
        <v>27</v>
      </c>
      <c r="G354" s="5">
        <v>99.99</v>
      </c>
      <c r="H354" s="4">
        <v>0</v>
      </c>
    </row>
    <row r="355" spans="1:8" x14ac:dyDescent="0.2">
      <c r="A355" s="2" t="s">
        <v>78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79</v>
      </c>
      <c r="B356" s="4">
        <v>7</v>
      </c>
      <c r="C356" s="5">
        <v>10.45</v>
      </c>
      <c r="D356" s="4">
        <v>4</v>
      </c>
      <c r="E356" s="5">
        <v>10.53</v>
      </c>
      <c r="F356" s="4">
        <v>3</v>
      </c>
      <c r="G356" s="5">
        <v>11.11</v>
      </c>
      <c r="H356" s="4">
        <v>0</v>
      </c>
    </row>
    <row r="357" spans="1:8" x14ac:dyDescent="0.2">
      <c r="A357" s="2" t="s">
        <v>80</v>
      </c>
      <c r="B357" s="4">
        <v>3</v>
      </c>
      <c r="C357" s="5">
        <v>4.4800000000000004</v>
      </c>
      <c r="D357" s="4">
        <v>1</v>
      </c>
      <c r="E357" s="5">
        <v>2.63</v>
      </c>
      <c r="F357" s="4">
        <v>2</v>
      </c>
      <c r="G357" s="5">
        <v>7.41</v>
      </c>
      <c r="H357" s="4">
        <v>0</v>
      </c>
    </row>
    <row r="358" spans="1:8" x14ac:dyDescent="0.2">
      <c r="A358" s="2" t="s">
        <v>81</v>
      </c>
      <c r="B358" s="4">
        <v>2</v>
      </c>
      <c r="C358" s="5">
        <v>2.99</v>
      </c>
      <c r="D358" s="4">
        <v>0</v>
      </c>
      <c r="E358" s="5">
        <v>0</v>
      </c>
      <c r="F358" s="4">
        <v>1</v>
      </c>
      <c r="G358" s="5">
        <v>3.7</v>
      </c>
      <c r="H358" s="4">
        <v>0</v>
      </c>
    </row>
    <row r="359" spans="1:8" x14ac:dyDescent="0.2">
      <c r="A359" s="2" t="s">
        <v>82</v>
      </c>
      <c r="B359" s="4">
        <v>0</v>
      </c>
      <c r="C359" s="5">
        <v>0</v>
      </c>
      <c r="D359" s="4">
        <v>0</v>
      </c>
      <c r="E359" s="5">
        <v>0</v>
      </c>
      <c r="F359" s="4">
        <v>0</v>
      </c>
      <c r="G359" s="5">
        <v>0</v>
      </c>
      <c r="H359" s="4">
        <v>0</v>
      </c>
    </row>
    <row r="360" spans="1:8" x14ac:dyDescent="0.2">
      <c r="A360" s="2" t="s">
        <v>83</v>
      </c>
      <c r="B360" s="4">
        <v>3</v>
      </c>
      <c r="C360" s="5">
        <v>4.4800000000000004</v>
      </c>
      <c r="D360" s="4">
        <v>0</v>
      </c>
      <c r="E360" s="5">
        <v>0</v>
      </c>
      <c r="F360" s="4">
        <v>3</v>
      </c>
      <c r="G360" s="5">
        <v>11.11</v>
      </c>
      <c r="H360" s="4">
        <v>0</v>
      </c>
    </row>
    <row r="361" spans="1:8" x14ac:dyDescent="0.2">
      <c r="A361" s="2" t="s">
        <v>84</v>
      </c>
      <c r="B361" s="4">
        <v>15</v>
      </c>
      <c r="C361" s="5">
        <v>22.39</v>
      </c>
      <c r="D361" s="4">
        <v>6</v>
      </c>
      <c r="E361" s="5">
        <v>15.79</v>
      </c>
      <c r="F361" s="4">
        <v>9</v>
      </c>
      <c r="G361" s="5">
        <v>33.33</v>
      </c>
      <c r="H361" s="4">
        <v>0</v>
      </c>
    </row>
    <row r="362" spans="1:8" x14ac:dyDescent="0.2">
      <c r="A362" s="2" t="s">
        <v>85</v>
      </c>
      <c r="B362" s="4">
        <v>0</v>
      </c>
      <c r="C362" s="5">
        <v>0</v>
      </c>
      <c r="D362" s="4">
        <v>0</v>
      </c>
      <c r="E362" s="5">
        <v>0</v>
      </c>
      <c r="F362" s="4">
        <v>0</v>
      </c>
      <c r="G362" s="5">
        <v>0</v>
      </c>
      <c r="H362" s="4">
        <v>0</v>
      </c>
    </row>
    <row r="363" spans="1:8" x14ac:dyDescent="0.2">
      <c r="A363" s="2" t="s">
        <v>86</v>
      </c>
      <c r="B363" s="4">
        <v>2</v>
      </c>
      <c r="C363" s="5">
        <v>2.99</v>
      </c>
      <c r="D363" s="4">
        <v>0</v>
      </c>
      <c r="E363" s="5">
        <v>0</v>
      </c>
      <c r="F363" s="4">
        <v>2</v>
      </c>
      <c r="G363" s="5">
        <v>7.41</v>
      </c>
      <c r="H363" s="4">
        <v>0</v>
      </c>
    </row>
    <row r="364" spans="1:8" x14ac:dyDescent="0.2">
      <c r="A364" s="2" t="s">
        <v>87</v>
      </c>
      <c r="B364" s="4">
        <v>2</v>
      </c>
      <c r="C364" s="5">
        <v>2.99</v>
      </c>
      <c r="D364" s="4">
        <v>1</v>
      </c>
      <c r="E364" s="5">
        <v>2.63</v>
      </c>
      <c r="F364" s="4">
        <v>1</v>
      </c>
      <c r="G364" s="5">
        <v>3.7</v>
      </c>
      <c r="H364" s="4">
        <v>0</v>
      </c>
    </row>
    <row r="365" spans="1:8" x14ac:dyDescent="0.2">
      <c r="A365" s="2" t="s">
        <v>88</v>
      </c>
      <c r="B365" s="4">
        <v>21</v>
      </c>
      <c r="C365" s="5">
        <v>31.34</v>
      </c>
      <c r="D365" s="4">
        <v>18</v>
      </c>
      <c r="E365" s="5">
        <v>47.37</v>
      </c>
      <c r="F365" s="4">
        <v>3</v>
      </c>
      <c r="G365" s="5">
        <v>11.11</v>
      </c>
      <c r="H365" s="4">
        <v>0</v>
      </c>
    </row>
    <row r="366" spans="1:8" x14ac:dyDescent="0.2">
      <c r="A366" s="2" t="s">
        <v>89</v>
      </c>
      <c r="B366" s="4">
        <v>5</v>
      </c>
      <c r="C366" s="5">
        <v>7.46</v>
      </c>
      <c r="D366" s="4">
        <v>5</v>
      </c>
      <c r="E366" s="5">
        <v>13.16</v>
      </c>
      <c r="F366" s="4">
        <v>0</v>
      </c>
      <c r="G366" s="5">
        <v>0</v>
      </c>
      <c r="H366" s="4">
        <v>0</v>
      </c>
    </row>
    <row r="367" spans="1:8" x14ac:dyDescent="0.2">
      <c r="A367" s="2" t="s">
        <v>90</v>
      </c>
      <c r="B367" s="4">
        <v>2</v>
      </c>
      <c r="C367" s="5">
        <v>2.99</v>
      </c>
      <c r="D367" s="4">
        <v>1</v>
      </c>
      <c r="E367" s="5">
        <v>2.63</v>
      </c>
      <c r="F367" s="4">
        <v>0</v>
      </c>
      <c r="G367" s="5">
        <v>0</v>
      </c>
      <c r="H367" s="4">
        <v>0</v>
      </c>
    </row>
    <row r="368" spans="1:8" x14ac:dyDescent="0.2">
      <c r="A368" s="2" t="s">
        <v>91</v>
      </c>
      <c r="B368" s="4">
        <v>1</v>
      </c>
      <c r="C368" s="5">
        <v>1.49</v>
      </c>
      <c r="D368" s="4">
        <v>1</v>
      </c>
      <c r="E368" s="5">
        <v>2.63</v>
      </c>
      <c r="F368" s="4">
        <v>0</v>
      </c>
      <c r="G368" s="5">
        <v>0</v>
      </c>
      <c r="H368" s="4">
        <v>0</v>
      </c>
    </row>
    <row r="369" spans="1:8" x14ac:dyDescent="0.2">
      <c r="A369" s="2" t="s">
        <v>92</v>
      </c>
      <c r="B369" s="4">
        <v>4</v>
      </c>
      <c r="C369" s="5">
        <v>5.97</v>
      </c>
      <c r="D369" s="4">
        <v>1</v>
      </c>
      <c r="E369" s="5">
        <v>2.63</v>
      </c>
      <c r="F369" s="4">
        <v>3</v>
      </c>
      <c r="G369" s="5">
        <v>11.11</v>
      </c>
      <c r="H369" s="4">
        <v>0</v>
      </c>
    </row>
    <row r="370" spans="1:8" x14ac:dyDescent="0.2">
      <c r="A370" s="1" t="s">
        <v>23</v>
      </c>
      <c r="B370" s="4">
        <v>43</v>
      </c>
      <c r="C370" s="5">
        <v>100.02</v>
      </c>
      <c r="D370" s="4">
        <v>24</v>
      </c>
      <c r="E370" s="5">
        <v>100</v>
      </c>
      <c r="F370" s="4">
        <v>14</v>
      </c>
      <c r="G370" s="5">
        <v>99.99</v>
      </c>
      <c r="H370" s="4">
        <v>0</v>
      </c>
    </row>
    <row r="371" spans="1:8" x14ac:dyDescent="0.2">
      <c r="A371" s="2" t="s">
        <v>78</v>
      </c>
      <c r="B371" s="4">
        <v>1</v>
      </c>
      <c r="C371" s="5">
        <v>2.33</v>
      </c>
      <c r="D371" s="4">
        <v>1</v>
      </c>
      <c r="E371" s="5">
        <v>4.17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79</v>
      </c>
      <c r="B372" s="4">
        <v>13</v>
      </c>
      <c r="C372" s="5">
        <v>30.23</v>
      </c>
      <c r="D372" s="4">
        <v>9</v>
      </c>
      <c r="E372" s="5">
        <v>37.5</v>
      </c>
      <c r="F372" s="4">
        <v>4</v>
      </c>
      <c r="G372" s="5">
        <v>28.57</v>
      </c>
      <c r="H372" s="4">
        <v>0</v>
      </c>
    </row>
    <row r="373" spans="1:8" x14ac:dyDescent="0.2">
      <c r="A373" s="2" t="s">
        <v>80</v>
      </c>
      <c r="B373" s="4">
        <v>2</v>
      </c>
      <c r="C373" s="5">
        <v>4.6500000000000004</v>
      </c>
      <c r="D373" s="4">
        <v>2</v>
      </c>
      <c r="E373" s="5">
        <v>8.33</v>
      </c>
      <c r="F373" s="4">
        <v>0</v>
      </c>
      <c r="G373" s="5">
        <v>0</v>
      </c>
      <c r="H373" s="4">
        <v>0</v>
      </c>
    </row>
    <row r="374" spans="1:8" x14ac:dyDescent="0.2">
      <c r="A374" s="2" t="s">
        <v>81</v>
      </c>
      <c r="B374" s="4">
        <v>1</v>
      </c>
      <c r="C374" s="5">
        <v>2.33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2">
      <c r="A375" s="2" t="s">
        <v>82</v>
      </c>
      <c r="B375" s="4">
        <v>1</v>
      </c>
      <c r="C375" s="5">
        <v>2.33</v>
      </c>
      <c r="D375" s="4">
        <v>0</v>
      </c>
      <c r="E375" s="5">
        <v>0</v>
      </c>
      <c r="F375" s="4">
        <v>0</v>
      </c>
      <c r="G375" s="5">
        <v>0</v>
      </c>
      <c r="H375" s="4">
        <v>0</v>
      </c>
    </row>
    <row r="376" spans="1:8" x14ac:dyDescent="0.2">
      <c r="A376" s="2" t="s">
        <v>83</v>
      </c>
      <c r="B376" s="4">
        <v>1</v>
      </c>
      <c r="C376" s="5">
        <v>2.33</v>
      </c>
      <c r="D376" s="4">
        <v>0</v>
      </c>
      <c r="E376" s="5">
        <v>0</v>
      </c>
      <c r="F376" s="4">
        <v>1</v>
      </c>
      <c r="G376" s="5">
        <v>7.14</v>
      </c>
      <c r="H376" s="4">
        <v>0</v>
      </c>
    </row>
    <row r="377" spans="1:8" x14ac:dyDescent="0.2">
      <c r="A377" s="2" t="s">
        <v>84</v>
      </c>
      <c r="B377" s="4">
        <v>8</v>
      </c>
      <c r="C377" s="5">
        <v>18.600000000000001</v>
      </c>
      <c r="D377" s="4">
        <v>5</v>
      </c>
      <c r="E377" s="5">
        <v>20.83</v>
      </c>
      <c r="F377" s="4">
        <v>3</v>
      </c>
      <c r="G377" s="5">
        <v>21.43</v>
      </c>
      <c r="H377" s="4">
        <v>0</v>
      </c>
    </row>
    <row r="378" spans="1:8" x14ac:dyDescent="0.2">
      <c r="A378" s="2" t="s">
        <v>85</v>
      </c>
      <c r="B378" s="4">
        <v>0</v>
      </c>
      <c r="C378" s="5">
        <v>0</v>
      </c>
      <c r="D378" s="4">
        <v>0</v>
      </c>
      <c r="E378" s="5">
        <v>0</v>
      </c>
      <c r="F378" s="4">
        <v>0</v>
      </c>
      <c r="G378" s="5">
        <v>0</v>
      </c>
      <c r="H378" s="4">
        <v>0</v>
      </c>
    </row>
    <row r="379" spans="1:8" x14ac:dyDescent="0.2">
      <c r="A379" s="2" t="s">
        <v>86</v>
      </c>
      <c r="B379" s="4">
        <v>1</v>
      </c>
      <c r="C379" s="5">
        <v>2.33</v>
      </c>
      <c r="D379" s="4">
        <v>0</v>
      </c>
      <c r="E379" s="5">
        <v>0</v>
      </c>
      <c r="F379" s="4">
        <v>1</v>
      </c>
      <c r="G379" s="5">
        <v>7.14</v>
      </c>
      <c r="H379" s="4">
        <v>0</v>
      </c>
    </row>
    <row r="380" spans="1:8" x14ac:dyDescent="0.2">
      <c r="A380" s="2" t="s">
        <v>87</v>
      </c>
      <c r="B380" s="4">
        <v>1</v>
      </c>
      <c r="C380" s="5">
        <v>2.33</v>
      </c>
      <c r="D380" s="4">
        <v>0</v>
      </c>
      <c r="E380" s="5">
        <v>0</v>
      </c>
      <c r="F380" s="4">
        <v>1</v>
      </c>
      <c r="G380" s="5">
        <v>7.14</v>
      </c>
      <c r="H380" s="4">
        <v>0</v>
      </c>
    </row>
    <row r="381" spans="1:8" x14ac:dyDescent="0.2">
      <c r="A381" s="2" t="s">
        <v>88</v>
      </c>
      <c r="B381" s="4">
        <v>6</v>
      </c>
      <c r="C381" s="5">
        <v>13.95</v>
      </c>
      <c r="D381" s="4">
        <v>3</v>
      </c>
      <c r="E381" s="5">
        <v>12.5</v>
      </c>
      <c r="F381" s="4">
        <v>3</v>
      </c>
      <c r="G381" s="5">
        <v>21.43</v>
      </c>
      <c r="H381" s="4">
        <v>0</v>
      </c>
    </row>
    <row r="382" spans="1:8" x14ac:dyDescent="0.2">
      <c r="A382" s="2" t="s">
        <v>89</v>
      </c>
      <c r="B382" s="4">
        <v>5</v>
      </c>
      <c r="C382" s="5">
        <v>11.63</v>
      </c>
      <c r="D382" s="4">
        <v>4</v>
      </c>
      <c r="E382" s="5">
        <v>16.670000000000002</v>
      </c>
      <c r="F382" s="4">
        <v>0</v>
      </c>
      <c r="G382" s="5">
        <v>0</v>
      </c>
      <c r="H382" s="4">
        <v>0</v>
      </c>
    </row>
    <row r="383" spans="1:8" x14ac:dyDescent="0.2">
      <c r="A383" s="2" t="s">
        <v>90</v>
      </c>
      <c r="B383" s="4">
        <v>2</v>
      </c>
      <c r="C383" s="5">
        <v>4.6500000000000004</v>
      </c>
      <c r="D383" s="4">
        <v>0</v>
      </c>
      <c r="E383" s="5">
        <v>0</v>
      </c>
      <c r="F383" s="4">
        <v>0</v>
      </c>
      <c r="G383" s="5">
        <v>0</v>
      </c>
      <c r="H383" s="4">
        <v>0</v>
      </c>
    </row>
    <row r="384" spans="1:8" x14ac:dyDescent="0.2">
      <c r="A384" s="2" t="s">
        <v>91</v>
      </c>
      <c r="B384" s="4">
        <v>0</v>
      </c>
      <c r="C384" s="5">
        <v>0</v>
      </c>
      <c r="D384" s="4">
        <v>0</v>
      </c>
      <c r="E384" s="5">
        <v>0</v>
      </c>
      <c r="F384" s="4">
        <v>0</v>
      </c>
      <c r="G384" s="5">
        <v>0</v>
      </c>
      <c r="H384" s="4">
        <v>0</v>
      </c>
    </row>
    <row r="385" spans="1:8" x14ac:dyDescent="0.2">
      <c r="A385" s="2" t="s">
        <v>92</v>
      </c>
      <c r="B385" s="4">
        <v>1</v>
      </c>
      <c r="C385" s="5">
        <v>2.33</v>
      </c>
      <c r="D385" s="4">
        <v>0</v>
      </c>
      <c r="E385" s="5">
        <v>0</v>
      </c>
      <c r="F385" s="4">
        <v>1</v>
      </c>
      <c r="G385" s="5">
        <v>7.14</v>
      </c>
      <c r="H385" s="4">
        <v>0</v>
      </c>
    </row>
    <row r="386" spans="1:8" x14ac:dyDescent="0.2">
      <c r="A386" s="1" t="s">
        <v>24</v>
      </c>
      <c r="B386" s="4">
        <v>30</v>
      </c>
      <c r="C386" s="5">
        <v>100</v>
      </c>
      <c r="D386" s="4">
        <v>21</v>
      </c>
      <c r="E386" s="5">
        <v>100.00000000000001</v>
      </c>
      <c r="F386" s="4">
        <v>5</v>
      </c>
      <c r="G386" s="5">
        <v>100</v>
      </c>
      <c r="H386" s="4">
        <v>0</v>
      </c>
    </row>
    <row r="387" spans="1:8" x14ac:dyDescent="0.2">
      <c r="A387" s="2" t="s">
        <v>78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79</v>
      </c>
      <c r="B388" s="4">
        <v>13</v>
      </c>
      <c r="C388" s="5">
        <v>43.33</v>
      </c>
      <c r="D388" s="4">
        <v>9</v>
      </c>
      <c r="E388" s="5">
        <v>42.86</v>
      </c>
      <c r="F388" s="4">
        <v>4</v>
      </c>
      <c r="G388" s="5">
        <v>80</v>
      </c>
      <c r="H388" s="4">
        <v>0</v>
      </c>
    </row>
    <row r="389" spans="1:8" x14ac:dyDescent="0.2">
      <c r="A389" s="2" t="s">
        <v>80</v>
      </c>
      <c r="B389" s="4">
        <v>4</v>
      </c>
      <c r="C389" s="5">
        <v>13.33</v>
      </c>
      <c r="D389" s="4">
        <v>3</v>
      </c>
      <c r="E389" s="5">
        <v>14.29</v>
      </c>
      <c r="F389" s="4">
        <v>1</v>
      </c>
      <c r="G389" s="5">
        <v>20</v>
      </c>
      <c r="H389" s="4">
        <v>0</v>
      </c>
    </row>
    <row r="390" spans="1:8" x14ac:dyDescent="0.2">
      <c r="A390" s="2" t="s">
        <v>81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2">
      <c r="A391" s="2" t="s">
        <v>82</v>
      </c>
      <c r="B391" s="4">
        <v>0</v>
      </c>
      <c r="C391" s="5">
        <v>0</v>
      </c>
      <c r="D391" s="4">
        <v>0</v>
      </c>
      <c r="E391" s="5">
        <v>0</v>
      </c>
      <c r="F391" s="4">
        <v>0</v>
      </c>
      <c r="G391" s="5">
        <v>0</v>
      </c>
      <c r="H391" s="4">
        <v>0</v>
      </c>
    </row>
    <row r="392" spans="1:8" x14ac:dyDescent="0.2">
      <c r="A392" s="2" t="s">
        <v>83</v>
      </c>
      <c r="B392" s="4">
        <v>0</v>
      </c>
      <c r="C392" s="5">
        <v>0</v>
      </c>
      <c r="D392" s="4">
        <v>0</v>
      </c>
      <c r="E392" s="5">
        <v>0</v>
      </c>
      <c r="F392" s="4">
        <v>0</v>
      </c>
      <c r="G392" s="5">
        <v>0</v>
      </c>
      <c r="H392" s="4">
        <v>0</v>
      </c>
    </row>
    <row r="393" spans="1:8" x14ac:dyDescent="0.2">
      <c r="A393" s="2" t="s">
        <v>84</v>
      </c>
      <c r="B393" s="4">
        <v>6</v>
      </c>
      <c r="C393" s="5">
        <v>20</v>
      </c>
      <c r="D393" s="4">
        <v>6</v>
      </c>
      <c r="E393" s="5">
        <v>28.57</v>
      </c>
      <c r="F393" s="4">
        <v>0</v>
      </c>
      <c r="G393" s="5">
        <v>0</v>
      </c>
      <c r="H393" s="4">
        <v>0</v>
      </c>
    </row>
    <row r="394" spans="1:8" x14ac:dyDescent="0.2">
      <c r="A394" s="2" t="s">
        <v>85</v>
      </c>
      <c r="B394" s="4">
        <v>0</v>
      </c>
      <c r="C394" s="5">
        <v>0</v>
      </c>
      <c r="D394" s="4">
        <v>0</v>
      </c>
      <c r="E394" s="5">
        <v>0</v>
      </c>
      <c r="F394" s="4">
        <v>0</v>
      </c>
      <c r="G394" s="5">
        <v>0</v>
      </c>
      <c r="H394" s="4">
        <v>0</v>
      </c>
    </row>
    <row r="395" spans="1:8" x14ac:dyDescent="0.2">
      <c r="A395" s="2" t="s">
        <v>86</v>
      </c>
      <c r="B395" s="4">
        <v>0</v>
      </c>
      <c r="C395" s="5">
        <v>0</v>
      </c>
      <c r="D395" s="4">
        <v>0</v>
      </c>
      <c r="E395" s="5">
        <v>0</v>
      </c>
      <c r="F395" s="4">
        <v>0</v>
      </c>
      <c r="G395" s="5">
        <v>0</v>
      </c>
      <c r="H395" s="4">
        <v>0</v>
      </c>
    </row>
    <row r="396" spans="1:8" x14ac:dyDescent="0.2">
      <c r="A396" s="2" t="s">
        <v>87</v>
      </c>
      <c r="B396" s="4">
        <v>0</v>
      </c>
      <c r="C396" s="5">
        <v>0</v>
      </c>
      <c r="D396" s="4">
        <v>0</v>
      </c>
      <c r="E396" s="5">
        <v>0</v>
      </c>
      <c r="F396" s="4">
        <v>0</v>
      </c>
      <c r="G396" s="5">
        <v>0</v>
      </c>
      <c r="H396" s="4">
        <v>0</v>
      </c>
    </row>
    <row r="397" spans="1:8" x14ac:dyDescent="0.2">
      <c r="A397" s="2" t="s">
        <v>88</v>
      </c>
      <c r="B397" s="4">
        <v>1</v>
      </c>
      <c r="C397" s="5">
        <v>3.33</v>
      </c>
      <c r="D397" s="4">
        <v>1</v>
      </c>
      <c r="E397" s="5">
        <v>4.76</v>
      </c>
      <c r="F397" s="4">
        <v>0</v>
      </c>
      <c r="G397" s="5">
        <v>0</v>
      </c>
      <c r="H397" s="4">
        <v>0</v>
      </c>
    </row>
    <row r="398" spans="1:8" x14ac:dyDescent="0.2">
      <c r="A398" s="2" t="s">
        <v>89</v>
      </c>
      <c r="B398" s="4">
        <v>2</v>
      </c>
      <c r="C398" s="5">
        <v>6.67</v>
      </c>
      <c r="D398" s="4">
        <v>1</v>
      </c>
      <c r="E398" s="5">
        <v>4.76</v>
      </c>
      <c r="F398" s="4">
        <v>0</v>
      </c>
      <c r="G398" s="5">
        <v>0</v>
      </c>
      <c r="H398" s="4">
        <v>0</v>
      </c>
    </row>
    <row r="399" spans="1:8" x14ac:dyDescent="0.2">
      <c r="A399" s="2" t="s">
        <v>90</v>
      </c>
      <c r="B399" s="4">
        <v>2</v>
      </c>
      <c r="C399" s="5">
        <v>6.67</v>
      </c>
      <c r="D399" s="4">
        <v>0</v>
      </c>
      <c r="E399" s="5">
        <v>0</v>
      </c>
      <c r="F399" s="4">
        <v>0</v>
      </c>
      <c r="G399" s="5">
        <v>0</v>
      </c>
      <c r="H399" s="4">
        <v>0</v>
      </c>
    </row>
    <row r="400" spans="1:8" x14ac:dyDescent="0.2">
      <c r="A400" s="2" t="s">
        <v>91</v>
      </c>
      <c r="B400" s="4">
        <v>2</v>
      </c>
      <c r="C400" s="5">
        <v>6.67</v>
      </c>
      <c r="D400" s="4">
        <v>1</v>
      </c>
      <c r="E400" s="5">
        <v>4.76</v>
      </c>
      <c r="F400" s="4">
        <v>0</v>
      </c>
      <c r="G400" s="5">
        <v>0</v>
      </c>
      <c r="H400" s="4">
        <v>0</v>
      </c>
    </row>
    <row r="401" spans="1:8" x14ac:dyDescent="0.2">
      <c r="A401" s="2" t="s">
        <v>92</v>
      </c>
      <c r="B401" s="4">
        <v>0</v>
      </c>
      <c r="C401" s="5">
        <v>0</v>
      </c>
      <c r="D401" s="4">
        <v>0</v>
      </c>
      <c r="E401" s="5">
        <v>0</v>
      </c>
      <c r="F401" s="4">
        <v>0</v>
      </c>
      <c r="G401" s="5">
        <v>0</v>
      </c>
      <c r="H401" s="4">
        <v>0</v>
      </c>
    </row>
    <row r="402" spans="1:8" x14ac:dyDescent="0.2">
      <c r="A402" s="1" t="s">
        <v>25</v>
      </c>
      <c r="B402" s="4">
        <v>311</v>
      </c>
      <c r="C402" s="5">
        <v>99.97999999999999</v>
      </c>
      <c r="D402" s="4">
        <v>196</v>
      </c>
      <c r="E402" s="5">
        <v>100.00000000000001</v>
      </c>
      <c r="F402" s="4">
        <v>112</v>
      </c>
      <c r="G402" s="5">
        <v>100</v>
      </c>
      <c r="H402" s="4">
        <v>0</v>
      </c>
    </row>
    <row r="403" spans="1:8" x14ac:dyDescent="0.2">
      <c r="A403" s="2" t="s">
        <v>78</v>
      </c>
      <c r="B403" s="4">
        <v>2</v>
      </c>
      <c r="C403" s="5">
        <v>0.64</v>
      </c>
      <c r="D403" s="4">
        <v>0</v>
      </c>
      <c r="E403" s="5">
        <v>0</v>
      </c>
      <c r="F403" s="4">
        <v>2</v>
      </c>
      <c r="G403" s="5">
        <v>1.79</v>
      </c>
      <c r="H403" s="4">
        <v>0</v>
      </c>
    </row>
    <row r="404" spans="1:8" x14ac:dyDescent="0.2">
      <c r="A404" s="2" t="s">
        <v>79</v>
      </c>
      <c r="B404" s="4">
        <v>80</v>
      </c>
      <c r="C404" s="5">
        <v>25.72</v>
      </c>
      <c r="D404" s="4">
        <v>48</v>
      </c>
      <c r="E404" s="5">
        <v>24.49</v>
      </c>
      <c r="F404" s="4">
        <v>32</v>
      </c>
      <c r="G404" s="5">
        <v>28.57</v>
      </c>
      <c r="H404" s="4">
        <v>0</v>
      </c>
    </row>
    <row r="405" spans="1:8" x14ac:dyDescent="0.2">
      <c r="A405" s="2" t="s">
        <v>80</v>
      </c>
      <c r="B405" s="4">
        <v>46</v>
      </c>
      <c r="C405" s="5">
        <v>14.79</v>
      </c>
      <c r="D405" s="4">
        <v>19</v>
      </c>
      <c r="E405" s="5">
        <v>9.69</v>
      </c>
      <c r="F405" s="4">
        <v>27</v>
      </c>
      <c r="G405" s="5">
        <v>24.11</v>
      </c>
      <c r="H405" s="4">
        <v>0</v>
      </c>
    </row>
    <row r="406" spans="1:8" x14ac:dyDescent="0.2">
      <c r="A406" s="2" t="s">
        <v>81</v>
      </c>
      <c r="B406" s="4">
        <v>2</v>
      </c>
      <c r="C406" s="5">
        <v>0.64</v>
      </c>
      <c r="D406" s="4">
        <v>0</v>
      </c>
      <c r="E406" s="5">
        <v>0</v>
      </c>
      <c r="F406" s="4">
        <v>2</v>
      </c>
      <c r="G406" s="5">
        <v>1.79</v>
      </c>
      <c r="H406" s="4">
        <v>0</v>
      </c>
    </row>
    <row r="407" spans="1:8" x14ac:dyDescent="0.2">
      <c r="A407" s="2" t="s">
        <v>82</v>
      </c>
      <c r="B407" s="4">
        <v>1</v>
      </c>
      <c r="C407" s="5">
        <v>0.32</v>
      </c>
      <c r="D407" s="4">
        <v>0</v>
      </c>
      <c r="E407" s="5">
        <v>0</v>
      </c>
      <c r="F407" s="4">
        <v>1</v>
      </c>
      <c r="G407" s="5">
        <v>0.89</v>
      </c>
      <c r="H407" s="4">
        <v>0</v>
      </c>
    </row>
    <row r="408" spans="1:8" x14ac:dyDescent="0.2">
      <c r="A408" s="2" t="s">
        <v>83</v>
      </c>
      <c r="B408" s="4">
        <v>3</v>
      </c>
      <c r="C408" s="5">
        <v>0.96</v>
      </c>
      <c r="D408" s="4">
        <v>2</v>
      </c>
      <c r="E408" s="5">
        <v>1.02</v>
      </c>
      <c r="F408" s="4">
        <v>1</v>
      </c>
      <c r="G408" s="5">
        <v>0.89</v>
      </c>
      <c r="H408" s="4">
        <v>0</v>
      </c>
    </row>
    <row r="409" spans="1:8" x14ac:dyDescent="0.2">
      <c r="A409" s="2" t="s">
        <v>84</v>
      </c>
      <c r="B409" s="4">
        <v>57</v>
      </c>
      <c r="C409" s="5">
        <v>18.329999999999998</v>
      </c>
      <c r="D409" s="4">
        <v>38</v>
      </c>
      <c r="E409" s="5">
        <v>19.39</v>
      </c>
      <c r="F409" s="4">
        <v>19</v>
      </c>
      <c r="G409" s="5">
        <v>16.96</v>
      </c>
      <c r="H409" s="4">
        <v>0</v>
      </c>
    </row>
    <row r="410" spans="1:8" x14ac:dyDescent="0.2">
      <c r="A410" s="2" t="s">
        <v>85</v>
      </c>
      <c r="B410" s="4">
        <v>0</v>
      </c>
      <c r="C410" s="5">
        <v>0</v>
      </c>
      <c r="D410" s="4">
        <v>0</v>
      </c>
      <c r="E410" s="5">
        <v>0</v>
      </c>
      <c r="F410" s="4">
        <v>0</v>
      </c>
      <c r="G410" s="5">
        <v>0</v>
      </c>
      <c r="H410" s="4">
        <v>0</v>
      </c>
    </row>
    <row r="411" spans="1:8" x14ac:dyDescent="0.2">
      <c r="A411" s="2" t="s">
        <v>86</v>
      </c>
      <c r="B411" s="4">
        <v>9</v>
      </c>
      <c r="C411" s="5">
        <v>2.89</v>
      </c>
      <c r="D411" s="4">
        <v>1</v>
      </c>
      <c r="E411" s="5">
        <v>0.51</v>
      </c>
      <c r="F411" s="4">
        <v>7</v>
      </c>
      <c r="G411" s="5">
        <v>6.25</v>
      </c>
      <c r="H411" s="4">
        <v>0</v>
      </c>
    </row>
    <row r="412" spans="1:8" x14ac:dyDescent="0.2">
      <c r="A412" s="2" t="s">
        <v>87</v>
      </c>
      <c r="B412" s="4">
        <v>12</v>
      </c>
      <c r="C412" s="5">
        <v>3.86</v>
      </c>
      <c r="D412" s="4">
        <v>7</v>
      </c>
      <c r="E412" s="5">
        <v>3.57</v>
      </c>
      <c r="F412" s="4">
        <v>5</v>
      </c>
      <c r="G412" s="5">
        <v>4.46</v>
      </c>
      <c r="H412" s="4">
        <v>0</v>
      </c>
    </row>
    <row r="413" spans="1:8" x14ac:dyDescent="0.2">
      <c r="A413" s="2" t="s">
        <v>88</v>
      </c>
      <c r="B413" s="4">
        <v>33</v>
      </c>
      <c r="C413" s="5">
        <v>10.61</v>
      </c>
      <c r="D413" s="4">
        <v>27</v>
      </c>
      <c r="E413" s="5">
        <v>13.78</v>
      </c>
      <c r="F413" s="4">
        <v>6</v>
      </c>
      <c r="G413" s="5">
        <v>5.36</v>
      </c>
      <c r="H413" s="4">
        <v>0</v>
      </c>
    </row>
    <row r="414" spans="1:8" x14ac:dyDescent="0.2">
      <c r="A414" s="2" t="s">
        <v>89</v>
      </c>
      <c r="B414" s="4">
        <v>37</v>
      </c>
      <c r="C414" s="5">
        <v>11.9</v>
      </c>
      <c r="D414" s="4">
        <v>34</v>
      </c>
      <c r="E414" s="5">
        <v>17.350000000000001</v>
      </c>
      <c r="F414" s="4">
        <v>3</v>
      </c>
      <c r="G414" s="5">
        <v>2.68</v>
      </c>
      <c r="H414" s="4">
        <v>0</v>
      </c>
    </row>
    <row r="415" spans="1:8" x14ac:dyDescent="0.2">
      <c r="A415" s="2" t="s">
        <v>90</v>
      </c>
      <c r="B415" s="4">
        <v>3</v>
      </c>
      <c r="C415" s="5">
        <v>0.96</v>
      </c>
      <c r="D415" s="4">
        <v>2</v>
      </c>
      <c r="E415" s="5">
        <v>1.02</v>
      </c>
      <c r="F415" s="4">
        <v>0</v>
      </c>
      <c r="G415" s="5">
        <v>0</v>
      </c>
      <c r="H415" s="4">
        <v>0</v>
      </c>
    </row>
    <row r="416" spans="1:8" x14ac:dyDescent="0.2">
      <c r="A416" s="2" t="s">
        <v>91</v>
      </c>
      <c r="B416" s="4">
        <v>11</v>
      </c>
      <c r="C416" s="5">
        <v>3.54</v>
      </c>
      <c r="D416" s="4">
        <v>9</v>
      </c>
      <c r="E416" s="5">
        <v>4.59</v>
      </c>
      <c r="F416" s="4">
        <v>2</v>
      </c>
      <c r="G416" s="5">
        <v>1.79</v>
      </c>
      <c r="H416" s="4">
        <v>0</v>
      </c>
    </row>
    <row r="417" spans="1:8" x14ac:dyDescent="0.2">
      <c r="A417" s="2" t="s">
        <v>92</v>
      </c>
      <c r="B417" s="4">
        <v>15</v>
      </c>
      <c r="C417" s="5">
        <v>4.82</v>
      </c>
      <c r="D417" s="4">
        <v>9</v>
      </c>
      <c r="E417" s="5">
        <v>4.59</v>
      </c>
      <c r="F417" s="4">
        <v>5</v>
      </c>
      <c r="G417" s="5">
        <v>4.46</v>
      </c>
      <c r="H417" s="4">
        <v>0</v>
      </c>
    </row>
    <row r="418" spans="1:8" x14ac:dyDescent="0.2">
      <c r="A418" s="1" t="s">
        <v>26</v>
      </c>
      <c r="B418" s="4">
        <v>1071</v>
      </c>
      <c r="C418" s="5">
        <v>99.989999999999981</v>
      </c>
      <c r="D418" s="4">
        <v>406</v>
      </c>
      <c r="E418" s="5">
        <v>99.97999999999999</v>
      </c>
      <c r="F418" s="4">
        <v>652</v>
      </c>
      <c r="G418" s="5">
        <v>99.990000000000009</v>
      </c>
      <c r="H418" s="4">
        <v>3</v>
      </c>
    </row>
    <row r="419" spans="1:8" x14ac:dyDescent="0.2">
      <c r="A419" s="2" t="s">
        <v>78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79</v>
      </c>
      <c r="B420" s="4">
        <v>117</v>
      </c>
      <c r="C420" s="5">
        <v>10.92</v>
      </c>
      <c r="D420" s="4">
        <v>26</v>
      </c>
      <c r="E420" s="5">
        <v>6.4</v>
      </c>
      <c r="F420" s="4">
        <v>91</v>
      </c>
      <c r="G420" s="5">
        <v>13.96</v>
      </c>
      <c r="H420" s="4">
        <v>0</v>
      </c>
    </row>
    <row r="421" spans="1:8" x14ac:dyDescent="0.2">
      <c r="A421" s="2" t="s">
        <v>80</v>
      </c>
      <c r="B421" s="4">
        <v>25</v>
      </c>
      <c r="C421" s="5">
        <v>2.33</v>
      </c>
      <c r="D421" s="4">
        <v>7</v>
      </c>
      <c r="E421" s="5">
        <v>1.72</v>
      </c>
      <c r="F421" s="4">
        <v>17</v>
      </c>
      <c r="G421" s="5">
        <v>2.61</v>
      </c>
      <c r="H421" s="4">
        <v>0</v>
      </c>
    </row>
    <row r="422" spans="1:8" x14ac:dyDescent="0.2">
      <c r="A422" s="2" t="s">
        <v>81</v>
      </c>
      <c r="B422" s="4">
        <v>0</v>
      </c>
      <c r="C422" s="5">
        <v>0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2">
      <c r="A423" s="2" t="s">
        <v>82</v>
      </c>
      <c r="B423" s="4">
        <v>11</v>
      </c>
      <c r="C423" s="5">
        <v>1.03</v>
      </c>
      <c r="D423" s="4">
        <v>0</v>
      </c>
      <c r="E423" s="5">
        <v>0</v>
      </c>
      <c r="F423" s="4">
        <v>11</v>
      </c>
      <c r="G423" s="5">
        <v>1.69</v>
      </c>
      <c r="H423" s="4">
        <v>0</v>
      </c>
    </row>
    <row r="424" spans="1:8" x14ac:dyDescent="0.2">
      <c r="A424" s="2" t="s">
        <v>83</v>
      </c>
      <c r="B424" s="4">
        <v>0</v>
      </c>
      <c r="C424" s="5">
        <v>0</v>
      </c>
      <c r="D424" s="4">
        <v>0</v>
      </c>
      <c r="E424" s="5">
        <v>0</v>
      </c>
      <c r="F424" s="4">
        <v>0</v>
      </c>
      <c r="G424" s="5">
        <v>0</v>
      </c>
      <c r="H424" s="4">
        <v>0</v>
      </c>
    </row>
    <row r="425" spans="1:8" x14ac:dyDescent="0.2">
      <c r="A425" s="2" t="s">
        <v>84</v>
      </c>
      <c r="B425" s="4">
        <v>310</v>
      </c>
      <c r="C425" s="5">
        <v>28.94</v>
      </c>
      <c r="D425" s="4">
        <v>92</v>
      </c>
      <c r="E425" s="5">
        <v>22.66</v>
      </c>
      <c r="F425" s="4">
        <v>217</v>
      </c>
      <c r="G425" s="5">
        <v>33.28</v>
      </c>
      <c r="H425" s="4">
        <v>1</v>
      </c>
    </row>
    <row r="426" spans="1:8" x14ac:dyDescent="0.2">
      <c r="A426" s="2" t="s">
        <v>85</v>
      </c>
      <c r="B426" s="4">
        <v>4</v>
      </c>
      <c r="C426" s="5">
        <v>0.37</v>
      </c>
      <c r="D426" s="4">
        <v>0</v>
      </c>
      <c r="E426" s="5">
        <v>0</v>
      </c>
      <c r="F426" s="4">
        <v>4</v>
      </c>
      <c r="G426" s="5">
        <v>0.61</v>
      </c>
      <c r="H426" s="4">
        <v>0</v>
      </c>
    </row>
    <row r="427" spans="1:8" x14ac:dyDescent="0.2">
      <c r="A427" s="2" t="s">
        <v>86</v>
      </c>
      <c r="B427" s="4">
        <v>135</v>
      </c>
      <c r="C427" s="5">
        <v>12.61</v>
      </c>
      <c r="D427" s="4">
        <v>13</v>
      </c>
      <c r="E427" s="5">
        <v>3.2</v>
      </c>
      <c r="F427" s="4">
        <v>121</v>
      </c>
      <c r="G427" s="5">
        <v>18.559999999999999</v>
      </c>
      <c r="H427" s="4">
        <v>0</v>
      </c>
    </row>
    <row r="428" spans="1:8" x14ac:dyDescent="0.2">
      <c r="A428" s="2" t="s">
        <v>87</v>
      </c>
      <c r="B428" s="4">
        <v>44</v>
      </c>
      <c r="C428" s="5">
        <v>4.1100000000000003</v>
      </c>
      <c r="D428" s="4">
        <v>15</v>
      </c>
      <c r="E428" s="5">
        <v>3.69</v>
      </c>
      <c r="F428" s="4">
        <v>29</v>
      </c>
      <c r="G428" s="5">
        <v>4.45</v>
      </c>
      <c r="H428" s="4">
        <v>0</v>
      </c>
    </row>
    <row r="429" spans="1:8" x14ac:dyDescent="0.2">
      <c r="A429" s="2" t="s">
        <v>88</v>
      </c>
      <c r="B429" s="4">
        <v>282</v>
      </c>
      <c r="C429" s="5">
        <v>26.33</v>
      </c>
      <c r="D429" s="4">
        <v>180</v>
      </c>
      <c r="E429" s="5">
        <v>44.33</v>
      </c>
      <c r="F429" s="4">
        <v>102</v>
      </c>
      <c r="G429" s="5">
        <v>15.64</v>
      </c>
      <c r="H429" s="4">
        <v>0</v>
      </c>
    </row>
    <row r="430" spans="1:8" x14ac:dyDescent="0.2">
      <c r="A430" s="2" t="s">
        <v>89</v>
      </c>
      <c r="B430" s="4">
        <v>71</v>
      </c>
      <c r="C430" s="5">
        <v>6.63</v>
      </c>
      <c r="D430" s="4">
        <v>43</v>
      </c>
      <c r="E430" s="5">
        <v>10.59</v>
      </c>
      <c r="F430" s="4">
        <v>28</v>
      </c>
      <c r="G430" s="5">
        <v>4.29</v>
      </c>
      <c r="H430" s="4">
        <v>0</v>
      </c>
    </row>
    <row r="431" spans="1:8" x14ac:dyDescent="0.2">
      <c r="A431" s="2" t="s">
        <v>90</v>
      </c>
      <c r="B431" s="4">
        <v>27</v>
      </c>
      <c r="C431" s="5">
        <v>2.52</v>
      </c>
      <c r="D431" s="4">
        <v>11</v>
      </c>
      <c r="E431" s="5">
        <v>2.71</v>
      </c>
      <c r="F431" s="4">
        <v>10</v>
      </c>
      <c r="G431" s="5">
        <v>1.53</v>
      </c>
      <c r="H431" s="4">
        <v>2</v>
      </c>
    </row>
    <row r="432" spans="1:8" x14ac:dyDescent="0.2">
      <c r="A432" s="2" t="s">
        <v>91</v>
      </c>
      <c r="B432" s="4">
        <v>28</v>
      </c>
      <c r="C432" s="5">
        <v>2.61</v>
      </c>
      <c r="D432" s="4">
        <v>17</v>
      </c>
      <c r="E432" s="5">
        <v>4.1900000000000004</v>
      </c>
      <c r="F432" s="4">
        <v>7</v>
      </c>
      <c r="G432" s="5">
        <v>1.07</v>
      </c>
      <c r="H432" s="4">
        <v>0</v>
      </c>
    </row>
    <row r="433" spans="1:8" x14ac:dyDescent="0.2">
      <c r="A433" s="2" t="s">
        <v>92</v>
      </c>
      <c r="B433" s="4">
        <v>17</v>
      </c>
      <c r="C433" s="5">
        <v>1.59</v>
      </c>
      <c r="D433" s="4">
        <v>2</v>
      </c>
      <c r="E433" s="5">
        <v>0.49</v>
      </c>
      <c r="F433" s="4">
        <v>15</v>
      </c>
      <c r="G433" s="5">
        <v>2.2999999999999998</v>
      </c>
      <c r="H433" s="4">
        <v>0</v>
      </c>
    </row>
    <row r="434" spans="1:8" x14ac:dyDescent="0.2">
      <c r="A434" s="1" t="s">
        <v>27</v>
      </c>
      <c r="B434" s="4">
        <v>328</v>
      </c>
      <c r="C434" s="5">
        <v>99.99</v>
      </c>
      <c r="D434" s="4">
        <v>177</v>
      </c>
      <c r="E434" s="5">
        <v>99.969999999999985</v>
      </c>
      <c r="F434" s="4">
        <v>147</v>
      </c>
      <c r="G434" s="5">
        <v>99.98</v>
      </c>
      <c r="H434" s="4">
        <v>1</v>
      </c>
    </row>
    <row r="435" spans="1:8" x14ac:dyDescent="0.2">
      <c r="A435" s="2" t="s">
        <v>78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79</v>
      </c>
      <c r="B436" s="4">
        <v>55</v>
      </c>
      <c r="C436" s="5">
        <v>16.77</v>
      </c>
      <c r="D436" s="4">
        <v>24</v>
      </c>
      <c r="E436" s="5">
        <v>13.56</v>
      </c>
      <c r="F436" s="4">
        <v>31</v>
      </c>
      <c r="G436" s="5">
        <v>21.09</v>
      </c>
      <c r="H436" s="4">
        <v>0</v>
      </c>
    </row>
    <row r="437" spans="1:8" x14ac:dyDescent="0.2">
      <c r="A437" s="2" t="s">
        <v>80</v>
      </c>
      <c r="B437" s="4">
        <v>23</v>
      </c>
      <c r="C437" s="5">
        <v>7.01</v>
      </c>
      <c r="D437" s="4">
        <v>9</v>
      </c>
      <c r="E437" s="5">
        <v>5.08</v>
      </c>
      <c r="F437" s="4">
        <v>14</v>
      </c>
      <c r="G437" s="5">
        <v>9.52</v>
      </c>
      <c r="H437" s="4">
        <v>0</v>
      </c>
    </row>
    <row r="438" spans="1:8" x14ac:dyDescent="0.2">
      <c r="A438" s="2" t="s">
        <v>81</v>
      </c>
      <c r="B438" s="4">
        <v>1</v>
      </c>
      <c r="C438" s="5">
        <v>0.3</v>
      </c>
      <c r="D438" s="4">
        <v>0</v>
      </c>
      <c r="E438" s="5">
        <v>0</v>
      </c>
      <c r="F438" s="4">
        <v>1</v>
      </c>
      <c r="G438" s="5">
        <v>0.68</v>
      </c>
      <c r="H438" s="4">
        <v>0</v>
      </c>
    </row>
    <row r="439" spans="1:8" x14ac:dyDescent="0.2">
      <c r="A439" s="2" t="s">
        <v>82</v>
      </c>
      <c r="B439" s="4">
        <v>1</v>
      </c>
      <c r="C439" s="5">
        <v>0.3</v>
      </c>
      <c r="D439" s="4">
        <v>0</v>
      </c>
      <c r="E439" s="5">
        <v>0</v>
      </c>
      <c r="F439" s="4">
        <v>1</v>
      </c>
      <c r="G439" s="5">
        <v>0.68</v>
      </c>
      <c r="H439" s="4">
        <v>0</v>
      </c>
    </row>
    <row r="440" spans="1:8" x14ac:dyDescent="0.2">
      <c r="A440" s="2" t="s">
        <v>83</v>
      </c>
      <c r="B440" s="4">
        <v>3</v>
      </c>
      <c r="C440" s="5">
        <v>0.91</v>
      </c>
      <c r="D440" s="4">
        <v>1</v>
      </c>
      <c r="E440" s="5">
        <v>0.56000000000000005</v>
      </c>
      <c r="F440" s="4">
        <v>2</v>
      </c>
      <c r="G440" s="5">
        <v>1.36</v>
      </c>
      <c r="H440" s="4">
        <v>0</v>
      </c>
    </row>
    <row r="441" spans="1:8" x14ac:dyDescent="0.2">
      <c r="A441" s="2" t="s">
        <v>84</v>
      </c>
      <c r="B441" s="4">
        <v>71</v>
      </c>
      <c r="C441" s="5">
        <v>21.65</v>
      </c>
      <c r="D441" s="4">
        <v>32</v>
      </c>
      <c r="E441" s="5">
        <v>18.079999999999998</v>
      </c>
      <c r="F441" s="4">
        <v>39</v>
      </c>
      <c r="G441" s="5">
        <v>26.53</v>
      </c>
      <c r="H441" s="4">
        <v>0</v>
      </c>
    </row>
    <row r="442" spans="1:8" x14ac:dyDescent="0.2">
      <c r="A442" s="2" t="s">
        <v>85</v>
      </c>
      <c r="B442" s="4">
        <v>2</v>
      </c>
      <c r="C442" s="5">
        <v>0.61</v>
      </c>
      <c r="D442" s="4">
        <v>0</v>
      </c>
      <c r="E442" s="5">
        <v>0</v>
      </c>
      <c r="F442" s="4">
        <v>2</v>
      </c>
      <c r="G442" s="5">
        <v>1.36</v>
      </c>
      <c r="H442" s="4">
        <v>0</v>
      </c>
    </row>
    <row r="443" spans="1:8" x14ac:dyDescent="0.2">
      <c r="A443" s="2" t="s">
        <v>86</v>
      </c>
      <c r="B443" s="4">
        <v>16</v>
      </c>
      <c r="C443" s="5">
        <v>4.88</v>
      </c>
      <c r="D443" s="4">
        <v>4</v>
      </c>
      <c r="E443" s="5">
        <v>2.2599999999999998</v>
      </c>
      <c r="F443" s="4">
        <v>12</v>
      </c>
      <c r="G443" s="5">
        <v>8.16</v>
      </c>
      <c r="H443" s="4">
        <v>0</v>
      </c>
    </row>
    <row r="444" spans="1:8" x14ac:dyDescent="0.2">
      <c r="A444" s="2" t="s">
        <v>87</v>
      </c>
      <c r="B444" s="4">
        <v>17</v>
      </c>
      <c r="C444" s="5">
        <v>5.18</v>
      </c>
      <c r="D444" s="4">
        <v>6</v>
      </c>
      <c r="E444" s="5">
        <v>3.39</v>
      </c>
      <c r="F444" s="4">
        <v>10</v>
      </c>
      <c r="G444" s="5">
        <v>6.8</v>
      </c>
      <c r="H444" s="4">
        <v>0</v>
      </c>
    </row>
    <row r="445" spans="1:8" x14ac:dyDescent="0.2">
      <c r="A445" s="2" t="s">
        <v>88</v>
      </c>
      <c r="B445" s="4">
        <v>65</v>
      </c>
      <c r="C445" s="5">
        <v>19.82</v>
      </c>
      <c r="D445" s="4">
        <v>51</v>
      </c>
      <c r="E445" s="5">
        <v>28.81</v>
      </c>
      <c r="F445" s="4">
        <v>14</v>
      </c>
      <c r="G445" s="5">
        <v>9.52</v>
      </c>
      <c r="H445" s="4">
        <v>0</v>
      </c>
    </row>
    <row r="446" spans="1:8" x14ac:dyDescent="0.2">
      <c r="A446" s="2" t="s">
        <v>89</v>
      </c>
      <c r="B446" s="4">
        <v>40</v>
      </c>
      <c r="C446" s="5">
        <v>12.2</v>
      </c>
      <c r="D446" s="4">
        <v>29</v>
      </c>
      <c r="E446" s="5">
        <v>16.38</v>
      </c>
      <c r="F446" s="4">
        <v>9</v>
      </c>
      <c r="G446" s="5">
        <v>6.12</v>
      </c>
      <c r="H446" s="4">
        <v>0</v>
      </c>
    </row>
    <row r="447" spans="1:8" x14ac:dyDescent="0.2">
      <c r="A447" s="2" t="s">
        <v>90</v>
      </c>
      <c r="B447" s="4">
        <v>9</v>
      </c>
      <c r="C447" s="5">
        <v>2.74</v>
      </c>
      <c r="D447" s="4">
        <v>7</v>
      </c>
      <c r="E447" s="5">
        <v>3.95</v>
      </c>
      <c r="F447" s="4">
        <v>1</v>
      </c>
      <c r="G447" s="5">
        <v>0.68</v>
      </c>
      <c r="H447" s="4">
        <v>1</v>
      </c>
    </row>
    <row r="448" spans="1:8" x14ac:dyDescent="0.2">
      <c r="A448" s="2" t="s">
        <v>91</v>
      </c>
      <c r="B448" s="4">
        <v>16</v>
      </c>
      <c r="C448" s="5">
        <v>4.88</v>
      </c>
      <c r="D448" s="4">
        <v>11</v>
      </c>
      <c r="E448" s="5">
        <v>6.21</v>
      </c>
      <c r="F448" s="4">
        <v>5</v>
      </c>
      <c r="G448" s="5">
        <v>3.4</v>
      </c>
      <c r="H448" s="4">
        <v>0</v>
      </c>
    </row>
    <row r="449" spans="1:8" x14ac:dyDescent="0.2">
      <c r="A449" s="2" t="s">
        <v>92</v>
      </c>
      <c r="B449" s="4">
        <v>9</v>
      </c>
      <c r="C449" s="5">
        <v>2.74</v>
      </c>
      <c r="D449" s="4">
        <v>3</v>
      </c>
      <c r="E449" s="5">
        <v>1.69</v>
      </c>
      <c r="F449" s="4">
        <v>6</v>
      </c>
      <c r="G449" s="5">
        <v>4.08</v>
      </c>
      <c r="H449" s="4">
        <v>0</v>
      </c>
    </row>
    <row r="450" spans="1:8" x14ac:dyDescent="0.2">
      <c r="A450" s="1" t="s">
        <v>28</v>
      </c>
      <c r="B450" s="4">
        <v>218</v>
      </c>
      <c r="C450" s="5">
        <v>100.00999999999999</v>
      </c>
      <c r="D450" s="4">
        <v>130</v>
      </c>
      <c r="E450" s="5">
        <v>100.01</v>
      </c>
      <c r="F450" s="4">
        <v>86</v>
      </c>
      <c r="G450" s="5">
        <v>99.999999999999986</v>
      </c>
      <c r="H450" s="4">
        <v>1</v>
      </c>
    </row>
    <row r="451" spans="1:8" x14ac:dyDescent="0.2">
      <c r="A451" s="2" t="s">
        <v>78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79</v>
      </c>
      <c r="B452" s="4">
        <v>30</v>
      </c>
      <c r="C452" s="5">
        <v>13.76</v>
      </c>
      <c r="D452" s="4">
        <v>17</v>
      </c>
      <c r="E452" s="5">
        <v>13.08</v>
      </c>
      <c r="F452" s="4">
        <v>13</v>
      </c>
      <c r="G452" s="5">
        <v>15.12</v>
      </c>
      <c r="H452" s="4">
        <v>0</v>
      </c>
    </row>
    <row r="453" spans="1:8" x14ac:dyDescent="0.2">
      <c r="A453" s="2" t="s">
        <v>80</v>
      </c>
      <c r="B453" s="4">
        <v>19</v>
      </c>
      <c r="C453" s="5">
        <v>8.7200000000000006</v>
      </c>
      <c r="D453" s="4">
        <v>8</v>
      </c>
      <c r="E453" s="5">
        <v>6.15</v>
      </c>
      <c r="F453" s="4">
        <v>11</v>
      </c>
      <c r="G453" s="5">
        <v>12.79</v>
      </c>
      <c r="H453" s="4">
        <v>0</v>
      </c>
    </row>
    <row r="454" spans="1:8" x14ac:dyDescent="0.2">
      <c r="A454" s="2" t="s">
        <v>81</v>
      </c>
      <c r="B454" s="4">
        <v>1</v>
      </c>
      <c r="C454" s="5">
        <v>0.46</v>
      </c>
      <c r="D454" s="4">
        <v>0</v>
      </c>
      <c r="E454" s="5">
        <v>0</v>
      </c>
      <c r="F454" s="4">
        <v>1</v>
      </c>
      <c r="G454" s="5">
        <v>1.1599999999999999</v>
      </c>
      <c r="H454" s="4">
        <v>0</v>
      </c>
    </row>
    <row r="455" spans="1:8" x14ac:dyDescent="0.2">
      <c r="A455" s="2" t="s">
        <v>82</v>
      </c>
      <c r="B455" s="4">
        <v>2</v>
      </c>
      <c r="C455" s="5">
        <v>0.92</v>
      </c>
      <c r="D455" s="4">
        <v>1</v>
      </c>
      <c r="E455" s="5">
        <v>0.77</v>
      </c>
      <c r="F455" s="4">
        <v>1</v>
      </c>
      <c r="G455" s="5">
        <v>1.1599999999999999</v>
      </c>
      <c r="H455" s="4">
        <v>0</v>
      </c>
    </row>
    <row r="456" spans="1:8" x14ac:dyDescent="0.2">
      <c r="A456" s="2" t="s">
        <v>83</v>
      </c>
      <c r="B456" s="4">
        <v>3</v>
      </c>
      <c r="C456" s="5">
        <v>1.38</v>
      </c>
      <c r="D456" s="4">
        <v>1</v>
      </c>
      <c r="E456" s="5">
        <v>0.77</v>
      </c>
      <c r="F456" s="4">
        <v>2</v>
      </c>
      <c r="G456" s="5">
        <v>2.33</v>
      </c>
      <c r="H456" s="4">
        <v>0</v>
      </c>
    </row>
    <row r="457" spans="1:8" x14ac:dyDescent="0.2">
      <c r="A457" s="2" t="s">
        <v>84</v>
      </c>
      <c r="B457" s="4">
        <v>41</v>
      </c>
      <c r="C457" s="5">
        <v>18.809999999999999</v>
      </c>
      <c r="D457" s="4">
        <v>21</v>
      </c>
      <c r="E457" s="5">
        <v>16.149999999999999</v>
      </c>
      <c r="F457" s="4">
        <v>20</v>
      </c>
      <c r="G457" s="5">
        <v>23.26</v>
      </c>
      <c r="H457" s="4">
        <v>0</v>
      </c>
    </row>
    <row r="458" spans="1:8" x14ac:dyDescent="0.2">
      <c r="A458" s="2" t="s">
        <v>85</v>
      </c>
      <c r="B458" s="4">
        <v>2</v>
      </c>
      <c r="C458" s="5">
        <v>0.92</v>
      </c>
      <c r="D458" s="4">
        <v>1</v>
      </c>
      <c r="E458" s="5">
        <v>0.77</v>
      </c>
      <c r="F458" s="4">
        <v>1</v>
      </c>
      <c r="G458" s="5">
        <v>1.1599999999999999</v>
      </c>
      <c r="H458" s="4">
        <v>0</v>
      </c>
    </row>
    <row r="459" spans="1:8" x14ac:dyDescent="0.2">
      <c r="A459" s="2" t="s">
        <v>86</v>
      </c>
      <c r="B459" s="4">
        <v>4</v>
      </c>
      <c r="C459" s="5">
        <v>1.83</v>
      </c>
      <c r="D459" s="4">
        <v>0</v>
      </c>
      <c r="E459" s="5">
        <v>0</v>
      </c>
      <c r="F459" s="4">
        <v>4</v>
      </c>
      <c r="G459" s="5">
        <v>4.6500000000000004</v>
      </c>
      <c r="H459" s="4">
        <v>0</v>
      </c>
    </row>
    <row r="460" spans="1:8" x14ac:dyDescent="0.2">
      <c r="A460" s="2" t="s">
        <v>87</v>
      </c>
      <c r="B460" s="4">
        <v>13</v>
      </c>
      <c r="C460" s="5">
        <v>5.96</v>
      </c>
      <c r="D460" s="4">
        <v>9</v>
      </c>
      <c r="E460" s="5">
        <v>6.92</v>
      </c>
      <c r="F460" s="4">
        <v>4</v>
      </c>
      <c r="G460" s="5">
        <v>4.6500000000000004</v>
      </c>
      <c r="H460" s="4">
        <v>0</v>
      </c>
    </row>
    <row r="461" spans="1:8" x14ac:dyDescent="0.2">
      <c r="A461" s="2" t="s">
        <v>88</v>
      </c>
      <c r="B461" s="4">
        <v>59</v>
      </c>
      <c r="C461" s="5">
        <v>27.06</v>
      </c>
      <c r="D461" s="4">
        <v>44</v>
      </c>
      <c r="E461" s="5">
        <v>33.85</v>
      </c>
      <c r="F461" s="4">
        <v>15</v>
      </c>
      <c r="G461" s="5">
        <v>17.440000000000001</v>
      </c>
      <c r="H461" s="4">
        <v>0</v>
      </c>
    </row>
    <row r="462" spans="1:8" x14ac:dyDescent="0.2">
      <c r="A462" s="2" t="s">
        <v>89</v>
      </c>
      <c r="B462" s="4">
        <v>19</v>
      </c>
      <c r="C462" s="5">
        <v>8.7200000000000006</v>
      </c>
      <c r="D462" s="4">
        <v>13</v>
      </c>
      <c r="E462" s="5">
        <v>10</v>
      </c>
      <c r="F462" s="4">
        <v>6</v>
      </c>
      <c r="G462" s="5">
        <v>6.98</v>
      </c>
      <c r="H462" s="4">
        <v>0</v>
      </c>
    </row>
    <row r="463" spans="1:8" x14ac:dyDescent="0.2">
      <c r="A463" s="2" t="s">
        <v>90</v>
      </c>
      <c r="B463" s="4">
        <v>9</v>
      </c>
      <c r="C463" s="5">
        <v>4.13</v>
      </c>
      <c r="D463" s="4">
        <v>5</v>
      </c>
      <c r="E463" s="5">
        <v>3.85</v>
      </c>
      <c r="F463" s="4">
        <v>3</v>
      </c>
      <c r="G463" s="5">
        <v>3.49</v>
      </c>
      <c r="H463" s="4">
        <v>1</v>
      </c>
    </row>
    <row r="464" spans="1:8" x14ac:dyDescent="0.2">
      <c r="A464" s="2" t="s">
        <v>91</v>
      </c>
      <c r="B464" s="4">
        <v>5</v>
      </c>
      <c r="C464" s="5">
        <v>2.29</v>
      </c>
      <c r="D464" s="4">
        <v>4</v>
      </c>
      <c r="E464" s="5">
        <v>3.08</v>
      </c>
      <c r="F464" s="4">
        <v>1</v>
      </c>
      <c r="G464" s="5">
        <v>1.1599999999999999</v>
      </c>
      <c r="H464" s="4">
        <v>0</v>
      </c>
    </row>
    <row r="465" spans="1:8" x14ac:dyDescent="0.2">
      <c r="A465" s="2" t="s">
        <v>92</v>
      </c>
      <c r="B465" s="4">
        <v>11</v>
      </c>
      <c r="C465" s="5">
        <v>5.05</v>
      </c>
      <c r="D465" s="4">
        <v>6</v>
      </c>
      <c r="E465" s="5">
        <v>4.62</v>
      </c>
      <c r="F465" s="4">
        <v>4</v>
      </c>
      <c r="G465" s="5">
        <v>4.6500000000000004</v>
      </c>
      <c r="H465" s="4">
        <v>0</v>
      </c>
    </row>
    <row r="466" spans="1:8" x14ac:dyDescent="0.2">
      <c r="A466" s="1" t="s">
        <v>29</v>
      </c>
      <c r="B466" s="4">
        <v>131</v>
      </c>
      <c r="C466" s="5">
        <v>99.97999999999999</v>
      </c>
      <c r="D466" s="4">
        <v>88</v>
      </c>
      <c r="E466" s="5">
        <v>100.00999999999998</v>
      </c>
      <c r="F466" s="4">
        <v>31</v>
      </c>
      <c r="G466" s="5">
        <v>99.990000000000009</v>
      </c>
      <c r="H466" s="4">
        <v>1</v>
      </c>
    </row>
    <row r="467" spans="1:8" x14ac:dyDescent="0.2">
      <c r="A467" s="2" t="s">
        <v>78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79</v>
      </c>
      <c r="B468" s="4">
        <v>27</v>
      </c>
      <c r="C468" s="5">
        <v>20.61</v>
      </c>
      <c r="D468" s="4">
        <v>20</v>
      </c>
      <c r="E468" s="5">
        <v>22.73</v>
      </c>
      <c r="F468" s="4">
        <v>7</v>
      </c>
      <c r="G468" s="5">
        <v>22.58</v>
      </c>
      <c r="H468" s="4">
        <v>0</v>
      </c>
    </row>
    <row r="469" spans="1:8" x14ac:dyDescent="0.2">
      <c r="A469" s="2" t="s">
        <v>80</v>
      </c>
      <c r="B469" s="4">
        <v>23</v>
      </c>
      <c r="C469" s="5">
        <v>17.559999999999999</v>
      </c>
      <c r="D469" s="4">
        <v>16</v>
      </c>
      <c r="E469" s="5">
        <v>18.18</v>
      </c>
      <c r="F469" s="4">
        <v>7</v>
      </c>
      <c r="G469" s="5">
        <v>22.58</v>
      </c>
      <c r="H469" s="4">
        <v>0</v>
      </c>
    </row>
    <row r="470" spans="1:8" x14ac:dyDescent="0.2">
      <c r="A470" s="2" t="s">
        <v>81</v>
      </c>
      <c r="B470" s="4">
        <v>1</v>
      </c>
      <c r="C470" s="5">
        <v>0.76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2">
      <c r="A471" s="2" t="s">
        <v>82</v>
      </c>
      <c r="B471" s="4">
        <v>0</v>
      </c>
      <c r="C471" s="5">
        <v>0</v>
      </c>
      <c r="D471" s="4">
        <v>0</v>
      </c>
      <c r="E471" s="5">
        <v>0</v>
      </c>
      <c r="F471" s="4">
        <v>0</v>
      </c>
      <c r="G471" s="5">
        <v>0</v>
      </c>
      <c r="H471" s="4">
        <v>0</v>
      </c>
    </row>
    <row r="472" spans="1:8" x14ac:dyDescent="0.2">
      <c r="A472" s="2" t="s">
        <v>83</v>
      </c>
      <c r="B472" s="4">
        <v>1</v>
      </c>
      <c r="C472" s="5">
        <v>0.76</v>
      </c>
      <c r="D472" s="4">
        <v>0</v>
      </c>
      <c r="E472" s="5">
        <v>0</v>
      </c>
      <c r="F472" s="4">
        <v>0</v>
      </c>
      <c r="G472" s="5">
        <v>0</v>
      </c>
      <c r="H472" s="4">
        <v>0</v>
      </c>
    </row>
    <row r="473" spans="1:8" x14ac:dyDescent="0.2">
      <c r="A473" s="2" t="s">
        <v>84</v>
      </c>
      <c r="B473" s="4">
        <v>19</v>
      </c>
      <c r="C473" s="5">
        <v>14.5</v>
      </c>
      <c r="D473" s="4">
        <v>13</v>
      </c>
      <c r="E473" s="5">
        <v>14.77</v>
      </c>
      <c r="F473" s="4">
        <v>6</v>
      </c>
      <c r="G473" s="5">
        <v>19.350000000000001</v>
      </c>
      <c r="H473" s="4">
        <v>0</v>
      </c>
    </row>
    <row r="474" spans="1:8" x14ac:dyDescent="0.2">
      <c r="A474" s="2" t="s">
        <v>85</v>
      </c>
      <c r="B474" s="4">
        <v>0</v>
      </c>
      <c r="C474" s="5">
        <v>0</v>
      </c>
      <c r="D474" s="4">
        <v>0</v>
      </c>
      <c r="E474" s="5">
        <v>0</v>
      </c>
      <c r="F474" s="4">
        <v>0</v>
      </c>
      <c r="G474" s="5">
        <v>0</v>
      </c>
      <c r="H474" s="4">
        <v>0</v>
      </c>
    </row>
    <row r="475" spans="1:8" x14ac:dyDescent="0.2">
      <c r="A475" s="2" t="s">
        <v>86</v>
      </c>
      <c r="B475" s="4">
        <v>4</v>
      </c>
      <c r="C475" s="5">
        <v>3.05</v>
      </c>
      <c r="D475" s="4">
        <v>1</v>
      </c>
      <c r="E475" s="5">
        <v>1.1399999999999999</v>
      </c>
      <c r="F475" s="4">
        <v>2</v>
      </c>
      <c r="G475" s="5">
        <v>6.45</v>
      </c>
      <c r="H475" s="4">
        <v>0</v>
      </c>
    </row>
    <row r="476" spans="1:8" x14ac:dyDescent="0.2">
      <c r="A476" s="2" t="s">
        <v>87</v>
      </c>
      <c r="B476" s="4">
        <v>3</v>
      </c>
      <c r="C476" s="5">
        <v>2.29</v>
      </c>
      <c r="D476" s="4">
        <v>1</v>
      </c>
      <c r="E476" s="5">
        <v>1.1399999999999999</v>
      </c>
      <c r="F476" s="4">
        <v>2</v>
      </c>
      <c r="G476" s="5">
        <v>6.45</v>
      </c>
      <c r="H476" s="4">
        <v>0</v>
      </c>
    </row>
    <row r="477" spans="1:8" x14ac:dyDescent="0.2">
      <c r="A477" s="2" t="s">
        <v>88</v>
      </c>
      <c r="B477" s="4">
        <v>16</v>
      </c>
      <c r="C477" s="5">
        <v>12.21</v>
      </c>
      <c r="D477" s="4">
        <v>14</v>
      </c>
      <c r="E477" s="5">
        <v>15.91</v>
      </c>
      <c r="F477" s="4">
        <v>2</v>
      </c>
      <c r="G477" s="5">
        <v>6.45</v>
      </c>
      <c r="H477" s="4">
        <v>0</v>
      </c>
    </row>
    <row r="478" spans="1:8" x14ac:dyDescent="0.2">
      <c r="A478" s="2" t="s">
        <v>89</v>
      </c>
      <c r="B478" s="4">
        <v>13</v>
      </c>
      <c r="C478" s="5">
        <v>9.92</v>
      </c>
      <c r="D478" s="4">
        <v>11</v>
      </c>
      <c r="E478" s="5">
        <v>12.5</v>
      </c>
      <c r="F478" s="4">
        <v>0</v>
      </c>
      <c r="G478" s="5">
        <v>0</v>
      </c>
      <c r="H478" s="4">
        <v>1</v>
      </c>
    </row>
    <row r="479" spans="1:8" x14ac:dyDescent="0.2">
      <c r="A479" s="2" t="s">
        <v>90</v>
      </c>
      <c r="B479" s="4">
        <v>7</v>
      </c>
      <c r="C479" s="5">
        <v>5.34</v>
      </c>
      <c r="D479" s="4">
        <v>4</v>
      </c>
      <c r="E479" s="5">
        <v>4.55</v>
      </c>
      <c r="F479" s="4">
        <v>0</v>
      </c>
      <c r="G479" s="5">
        <v>0</v>
      </c>
      <c r="H479" s="4">
        <v>0</v>
      </c>
    </row>
    <row r="480" spans="1:8" x14ac:dyDescent="0.2">
      <c r="A480" s="2" t="s">
        <v>91</v>
      </c>
      <c r="B480" s="4">
        <v>12</v>
      </c>
      <c r="C480" s="5">
        <v>9.16</v>
      </c>
      <c r="D480" s="4">
        <v>6</v>
      </c>
      <c r="E480" s="5">
        <v>6.82</v>
      </c>
      <c r="F480" s="4">
        <v>2</v>
      </c>
      <c r="G480" s="5">
        <v>6.45</v>
      </c>
      <c r="H480" s="4">
        <v>0</v>
      </c>
    </row>
    <row r="481" spans="1:8" x14ac:dyDescent="0.2">
      <c r="A481" s="2" t="s">
        <v>92</v>
      </c>
      <c r="B481" s="4">
        <v>5</v>
      </c>
      <c r="C481" s="5">
        <v>3.82</v>
      </c>
      <c r="D481" s="4">
        <v>2</v>
      </c>
      <c r="E481" s="5">
        <v>2.27</v>
      </c>
      <c r="F481" s="4">
        <v>3</v>
      </c>
      <c r="G481" s="5">
        <v>9.68</v>
      </c>
      <c r="H481" s="4">
        <v>0</v>
      </c>
    </row>
    <row r="482" spans="1:8" x14ac:dyDescent="0.2">
      <c r="A482" s="1" t="s">
        <v>30</v>
      </c>
      <c r="B482" s="4">
        <v>233</v>
      </c>
      <c r="C482" s="5">
        <v>100</v>
      </c>
      <c r="D482" s="4">
        <v>155</v>
      </c>
      <c r="E482" s="5">
        <v>100.02000000000001</v>
      </c>
      <c r="F482" s="4">
        <v>70</v>
      </c>
      <c r="G482" s="5">
        <v>100.02</v>
      </c>
      <c r="H482" s="4">
        <v>1</v>
      </c>
    </row>
    <row r="483" spans="1:8" x14ac:dyDescent="0.2">
      <c r="A483" s="2" t="s">
        <v>78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79</v>
      </c>
      <c r="B484" s="4">
        <v>45</v>
      </c>
      <c r="C484" s="5">
        <v>19.309999999999999</v>
      </c>
      <c r="D484" s="4">
        <v>30</v>
      </c>
      <c r="E484" s="5">
        <v>19.350000000000001</v>
      </c>
      <c r="F484" s="4">
        <v>15</v>
      </c>
      <c r="G484" s="5">
        <v>21.43</v>
      </c>
      <c r="H484" s="4">
        <v>0</v>
      </c>
    </row>
    <row r="485" spans="1:8" x14ac:dyDescent="0.2">
      <c r="A485" s="2" t="s">
        <v>80</v>
      </c>
      <c r="B485" s="4">
        <v>31</v>
      </c>
      <c r="C485" s="5">
        <v>13.3</v>
      </c>
      <c r="D485" s="4">
        <v>14</v>
      </c>
      <c r="E485" s="5">
        <v>9.0299999999999994</v>
      </c>
      <c r="F485" s="4">
        <v>17</v>
      </c>
      <c r="G485" s="5">
        <v>24.29</v>
      </c>
      <c r="H485" s="4">
        <v>0</v>
      </c>
    </row>
    <row r="486" spans="1:8" x14ac:dyDescent="0.2">
      <c r="A486" s="2" t="s">
        <v>81</v>
      </c>
      <c r="B486" s="4">
        <v>1</v>
      </c>
      <c r="C486" s="5">
        <v>0.43</v>
      </c>
      <c r="D486" s="4">
        <v>0</v>
      </c>
      <c r="E486" s="5">
        <v>0</v>
      </c>
      <c r="F486" s="4">
        <v>1</v>
      </c>
      <c r="G486" s="5">
        <v>1.43</v>
      </c>
      <c r="H486" s="4">
        <v>0</v>
      </c>
    </row>
    <row r="487" spans="1:8" x14ac:dyDescent="0.2">
      <c r="A487" s="2" t="s">
        <v>82</v>
      </c>
      <c r="B487" s="4">
        <v>1</v>
      </c>
      <c r="C487" s="5">
        <v>0.43</v>
      </c>
      <c r="D487" s="4">
        <v>1</v>
      </c>
      <c r="E487" s="5">
        <v>0.65</v>
      </c>
      <c r="F487" s="4">
        <v>0</v>
      </c>
      <c r="G487" s="5">
        <v>0</v>
      </c>
      <c r="H487" s="4">
        <v>0</v>
      </c>
    </row>
    <row r="488" spans="1:8" x14ac:dyDescent="0.2">
      <c r="A488" s="2" t="s">
        <v>83</v>
      </c>
      <c r="B488" s="4">
        <v>4</v>
      </c>
      <c r="C488" s="5">
        <v>1.72</v>
      </c>
      <c r="D488" s="4">
        <v>1</v>
      </c>
      <c r="E488" s="5">
        <v>0.65</v>
      </c>
      <c r="F488" s="4">
        <v>2</v>
      </c>
      <c r="G488" s="5">
        <v>2.86</v>
      </c>
      <c r="H488" s="4">
        <v>1</v>
      </c>
    </row>
    <row r="489" spans="1:8" x14ac:dyDescent="0.2">
      <c r="A489" s="2" t="s">
        <v>84</v>
      </c>
      <c r="B489" s="4">
        <v>39</v>
      </c>
      <c r="C489" s="5">
        <v>16.739999999999998</v>
      </c>
      <c r="D489" s="4">
        <v>25</v>
      </c>
      <c r="E489" s="5">
        <v>16.13</v>
      </c>
      <c r="F489" s="4">
        <v>14</v>
      </c>
      <c r="G489" s="5">
        <v>20</v>
      </c>
      <c r="H489" s="4">
        <v>0</v>
      </c>
    </row>
    <row r="490" spans="1:8" x14ac:dyDescent="0.2">
      <c r="A490" s="2" t="s">
        <v>85</v>
      </c>
      <c r="B490" s="4">
        <v>1</v>
      </c>
      <c r="C490" s="5">
        <v>0.43</v>
      </c>
      <c r="D490" s="4">
        <v>0</v>
      </c>
      <c r="E490" s="5">
        <v>0</v>
      </c>
      <c r="F490" s="4">
        <v>1</v>
      </c>
      <c r="G490" s="5">
        <v>1.43</v>
      </c>
      <c r="H490" s="4">
        <v>0</v>
      </c>
    </row>
    <row r="491" spans="1:8" x14ac:dyDescent="0.2">
      <c r="A491" s="2" t="s">
        <v>86</v>
      </c>
      <c r="B491" s="4">
        <v>2</v>
      </c>
      <c r="C491" s="5">
        <v>0.86</v>
      </c>
      <c r="D491" s="4">
        <v>0</v>
      </c>
      <c r="E491" s="5">
        <v>0</v>
      </c>
      <c r="F491" s="4">
        <v>1</v>
      </c>
      <c r="G491" s="5">
        <v>1.43</v>
      </c>
      <c r="H491" s="4">
        <v>0</v>
      </c>
    </row>
    <row r="492" spans="1:8" x14ac:dyDescent="0.2">
      <c r="A492" s="2" t="s">
        <v>87</v>
      </c>
      <c r="B492" s="4">
        <v>8</v>
      </c>
      <c r="C492" s="5">
        <v>3.43</v>
      </c>
      <c r="D492" s="4">
        <v>4</v>
      </c>
      <c r="E492" s="5">
        <v>2.58</v>
      </c>
      <c r="F492" s="4">
        <v>4</v>
      </c>
      <c r="G492" s="5">
        <v>5.71</v>
      </c>
      <c r="H492" s="4">
        <v>0</v>
      </c>
    </row>
    <row r="493" spans="1:8" x14ac:dyDescent="0.2">
      <c r="A493" s="2" t="s">
        <v>88</v>
      </c>
      <c r="B493" s="4">
        <v>72</v>
      </c>
      <c r="C493" s="5">
        <v>30.9</v>
      </c>
      <c r="D493" s="4">
        <v>64</v>
      </c>
      <c r="E493" s="5">
        <v>41.29</v>
      </c>
      <c r="F493" s="4">
        <v>8</v>
      </c>
      <c r="G493" s="5">
        <v>11.43</v>
      </c>
      <c r="H493" s="4">
        <v>0</v>
      </c>
    </row>
    <row r="494" spans="1:8" x14ac:dyDescent="0.2">
      <c r="A494" s="2" t="s">
        <v>89</v>
      </c>
      <c r="B494" s="4">
        <v>14</v>
      </c>
      <c r="C494" s="5">
        <v>6.01</v>
      </c>
      <c r="D494" s="4">
        <v>11</v>
      </c>
      <c r="E494" s="5">
        <v>7.1</v>
      </c>
      <c r="F494" s="4">
        <v>3</v>
      </c>
      <c r="G494" s="5">
        <v>4.29</v>
      </c>
      <c r="H494" s="4">
        <v>0</v>
      </c>
    </row>
    <row r="495" spans="1:8" x14ac:dyDescent="0.2">
      <c r="A495" s="2" t="s">
        <v>90</v>
      </c>
      <c r="B495" s="4">
        <v>5</v>
      </c>
      <c r="C495" s="5">
        <v>2.15</v>
      </c>
      <c r="D495" s="4">
        <v>3</v>
      </c>
      <c r="E495" s="5">
        <v>1.94</v>
      </c>
      <c r="F495" s="4">
        <v>0</v>
      </c>
      <c r="G495" s="5">
        <v>0</v>
      </c>
      <c r="H495" s="4">
        <v>0</v>
      </c>
    </row>
    <row r="496" spans="1:8" x14ac:dyDescent="0.2">
      <c r="A496" s="2" t="s">
        <v>91</v>
      </c>
      <c r="B496" s="4">
        <v>7</v>
      </c>
      <c r="C496" s="5">
        <v>3</v>
      </c>
      <c r="D496" s="4">
        <v>1</v>
      </c>
      <c r="E496" s="5">
        <v>0.65</v>
      </c>
      <c r="F496" s="4">
        <v>2</v>
      </c>
      <c r="G496" s="5">
        <v>2.86</v>
      </c>
      <c r="H496" s="4">
        <v>0</v>
      </c>
    </row>
    <row r="497" spans="1:8" x14ac:dyDescent="0.2">
      <c r="A497" s="2" t="s">
        <v>92</v>
      </c>
      <c r="B497" s="4">
        <v>3</v>
      </c>
      <c r="C497" s="5">
        <v>1.29</v>
      </c>
      <c r="D497" s="4">
        <v>1</v>
      </c>
      <c r="E497" s="5">
        <v>0.65</v>
      </c>
      <c r="F497" s="4">
        <v>2</v>
      </c>
      <c r="G497" s="5">
        <v>2.86</v>
      </c>
      <c r="H497" s="4">
        <v>0</v>
      </c>
    </row>
    <row r="498" spans="1:8" x14ac:dyDescent="0.2">
      <c r="A498" s="1" t="s">
        <v>31</v>
      </c>
      <c r="B498" s="4">
        <v>623</v>
      </c>
      <c r="C498" s="5">
        <v>99.990000000000009</v>
      </c>
      <c r="D498" s="4">
        <v>338</v>
      </c>
      <c r="E498" s="5">
        <v>100</v>
      </c>
      <c r="F498" s="4">
        <v>271</v>
      </c>
      <c r="G498" s="5">
        <v>100.00000000000001</v>
      </c>
      <c r="H498" s="4">
        <v>1</v>
      </c>
    </row>
    <row r="499" spans="1:8" x14ac:dyDescent="0.2">
      <c r="A499" s="2" t="s">
        <v>78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79</v>
      </c>
      <c r="B500" s="4">
        <v>75</v>
      </c>
      <c r="C500" s="5">
        <v>12.04</v>
      </c>
      <c r="D500" s="4">
        <v>28</v>
      </c>
      <c r="E500" s="5">
        <v>8.2799999999999994</v>
      </c>
      <c r="F500" s="4">
        <v>47</v>
      </c>
      <c r="G500" s="5">
        <v>17.34</v>
      </c>
      <c r="H500" s="4">
        <v>0</v>
      </c>
    </row>
    <row r="501" spans="1:8" x14ac:dyDescent="0.2">
      <c r="A501" s="2" t="s">
        <v>80</v>
      </c>
      <c r="B501" s="4">
        <v>113</v>
      </c>
      <c r="C501" s="5">
        <v>18.14</v>
      </c>
      <c r="D501" s="4">
        <v>44</v>
      </c>
      <c r="E501" s="5">
        <v>13.02</v>
      </c>
      <c r="F501" s="4">
        <v>69</v>
      </c>
      <c r="G501" s="5">
        <v>25.46</v>
      </c>
      <c r="H501" s="4">
        <v>0</v>
      </c>
    </row>
    <row r="502" spans="1:8" x14ac:dyDescent="0.2">
      <c r="A502" s="2" t="s">
        <v>81</v>
      </c>
      <c r="B502" s="4">
        <v>1</v>
      </c>
      <c r="C502" s="5">
        <v>0.16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2">
      <c r="A503" s="2" t="s">
        <v>82</v>
      </c>
      <c r="B503" s="4">
        <v>4</v>
      </c>
      <c r="C503" s="5">
        <v>0.64</v>
      </c>
      <c r="D503" s="4">
        <v>0</v>
      </c>
      <c r="E503" s="5">
        <v>0</v>
      </c>
      <c r="F503" s="4">
        <v>4</v>
      </c>
      <c r="G503" s="5">
        <v>1.48</v>
      </c>
      <c r="H503" s="4">
        <v>0</v>
      </c>
    </row>
    <row r="504" spans="1:8" x14ac:dyDescent="0.2">
      <c r="A504" s="2" t="s">
        <v>83</v>
      </c>
      <c r="B504" s="4">
        <v>1</v>
      </c>
      <c r="C504" s="5">
        <v>0.16</v>
      </c>
      <c r="D504" s="4">
        <v>0</v>
      </c>
      <c r="E504" s="5">
        <v>0</v>
      </c>
      <c r="F504" s="4">
        <v>0</v>
      </c>
      <c r="G504" s="5">
        <v>0</v>
      </c>
      <c r="H504" s="4">
        <v>1</v>
      </c>
    </row>
    <row r="505" spans="1:8" x14ac:dyDescent="0.2">
      <c r="A505" s="2" t="s">
        <v>84</v>
      </c>
      <c r="B505" s="4">
        <v>125</v>
      </c>
      <c r="C505" s="5">
        <v>20.059999999999999</v>
      </c>
      <c r="D505" s="4">
        <v>68</v>
      </c>
      <c r="E505" s="5">
        <v>20.12</v>
      </c>
      <c r="F505" s="4">
        <v>57</v>
      </c>
      <c r="G505" s="5">
        <v>21.03</v>
      </c>
      <c r="H505" s="4">
        <v>0</v>
      </c>
    </row>
    <row r="506" spans="1:8" x14ac:dyDescent="0.2">
      <c r="A506" s="2" t="s">
        <v>85</v>
      </c>
      <c r="B506" s="4">
        <v>6</v>
      </c>
      <c r="C506" s="5">
        <v>0.96</v>
      </c>
      <c r="D506" s="4">
        <v>1</v>
      </c>
      <c r="E506" s="5">
        <v>0.3</v>
      </c>
      <c r="F506" s="4">
        <v>5</v>
      </c>
      <c r="G506" s="5">
        <v>1.85</v>
      </c>
      <c r="H506" s="4">
        <v>0</v>
      </c>
    </row>
    <row r="507" spans="1:8" x14ac:dyDescent="0.2">
      <c r="A507" s="2" t="s">
        <v>86</v>
      </c>
      <c r="B507" s="4">
        <v>40</v>
      </c>
      <c r="C507" s="5">
        <v>6.42</v>
      </c>
      <c r="D507" s="4">
        <v>15</v>
      </c>
      <c r="E507" s="5">
        <v>4.4400000000000004</v>
      </c>
      <c r="F507" s="4">
        <v>25</v>
      </c>
      <c r="G507" s="5">
        <v>9.23</v>
      </c>
      <c r="H507" s="4">
        <v>0</v>
      </c>
    </row>
    <row r="508" spans="1:8" x14ac:dyDescent="0.2">
      <c r="A508" s="2" t="s">
        <v>87</v>
      </c>
      <c r="B508" s="4">
        <v>29</v>
      </c>
      <c r="C508" s="5">
        <v>4.6500000000000004</v>
      </c>
      <c r="D508" s="4">
        <v>21</v>
      </c>
      <c r="E508" s="5">
        <v>6.21</v>
      </c>
      <c r="F508" s="4">
        <v>8</v>
      </c>
      <c r="G508" s="5">
        <v>2.95</v>
      </c>
      <c r="H508" s="4">
        <v>0</v>
      </c>
    </row>
    <row r="509" spans="1:8" x14ac:dyDescent="0.2">
      <c r="A509" s="2" t="s">
        <v>88</v>
      </c>
      <c r="B509" s="4">
        <v>92</v>
      </c>
      <c r="C509" s="5">
        <v>14.77</v>
      </c>
      <c r="D509" s="4">
        <v>73</v>
      </c>
      <c r="E509" s="5">
        <v>21.6</v>
      </c>
      <c r="F509" s="4">
        <v>19</v>
      </c>
      <c r="G509" s="5">
        <v>7.01</v>
      </c>
      <c r="H509" s="4">
        <v>0</v>
      </c>
    </row>
    <row r="510" spans="1:8" x14ac:dyDescent="0.2">
      <c r="A510" s="2" t="s">
        <v>89</v>
      </c>
      <c r="B510" s="4">
        <v>79</v>
      </c>
      <c r="C510" s="5">
        <v>12.68</v>
      </c>
      <c r="D510" s="4">
        <v>58</v>
      </c>
      <c r="E510" s="5">
        <v>17.16</v>
      </c>
      <c r="F510" s="4">
        <v>16</v>
      </c>
      <c r="G510" s="5">
        <v>5.9</v>
      </c>
      <c r="H510" s="4">
        <v>0</v>
      </c>
    </row>
    <row r="511" spans="1:8" x14ac:dyDescent="0.2">
      <c r="A511" s="2" t="s">
        <v>90</v>
      </c>
      <c r="B511" s="4">
        <v>21</v>
      </c>
      <c r="C511" s="5">
        <v>3.37</v>
      </c>
      <c r="D511" s="4">
        <v>11</v>
      </c>
      <c r="E511" s="5">
        <v>3.25</v>
      </c>
      <c r="F511" s="4">
        <v>7</v>
      </c>
      <c r="G511" s="5">
        <v>2.58</v>
      </c>
      <c r="H511" s="4">
        <v>0</v>
      </c>
    </row>
    <row r="512" spans="1:8" x14ac:dyDescent="0.2">
      <c r="A512" s="2" t="s">
        <v>91</v>
      </c>
      <c r="B512" s="4">
        <v>16</v>
      </c>
      <c r="C512" s="5">
        <v>2.57</v>
      </c>
      <c r="D512" s="4">
        <v>11</v>
      </c>
      <c r="E512" s="5">
        <v>3.25</v>
      </c>
      <c r="F512" s="4">
        <v>4</v>
      </c>
      <c r="G512" s="5">
        <v>1.48</v>
      </c>
      <c r="H512" s="4">
        <v>0</v>
      </c>
    </row>
    <row r="513" spans="1:8" x14ac:dyDescent="0.2">
      <c r="A513" s="2" t="s">
        <v>92</v>
      </c>
      <c r="B513" s="4">
        <v>21</v>
      </c>
      <c r="C513" s="5">
        <v>3.37</v>
      </c>
      <c r="D513" s="4">
        <v>8</v>
      </c>
      <c r="E513" s="5">
        <v>2.37</v>
      </c>
      <c r="F513" s="4">
        <v>10</v>
      </c>
      <c r="G513" s="5">
        <v>3.69</v>
      </c>
      <c r="H513" s="4">
        <v>0</v>
      </c>
    </row>
    <row r="514" spans="1:8" x14ac:dyDescent="0.2">
      <c r="A514" s="1" t="s">
        <v>32</v>
      </c>
      <c r="B514" s="4">
        <v>375</v>
      </c>
      <c r="C514" s="5">
        <v>99.98</v>
      </c>
      <c r="D514" s="4">
        <v>159</v>
      </c>
      <c r="E514" s="5">
        <v>100.00999999999999</v>
      </c>
      <c r="F514" s="4">
        <v>209</v>
      </c>
      <c r="G514" s="5">
        <v>99.999999999999986</v>
      </c>
      <c r="H514" s="4">
        <v>1</v>
      </c>
    </row>
    <row r="515" spans="1:8" x14ac:dyDescent="0.2">
      <c r="A515" s="2" t="s">
        <v>78</v>
      </c>
      <c r="B515" s="4">
        <v>2</v>
      </c>
      <c r="C515" s="5">
        <v>0.53</v>
      </c>
      <c r="D515" s="4">
        <v>0</v>
      </c>
      <c r="E515" s="5">
        <v>0</v>
      </c>
      <c r="F515" s="4">
        <v>2</v>
      </c>
      <c r="G515" s="5">
        <v>0.96</v>
      </c>
      <c r="H515" s="4">
        <v>0</v>
      </c>
    </row>
    <row r="516" spans="1:8" x14ac:dyDescent="0.2">
      <c r="A516" s="2" t="s">
        <v>79</v>
      </c>
      <c r="B516" s="4">
        <v>65</v>
      </c>
      <c r="C516" s="5">
        <v>17.329999999999998</v>
      </c>
      <c r="D516" s="4">
        <v>23</v>
      </c>
      <c r="E516" s="5">
        <v>14.47</v>
      </c>
      <c r="F516" s="4">
        <v>42</v>
      </c>
      <c r="G516" s="5">
        <v>20.100000000000001</v>
      </c>
      <c r="H516" s="4">
        <v>0</v>
      </c>
    </row>
    <row r="517" spans="1:8" x14ac:dyDescent="0.2">
      <c r="A517" s="2" t="s">
        <v>80</v>
      </c>
      <c r="B517" s="4">
        <v>57</v>
      </c>
      <c r="C517" s="5">
        <v>15.2</v>
      </c>
      <c r="D517" s="4">
        <v>14</v>
      </c>
      <c r="E517" s="5">
        <v>8.81</v>
      </c>
      <c r="F517" s="4">
        <v>43</v>
      </c>
      <c r="G517" s="5">
        <v>20.57</v>
      </c>
      <c r="H517" s="4">
        <v>0</v>
      </c>
    </row>
    <row r="518" spans="1:8" x14ac:dyDescent="0.2">
      <c r="A518" s="2" t="s">
        <v>81</v>
      </c>
      <c r="B518" s="4">
        <v>3</v>
      </c>
      <c r="C518" s="5">
        <v>0.8</v>
      </c>
      <c r="D518" s="4">
        <v>0</v>
      </c>
      <c r="E518" s="5">
        <v>0</v>
      </c>
      <c r="F518" s="4">
        <v>3</v>
      </c>
      <c r="G518" s="5">
        <v>1.44</v>
      </c>
      <c r="H518" s="4">
        <v>0</v>
      </c>
    </row>
    <row r="519" spans="1:8" x14ac:dyDescent="0.2">
      <c r="A519" s="2" t="s">
        <v>82</v>
      </c>
      <c r="B519" s="4">
        <v>9</v>
      </c>
      <c r="C519" s="5">
        <v>2.4</v>
      </c>
      <c r="D519" s="4">
        <v>1</v>
      </c>
      <c r="E519" s="5">
        <v>0.63</v>
      </c>
      <c r="F519" s="4">
        <v>8</v>
      </c>
      <c r="G519" s="5">
        <v>3.83</v>
      </c>
      <c r="H519" s="4">
        <v>0</v>
      </c>
    </row>
    <row r="520" spans="1:8" x14ac:dyDescent="0.2">
      <c r="A520" s="2" t="s">
        <v>83</v>
      </c>
      <c r="B520" s="4">
        <v>5</v>
      </c>
      <c r="C520" s="5">
        <v>1.33</v>
      </c>
      <c r="D520" s="4">
        <v>0</v>
      </c>
      <c r="E520" s="5">
        <v>0</v>
      </c>
      <c r="F520" s="4">
        <v>4</v>
      </c>
      <c r="G520" s="5">
        <v>1.91</v>
      </c>
      <c r="H520" s="4">
        <v>1</v>
      </c>
    </row>
    <row r="521" spans="1:8" x14ac:dyDescent="0.2">
      <c r="A521" s="2" t="s">
        <v>84</v>
      </c>
      <c r="B521" s="4">
        <v>74</v>
      </c>
      <c r="C521" s="5">
        <v>19.73</v>
      </c>
      <c r="D521" s="4">
        <v>24</v>
      </c>
      <c r="E521" s="5">
        <v>15.09</v>
      </c>
      <c r="F521" s="4">
        <v>50</v>
      </c>
      <c r="G521" s="5">
        <v>23.92</v>
      </c>
      <c r="H521" s="4">
        <v>0</v>
      </c>
    </row>
    <row r="522" spans="1:8" x14ac:dyDescent="0.2">
      <c r="A522" s="2" t="s">
        <v>85</v>
      </c>
      <c r="B522" s="4">
        <v>0</v>
      </c>
      <c r="C522" s="5">
        <v>0</v>
      </c>
      <c r="D522" s="4">
        <v>0</v>
      </c>
      <c r="E522" s="5">
        <v>0</v>
      </c>
      <c r="F522" s="4">
        <v>0</v>
      </c>
      <c r="G522" s="5">
        <v>0</v>
      </c>
      <c r="H522" s="4">
        <v>0</v>
      </c>
    </row>
    <row r="523" spans="1:8" x14ac:dyDescent="0.2">
      <c r="A523" s="2" t="s">
        <v>86</v>
      </c>
      <c r="B523" s="4">
        <v>8</v>
      </c>
      <c r="C523" s="5">
        <v>2.13</v>
      </c>
      <c r="D523" s="4">
        <v>1</v>
      </c>
      <c r="E523" s="5">
        <v>0.63</v>
      </c>
      <c r="F523" s="4">
        <v>7</v>
      </c>
      <c r="G523" s="5">
        <v>3.35</v>
      </c>
      <c r="H523" s="4">
        <v>0</v>
      </c>
    </row>
    <row r="524" spans="1:8" x14ac:dyDescent="0.2">
      <c r="A524" s="2" t="s">
        <v>87</v>
      </c>
      <c r="B524" s="4">
        <v>15</v>
      </c>
      <c r="C524" s="5">
        <v>4</v>
      </c>
      <c r="D524" s="4">
        <v>5</v>
      </c>
      <c r="E524" s="5">
        <v>3.14</v>
      </c>
      <c r="F524" s="4">
        <v>9</v>
      </c>
      <c r="G524" s="5">
        <v>4.3099999999999996</v>
      </c>
      <c r="H524" s="4">
        <v>0</v>
      </c>
    </row>
    <row r="525" spans="1:8" x14ac:dyDescent="0.2">
      <c r="A525" s="2" t="s">
        <v>88</v>
      </c>
      <c r="B525" s="4">
        <v>71</v>
      </c>
      <c r="C525" s="5">
        <v>18.93</v>
      </c>
      <c r="D525" s="4">
        <v>51</v>
      </c>
      <c r="E525" s="5">
        <v>32.08</v>
      </c>
      <c r="F525" s="4">
        <v>20</v>
      </c>
      <c r="G525" s="5">
        <v>9.57</v>
      </c>
      <c r="H525" s="4">
        <v>0</v>
      </c>
    </row>
    <row r="526" spans="1:8" x14ac:dyDescent="0.2">
      <c r="A526" s="2" t="s">
        <v>89</v>
      </c>
      <c r="B526" s="4">
        <v>24</v>
      </c>
      <c r="C526" s="5">
        <v>6.4</v>
      </c>
      <c r="D526" s="4">
        <v>19</v>
      </c>
      <c r="E526" s="5">
        <v>11.95</v>
      </c>
      <c r="F526" s="4">
        <v>4</v>
      </c>
      <c r="G526" s="5">
        <v>1.91</v>
      </c>
      <c r="H526" s="4">
        <v>0</v>
      </c>
    </row>
    <row r="527" spans="1:8" x14ac:dyDescent="0.2">
      <c r="A527" s="2" t="s">
        <v>90</v>
      </c>
      <c r="B527" s="4">
        <v>14</v>
      </c>
      <c r="C527" s="5">
        <v>3.73</v>
      </c>
      <c r="D527" s="4">
        <v>6</v>
      </c>
      <c r="E527" s="5">
        <v>3.77</v>
      </c>
      <c r="F527" s="4">
        <v>6</v>
      </c>
      <c r="G527" s="5">
        <v>2.87</v>
      </c>
      <c r="H527" s="4">
        <v>0</v>
      </c>
    </row>
    <row r="528" spans="1:8" x14ac:dyDescent="0.2">
      <c r="A528" s="2" t="s">
        <v>91</v>
      </c>
      <c r="B528" s="4">
        <v>12</v>
      </c>
      <c r="C528" s="5">
        <v>3.2</v>
      </c>
      <c r="D528" s="4">
        <v>11</v>
      </c>
      <c r="E528" s="5">
        <v>6.92</v>
      </c>
      <c r="F528" s="4">
        <v>0</v>
      </c>
      <c r="G528" s="5">
        <v>0</v>
      </c>
      <c r="H528" s="4">
        <v>0</v>
      </c>
    </row>
    <row r="529" spans="1:8" x14ac:dyDescent="0.2">
      <c r="A529" s="2" t="s">
        <v>92</v>
      </c>
      <c r="B529" s="4">
        <v>16</v>
      </c>
      <c r="C529" s="5">
        <v>4.2699999999999996</v>
      </c>
      <c r="D529" s="4">
        <v>4</v>
      </c>
      <c r="E529" s="5">
        <v>2.52</v>
      </c>
      <c r="F529" s="4">
        <v>11</v>
      </c>
      <c r="G529" s="5">
        <v>5.26</v>
      </c>
      <c r="H529" s="4">
        <v>0</v>
      </c>
    </row>
    <row r="530" spans="1:8" x14ac:dyDescent="0.2">
      <c r="A530" s="1" t="s">
        <v>33</v>
      </c>
      <c r="B530" s="4">
        <v>298</v>
      </c>
      <c r="C530" s="5">
        <v>100.01000000000002</v>
      </c>
      <c r="D530" s="4">
        <v>194</v>
      </c>
      <c r="E530" s="5">
        <v>100.01</v>
      </c>
      <c r="F530" s="4">
        <v>102</v>
      </c>
      <c r="G530" s="5">
        <v>99.990000000000009</v>
      </c>
      <c r="H530" s="4">
        <v>1</v>
      </c>
    </row>
    <row r="531" spans="1:8" x14ac:dyDescent="0.2">
      <c r="A531" s="2" t="s">
        <v>78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2">
      <c r="A532" s="2" t="s">
        <v>79</v>
      </c>
      <c r="B532" s="4">
        <v>64</v>
      </c>
      <c r="C532" s="5">
        <v>21.48</v>
      </c>
      <c r="D532" s="4">
        <v>36</v>
      </c>
      <c r="E532" s="5">
        <v>18.559999999999999</v>
      </c>
      <c r="F532" s="4">
        <v>28</v>
      </c>
      <c r="G532" s="5">
        <v>27.45</v>
      </c>
      <c r="H532" s="4">
        <v>0</v>
      </c>
    </row>
    <row r="533" spans="1:8" x14ac:dyDescent="0.2">
      <c r="A533" s="2" t="s">
        <v>80</v>
      </c>
      <c r="B533" s="4">
        <v>44</v>
      </c>
      <c r="C533" s="5">
        <v>14.77</v>
      </c>
      <c r="D533" s="4">
        <v>25</v>
      </c>
      <c r="E533" s="5">
        <v>12.89</v>
      </c>
      <c r="F533" s="4">
        <v>19</v>
      </c>
      <c r="G533" s="5">
        <v>18.63</v>
      </c>
      <c r="H533" s="4">
        <v>0</v>
      </c>
    </row>
    <row r="534" spans="1:8" x14ac:dyDescent="0.2">
      <c r="A534" s="2" t="s">
        <v>81</v>
      </c>
      <c r="B534" s="4">
        <v>0</v>
      </c>
      <c r="C534" s="5">
        <v>0</v>
      </c>
      <c r="D534" s="4">
        <v>0</v>
      </c>
      <c r="E534" s="5">
        <v>0</v>
      </c>
      <c r="F534" s="4">
        <v>0</v>
      </c>
      <c r="G534" s="5">
        <v>0</v>
      </c>
      <c r="H534" s="4">
        <v>0</v>
      </c>
    </row>
    <row r="535" spans="1:8" x14ac:dyDescent="0.2">
      <c r="A535" s="2" t="s">
        <v>82</v>
      </c>
      <c r="B535" s="4">
        <v>4</v>
      </c>
      <c r="C535" s="5">
        <v>1.34</v>
      </c>
      <c r="D535" s="4">
        <v>0</v>
      </c>
      <c r="E535" s="5">
        <v>0</v>
      </c>
      <c r="F535" s="4">
        <v>4</v>
      </c>
      <c r="G535" s="5">
        <v>3.92</v>
      </c>
      <c r="H535" s="4">
        <v>0</v>
      </c>
    </row>
    <row r="536" spans="1:8" x14ac:dyDescent="0.2">
      <c r="A536" s="2" t="s">
        <v>83</v>
      </c>
      <c r="B536" s="4">
        <v>1</v>
      </c>
      <c r="C536" s="5">
        <v>0.34</v>
      </c>
      <c r="D536" s="4">
        <v>0</v>
      </c>
      <c r="E536" s="5">
        <v>0</v>
      </c>
      <c r="F536" s="4">
        <v>0</v>
      </c>
      <c r="G536" s="5">
        <v>0</v>
      </c>
      <c r="H536" s="4">
        <v>1</v>
      </c>
    </row>
    <row r="537" spans="1:8" x14ac:dyDescent="0.2">
      <c r="A537" s="2" t="s">
        <v>84</v>
      </c>
      <c r="B537" s="4">
        <v>37</v>
      </c>
      <c r="C537" s="5">
        <v>12.42</v>
      </c>
      <c r="D537" s="4">
        <v>23</v>
      </c>
      <c r="E537" s="5">
        <v>11.86</v>
      </c>
      <c r="F537" s="4">
        <v>14</v>
      </c>
      <c r="G537" s="5">
        <v>13.73</v>
      </c>
      <c r="H537" s="4">
        <v>0</v>
      </c>
    </row>
    <row r="538" spans="1:8" x14ac:dyDescent="0.2">
      <c r="A538" s="2" t="s">
        <v>85</v>
      </c>
      <c r="B538" s="4">
        <v>1</v>
      </c>
      <c r="C538" s="5">
        <v>0.34</v>
      </c>
      <c r="D538" s="4">
        <v>0</v>
      </c>
      <c r="E538" s="5">
        <v>0</v>
      </c>
      <c r="F538" s="4">
        <v>1</v>
      </c>
      <c r="G538" s="5">
        <v>0.98</v>
      </c>
      <c r="H538" s="4">
        <v>0</v>
      </c>
    </row>
    <row r="539" spans="1:8" x14ac:dyDescent="0.2">
      <c r="A539" s="2" t="s">
        <v>86</v>
      </c>
      <c r="B539" s="4">
        <v>8</v>
      </c>
      <c r="C539" s="5">
        <v>2.68</v>
      </c>
      <c r="D539" s="4">
        <v>2</v>
      </c>
      <c r="E539" s="5">
        <v>1.03</v>
      </c>
      <c r="F539" s="4">
        <v>6</v>
      </c>
      <c r="G539" s="5">
        <v>5.88</v>
      </c>
      <c r="H539" s="4">
        <v>0</v>
      </c>
    </row>
    <row r="540" spans="1:8" x14ac:dyDescent="0.2">
      <c r="A540" s="2" t="s">
        <v>87</v>
      </c>
      <c r="B540" s="4">
        <v>19</v>
      </c>
      <c r="C540" s="5">
        <v>6.38</v>
      </c>
      <c r="D540" s="4">
        <v>10</v>
      </c>
      <c r="E540" s="5">
        <v>5.15</v>
      </c>
      <c r="F540" s="4">
        <v>8</v>
      </c>
      <c r="G540" s="5">
        <v>7.84</v>
      </c>
      <c r="H540" s="4">
        <v>0</v>
      </c>
    </row>
    <row r="541" spans="1:8" x14ac:dyDescent="0.2">
      <c r="A541" s="2" t="s">
        <v>88</v>
      </c>
      <c r="B541" s="4">
        <v>81</v>
      </c>
      <c r="C541" s="5">
        <v>27.18</v>
      </c>
      <c r="D541" s="4">
        <v>71</v>
      </c>
      <c r="E541" s="5">
        <v>36.6</v>
      </c>
      <c r="F541" s="4">
        <v>10</v>
      </c>
      <c r="G541" s="5">
        <v>9.8000000000000007</v>
      </c>
      <c r="H541" s="4">
        <v>0</v>
      </c>
    </row>
    <row r="542" spans="1:8" x14ac:dyDescent="0.2">
      <c r="A542" s="2" t="s">
        <v>89</v>
      </c>
      <c r="B542" s="4">
        <v>15</v>
      </c>
      <c r="C542" s="5">
        <v>5.03</v>
      </c>
      <c r="D542" s="4">
        <v>12</v>
      </c>
      <c r="E542" s="5">
        <v>6.19</v>
      </c>
      <c r="F542" s="4">
        <v>3</v>
      </c>
      <c r="G542" s="5">
        <v>2.94</v>
      </c>
      <c r="H542" s="4">
        <v>0</v>
      </c>
    </row>
    <row r="543" spans="1:8" x14ac:dyDescent="0.2">
      <c r="A543" s="2" t="s">
        <v>90</v>
      </c>
      <c r="B543" s="4">
        <v>8</v>
      </c>
      <c r="C543" s="5">
        <v>2.68</v>
      </c>
      <c r="D543" s="4">
        <v>7</v>
      </c>
      <c r="E543" s="5">
        <v>3.61</v>
      </c>
      <c r="F543" s="4">
        <v>1</v>
      </c>
      <c r="G543" s="5">
        <v>0.98</v>
      </c>
      <c r="H543" s="4">
        <v>0</v>
      </c>
    </row>
    <row r="544" spans="1:8" x14ac:dyDescent="0.2">
      <c r="A544" s="2" t="s">
        <v>91</v>
      </c>
      <c r="B544" s="4">
        <v>5</v>
      </c>
      <c r="C544" s="5">
        <v>1.68</v>
      </c>
      <c r="D544" s="4">
        <v>4</v>
      </c>
      <c r="E544" s="5">
        <v>2.06</v>
      </c>
      <c r="F544" s="4">
        <v>1</v>
      </c>
      <c r="G544" s="5">
        <v>0.98</v>
      </c>
      <c r="H544" s="4">
        <v>0</v>
      </c>
    </row>
    <row r="545" spans="1:8" x14ac:dyDescent="0.2">
      <c r="A545" s="2" t="s">
        <v>92</v>
      </c>
      <c r="B545" s="4">
        <v>11</v>
      </c>
      <c r="C545" s="5">
        <v>3.69</v>
      </c>
      <c r="D545" s="4">
        <v>4</v>
      </c>
      <c r="E545" s="5">
        <v>2.06</v>
      </c>
      <c r="F545" s="4">
        <v>7</v>
      </c>
      <c r="G545" s="5">
        <v>6.86</v>
      </c>
      <c r="H545" s="4">
        <v>0</v>
      </c>
    </row>
    <row r="546" spans="1:8" x14ac:dyDescent="0.2">
      <c r="A546" s="1" t="s">
        <v>34</v>
      </c>
      <c r="B546" s="4">
        <v>569</v>
      </c>
      <c r="C546" s="5">
        <v>100.00000000000001</v>
      </c>
      <c r="D546" s="4">
        <v>325</v>
      </c>
      <c r="E546" s="5">
        <v>99.99</v>
      </c>
      <c r="F546" s="4">
        <v>242</v>
      </c>
      <c r="G546" s="5">
        <v>100.00999999999998</v>
      </c>
      <c r="H546" s="4">
        <v>0</v>
      </c>
    </row>
    <row r="547" spans="1:8" x14ac:dyDescent="0.2">
      <c r="A547" s="2" t="s">
        <v>78</v>
      </c>
      <c r="B547" s="4">
        <v>1</v>
      </c>
      <c r="C547" s="5">
        <v>0.18</v>
      </c>
      <c r="D547" s="4">
        <v>0</v>
      </c>
      <c r="E547" s="5">
        <v>0</v>
      </c>
      <c r="F547" s="4">
        <v>1</v>
      </c>
      <c r="G547" s="5">
        <v>0.41</v>
      </c>
      <c r="H547" s="4">
        <v>0</v>
      </c>
    </row>
    <row r="548" spans="1:8" x14ac:dyDescent="0.2">
      <c r="A548" s="2" t="s">
        <v>79</v>
      </c>
      <c r="B548" s="4">
        <v>90</v>
      </c>
      <c r="C548" s="5">
        <v>15.82</v>
      </c>
      <c r="D548" s="4">
        <v>43</v>
      </c>
      <c r="E548" s="5">
        <v>13.23</v>
      </c>
      <c r="F548" s="4">
        <v>47</v>
      </c>
      <c r="G548" s="5">
        <v>19.420000000000002</v>
      </c>
      <c r="H548" s="4">
        <v>0</v>
      </c>
    </row>
    <row r="549" spans="1:8" x14ac:dyDescent="0.2">
      <c r="A549" s="2" t="s">
        <v>80</v>
      </c>
      <c r="B549" s="4">
        <v>104</v>
      </c>
      <c r="C549" s="5">
        <v>18.28</v>
      </c>
      <c r="D549" s="4">
        <v>46</v>
      </c>
      <c r="E549" s="5">
        <v>14.15</v>
      </c>
      <c r="F549" s="4">
        <v>58</v>
      </c>
      <c r="G549" s="5">
        <v>23.97</v>
      </c>
      <c r="H549" s="4">
        <v>0</v>
      </c>
    </row>
    <row r="550" spans="1:8" x14ac:dyDescent="0.2">
      <c r="A550" s="2" t="s">
        <v>81</v>
      </c>
      <c r="B550" s="4">
        <v>2</v>
      </c>
      <c r="C550" s="5">
        <v>0.35</v>
      </c>
      <c r="D550" s="4">
        <v>0</v>
      </c>
      <c r="E550" s="5">
        <v>0</v>
      </c>
      <c r="F550" s="4">
        <v>2</v>
      </c>
      <c r="G550" s="5">
        <v>0.83</v>
      </c>
      <c r="H550" s="4">
        <v>0</v>
      </c>
    </row>
    <row r="551" spans="1:8" x14ac:dyDescent="0.2">
      <c r="A551" s="2" t="s">
        <v>82</v>
      </c>
      <c r="B551" s="4">
        <v>5</v>
      </c>
      <c r="C551" s="5">
        <v>0.88</v>
      </c>
      <c r="D551" s="4">
        <v>1</v>
      </c>
      <c r="E551" s="5">
        <v>0.31</v>
      </c>
      <c r="F551" s="4">
        <v>4</v>
      </c>
      <c r="G551" s="5">
        <v>1.65</v>
      </c>
      <c r="H551" s="4">
        <v>0</v>
      </c>
    </row>
    <row r="552" spans="1:8" x14ac:dyDescent="0.2">
      <c r="A552" s="2" t="s">
        <v>83</v>
      </c>
      <c r="B552" s="4">
        <v>5</v>
      </c>
      <c r="C552" s="5">
        <v>0.88</v>
      </c>
      <c r="D552" s="4">
        <v>3</v>
      </c>
      <c r="E552" s="5">
        <v>0.92</v>
      </c>
      <c r="F552" s="4">
        <v>2</v>
      </c>
      <c r="G552" s="5">
        <v>0.83</v>
      </c>
      <c r="H552" s="4">
        <v>0</v>
      </c>
    </row>
    <row r="553" spans="1:8" x14ac:dyDescent="0.2">
      <c r="A553" s="2" t="s">
        <v>84</v>
      </c>
      <c r="B553" s="4">
        <v>125</v>
      </c>
      <c r="C553" s="5">
        <v>21.97</v>
      </c>
      <c r="D553" s="4">
        <v>56</v>
      </c>
      <c r="E553" s="5">
        <v>17.23</v>
      </c>
      <c r="F553" s="4">
        <v>69</v>
      </c>
      <c r="G553" s="5">
        <v>28.51</v>
      </c>
      <c r="H553" s="4">
        <v>0</v>
      </c>
    </row>
    <row r="554" spans="1:8" x14ac:dyDescent="0.2">
      <c r="A554" s="2" t="s">
        <v>85</v>
      </c>
      <c r="B554" s="4">
        <v>5</v>
      </c>
      <c r="C554" s="5">
        <v>0.88</v>
      </c>
      <c r="D554" s="4">
        <v>3</v>
      </c>
      <c r="E554" s="5">
        <v>0.92</v>
      </c>
      <c r="F554" s="4">
        <v>2</v>
      </c>
      <c r="G554" s="5">
        <v>0.83</v>
      </c>
      <c r="H554" s="4">
        <v>0</v>
      </c>
    </row>
    <row r="555" spans="1:8" x14ac:dyDescent="0.2">
      <c r="A555" s="2" t="s">
        <v>86</v>
      </c>
      <c r="B555" s="4">
        <v>30</v>
      </c>
      <c r="C555" s="5">
        <v>5.27</v>
      </c>
      <c r="D555" s="4">
        <v>21</v>
      </c>
      <c r="E555" s="5">
        <v>6.46</v>
      </c>
      <c r="F555" s="4">
        <v>9</v>
      </c>
      <c r="G555" s="5">
        <v>3.72</v>
      </c>
      <c r="H555" s="4">
        <v>0</v>
      </c>
    </row>
    <row r="556" spans="1:8" x14ac:dyDescent="0.2">
      <c r="A556" s="2" t="s">
        <v>87</v>
      </c>
      <c r="B556" s="4">
        <v>28</v>
      </c>
      <c r="C556" s="5">
        <v>4.92</v>
      </c>
      <c r="D556" s="4">
        <v>12</v>
      </c>
      <c r="E556" s="5">
        <v>3.69</v>
      </c>
      <c r="F556" s="4">
        <v>16</v>
      </c>
      <c r="G556" s="5">
        <v>6.61</v>
      </c>
      <c r="H556" s="4">
        <v>0</v>
      </c>
    </row>
    <row r="557" spans="1:8" x14ac:dyDescent="0.2">
      <c r="A557" s="2" t="s">
        <v>88</v>
      </c>
      <c r="B557" s="4">
        <v>61</v>
      </c>
      <c r="C557" s="5">
        <v>10.72</v>
      </c>
      <c r="D557" s="4">
        <v>52</v>
      </c>
      <c r="E557" s="5">
        <v>16</v>
      </c>
      <c r="F557" s="4">
        <v>9</v>
      </c>
      <c r="G557" s="5">
        <v>3.72</v>
      </c>
      <c r="H557" s="4">
        <v>0</v>
      </c>
    </row>
    <row r="558" spans="1:8" x14ac:dyDescent="0.2">
      <c r="A558" s="2" t="s">
        <v>89</v>
      </c>
      <c r="B558" s="4">
        <v>57</v>
      </c>
      <c r="C558" s="5">
        <v>10.02</v>
      </c>
      <c r="D558" s="4">
        <v>48</v>
      </c>
      <c r="E558" s="5">
        <v>14.77</v>
      </c>
      <c r="F558" s="4">
        <v>9</v>
      </c>
      <c r="G558" s="5">
        <v>3.72</v>
      </c>
      <c r="H558" s="4">
        <v>0</v>
      </c>
    </row>
    <row r="559" spans="1:8" x14ac:dyDescent="0.2">
      <c r="A559" s="2" t="s">
        <v>90</v>
      </c>
      <c r="B559" s="4">
        <v>20</v>
      </c>
      <c r="C559" s="5">
        <v>3.51</v>
      </c>
      <c r="D559" s="4">
        <v>16</v>
      </c>
      <c r="E559" s="5">
        <v>4.92</v>
      </c>
      <c r="F559" s="4">
        <v>3</v>
      </c>
      <c r="G559" s="5">
        <v>1.24</v>
      </c>
      <c r="H559" s="4">
        <v>0</v>
      </c>
    </row>
    <row r="560" spans="1:8" x14ac:dyDescent="0.2">
      <c r="A560" s="2" t="s">
        <v>91</v>
      </c>
      <c r="B560" s="4">
        <v>20</v>
      </c>
      <c r="C560" s="5">
        <v>3.51</v>
      </c>
      <c r="D560" s="4">
        <v>18</v>
      </c>
      <c r="E560" s="5">
        <v>5.54</v>
      </c>
      <c r="F560" s="4">
        <v>2</v>
      </c>
      <c r="G560" s="5">
        <v>0.83</v>
      </c>
      <c r="H560" s="4">
        <v>0</v>
      </c>
    </row>
    <row r="561" spans="1:8" x14ac:dyDescent="0.2">
      <c r="A561" s="2" t="s">
        <v>92</v>
      </c>
      <c r="B561" s="4">
        <v>16</v>
      </c>
      <c r="C561" s="5">
        <v>2.81</v>
      </c>
      <c r="D561" s="4">
        <v>6</v>
      </c>
      <c r="E561" s="5">
        <v>1.85</v>
      </c>
      <c r="F561" s="4">
        <v>9</v>
      </c>
      <c r="G561" s="5">
        <v>3.72</v>
      </c>
      <c r="H561" s="4">
        <v>0</v>
      </c>
    </row>
    <row r="562" spans="1:8" x14ac:dyDescent="0.2">
      <c r="A562" s="1" t="s">
        <v>35</v>
      </c>
      <c r="B562" s="4">
        <v>586</v>
      </c>
      <c r="C562" s="5">
        <v>100</v>
      </c>
      <c r="D562" s="4">
        <v>286</v>
      </c>
      <c r="E562" s="5">
        <v>100.03000000000002</v>
      </c>
      <c r="F562" s="4">
        <v>299</v>
      </c>
      <c r="G562" s="5">
        <v>99.99</v>
      </c>
      <c r="H562" s="4">
        <v>0</v>
      </c>
    </row>
    <row r="563" spans="1:8" x14ac:dyDescent="0.2">
      <c r="A563" s="2" t="s">
        <v>78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2">
      <c r="A564" s="2" t="s">
        <v>79</v>
      </c>
      <c r="B564" s="4">
        <v>85</v>
      </c>
      <c r="C564" s="5">
        <v>14.51</v>
      </c>
      <c r="D564" s="4">
        <v>34</v>
      </c>
      <c r="E564" s="5">
        <v>11.89</v>
      </c>
      <c r="F564" s="4">
        <v>51</v>
      </c>
      <c r="G564" s="5">
        <v>17.059999999999999</v>
      </c>
      <c r="H564" s="4">
        <v>0</v>
      </c>
    </row>
    <row r="565" spans="1:8" x14ac:dyDescent="0.2">
      <c r="A565" s="2" t="s">
        <v>80</v>
      </c>
      <c r="B565" s="4">
        <v>156</v>
      </c>
      <c r="C565" s="5">
        <v>26.62</v>
      </c>
      <c r="D565" s="4">
        <v>59</v>
      </c>
      <c r="E565" s="5">
        <v>20.63</v>
      </c>
      <c r="F565" s="4">
        <v>97</v>
      </c>
      <c r="G565" s="5">
        <v>32.44</v>
      </c>
      <c r="H565" s="4">
        <v>0</v>
      </c>
    </row>
    <row r="566" spans="1:8" x14ac:dyDescent="0.2">
      <c r="A566" s="2" t="s">
        <v>81</v>
      </c>
      <c r="B566" s="4">
        <v>1</v>
      </c>
      <c r="C566" s="5">
        <v>0.17</v>
      </c>
      <c r="D566" s="4">
        <v>0</v>
      </c>
      <c r="E566" s="5">
        <v>0</v>
      </c>
      <c r="F566" s="4">
        <v>1</v>
      </c>
      <c r="G566" s="5">
        <v>0.33</v>
      </c>
      <c r="H566" s="4">
        <v>0</v>
      </c>
    </row>
    <row r="567" spans="1:8" x14ac:dyDescent="0.2">
      <c r="A567" s="2" t="s">
        <v>82</v>
      </c>
      <c r="B567" s="4">
        <v>2</v>
      </c>
      <c r="C567" s="5">
        <v>0.34</v>
      </c>
      <c r="D567" s="4">
        <v>1</v>
      </c>
      <c r="E567" s="5">
        <v>0.35</v>
      </c>
      <c r="F567" s="4">
        <v>1</v>
      </c>
      <c r="G567" s="5">
        <v>0.33</v>
      </c>
      <c r="H567" s="4">
        <v>0</v>
      </c>
    </row>
    <row r="568" spans="1:8" x14ac:dyDescent="0.2">
      <c r="A568" s="2" t="s">
        <v>83</v>
      </c>
      <c r="B568" s="4">
        <v>3</v>
      </c>
      <c r="C568" s="5">
        <v>0.51</v>
      </c>
      <c r="D568" s="4">
        <v>1</v>
      </c>
      <c r="E568" s="5">
        <v>0.35</v>
      </c>
      <c r="F568" s="4">
        <v>2</v>
      </c>
      <c r="G568" s="5">
        <v>0.67</v>
      </c>
      <c r="H568" s="4">
        <v>0</v>
      </c>
    </row>
    <row r="569" spans="1:8" x14ac:dyDescent="0.2">
      <c r="A569" s="2" t="s">
        <v>84</v>
      </c>
      <c r="B569" s="4">
        <v>118</v>
      </c>
      <c r="C569" s="5">
        <v>20.14</v>
      </c>
      <c r="D569" s="4">
        <v>45</v>
      </c>
      <c r="E569" s="5">
        <v>15.73</v>
      </c>
      <c r="F569" s="4">
        <v>73</v>
      </c>
      <c r="G569" s="5">
        <v>24.41</v>
      </c>
      <c r="H569" s="4">
        <v>0</v>
      </c>
    </row>
    <row r="570" spans="1:8" x14ac:dyDescent="0.2">
      <c r="A570" s="2" t="s">
        <v>85</v>
      </c>
      <c r="B570" s="4">
        <v>6</v>
      </c>
      <c r="C570" s="5">
        <v>1.02</v>
      </c>
      <c r="D570" s="4">
        <v>2</v>
      </c>
      <c r="E570" s="5">
        <v>0.7</v>
      </c>
      <c r="F570" s="4">
        <v>4</v>
      </c>
      <c r="G570" s="5">
        <v>1.34</v>
      </c>
      <c r="H570" s="4">
        <v>0</v>
      </c>
    </row>
    <row r="571" spans="1:8" x14ac:dyDescent="0.2">
      <c r="A571" s="2" t="s">
        <v>86</v>
      </c>
      <c r="B571" s="4">
        <v>25</v>
      </c>
      <c r="C571" s="5">
        <v>4.2699999999999996</v>
      </c>
      <c r="D571" s="4">
        <v>12</v>
      </c>
      <c r="E571" s="5">
        <v>4.2</v>
      </c>
      <c r="F571" s="4">
        <v>13</v>
      </c>
      <c r="G571" s="5">
        <v>4.3499999999999996</v>
      </c>
      <c r="H571" s="4">
        <v>0</v>
      </c>
    </row>
    <row r="572" spans="1:8" x14ac:dyDescent="0.2">
      <c r="A572" s="2" t="s">
        <v>87</v>
      </c>
      <c r="B572" s="4">
        <v>20</v>
      </c>
      <c r="C572" s="5">
        <v>3.41</v>
      </c>
      <c r="D572" s="4">
        <v>14</v>
      </c>
      <c r="E572" s="5">
        <v>4.9000000000000004</v>
      </c>
      <c r="F572" s="4">
        <v>6</v>
      </c>
      <c r="G572" s="5">
        <v>2.0099999999999998</v>
      </c>
      <c r="H572" s="4">
        <v>0</v>
      </c>
    </row>
    <row r="573" spans="1:8" x14ac:dyDescent="0.2">
      <c r="A573" s="2" t="s">
        <v>88</v>
      </c>
      <c r="B573" s="4">
        <v>59</v>
      </c>
      <c r="C573" s="5">
        <v>10.07</v>
      </c>
      <c r="D573" s="4">
        <v>40</v>
      </c>
      <c r="E573" s="5">
        <v>13.99</v>
      </c>
      <c r="F573" s="4">
        <v>19</v>
      </c>
      <c r="G573" s="5">
        <v>6.35</v>
      </c>
      <c r="H573" s="4">
        <v>0</v>
      </c>
    </row>
    <row r="574" spans="1:8" x14ac:dyDescent="0.2">
      <c r="A574" s="2" t="s">
        <v>89</v>
      </c>
      <c r="B574" s="4">
        <v>55</v>
      </c>
      <c r="C574" s="5">
        <v>9.39</v>
      </c>
      <c r="D574" s="4">
        <v>42</v>
      </c>
      <c r="E574" s="5">
        <v>14.69</v>
      </c>
      <c r="F574" s="4">
        <v>13</v>
      </c>
      <c r="G574" s="5">
        <v>4.3499999999999996</v>
      </c>
      <c r="H574" s="4">
        <v>0</v>
      </c>
    </row>
    <row r="575" spans="1:8" x14ac:dyDescent="0.2">
      <c r="A575" s="2" t="s">
        <v>90</v>
      </c>
      <c r="B575" s="4">
        <v>19</v>
      </c>
      <c r="C575" s="5">
        <v>3.24</v>
      </c>
      <c r="D575" s="4">
        <v>13</v>
      </c>
      <c r="E575" s="5">
        <v>4.55</v>
      </c>
      <c r="F575" s="4">
        <v>5</v>
      </c>
      <c r="G575" s="5">
        <v>1.67</v>
      </c>
      <c r="H575" s="4">
        <v>0</v>
      </c>
    </row>
    <row r="576" spans="1:8" x14ac:dyDescent="0.2">
      <c r="A576" s="2" t="s">
        <v>91</v>
      </c>
      <c r="B576" s="4">
        <v>17</v>
      </c>
      <c r="C576" s="5">
        <v>2.9</v>
      </c>
      <c r="D576" s="4">
        <v>14</v>
      </c>
      <c r="E576" s="5">
        <v>4.9000000000000004</v>
      </c>
      <c r="F576" s="4">
        <v>3</v>
      </c>
      <c r="G576" s="5">
        <v>1</v>
      </c>
      <c r="H576" s="4">
        <v>0</v>
      </c>
    </row>
    <row r="577" spans="1:8" x14ac:dyDescent="0.2">
      <c r="A577" s="2" t="s">
        <v>92</v>
      </c>
      <c r="B577" s="4">
        <v>20</v>
      </c>
      <c r="C577" s="5">
        <v>3.41</v>
      </c>
      <c r="D577" s="4">
        <v>9</v>
      </c>
      <c r="E577" s="5">
        <v>3.15</v>
      </c>
      <c r="F577" s="4">
        <v>11</v>
      </c>
      <c r="G577" s="5">
        <v>3.68</v>
      </c>
      <c r="H577" s="4">
        <v>0</v>
      </c>
    </row>
    <row r="578" spans="1:8" x14ac:dyDescent="0.2">
      <c r="A578" s="1" t="s">
        <v>36</v>
      </c>
      <c r="B578" s="4">
        <v>269</v>
      </c>
      <c r="C578" s="5">
        <v>100.00999999999999</v>
      </c>
      <c r="D578" s="4">
        <v>171</v>
      </c>
      <c r="E578" s="5">
        <v>99.97</v>
      </c>
      <c r="F578" s="4">
        <v>96</v>
      </c>
      <c r="G578" s="5">
        <v>100.02000000000001</v>
      </c>
      <c r="H578" s="4">
        <v>0</v>
      </c>
    </row>
    <row r="579" spans="1:8" x14ac:dyDescent="0.2">
      <c r="A579" s="2" t="s">
        <v>78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2">
      <c r="A580" s="2" t="s">
        <v>79</v>
      </c>
      <c r="B580" s="4">
        <v>53</v>
      </c>
      <c r="C580" s="5">
        <v>19.7</v>
      </c>
      <c r="D580" s="4">
        <v>28</v>
      </c>
      <c r="E580" s="5">
        <v>16.37</v>
      </c>
      <c r="F580" s="4">
        <v>25</v>
      </c>
      <c r="G580" s="5">
        <v>26.04</v>
      </c>
      <c r="H580" s="4">
        <v>0</v>
      </c>
    </row>
    <row r="581" spans="1:8" x14ac:dyDescent="0.2">
      <c r="A581" s="2" t="s">
        <v>80</v>
      </c>
      <c r="B581" s="4">
        <v>38</v>
      </c>
      <c r="C581" s="5">
        <v>14.13</v>
      </c>
      <c r="D581" s="4">
        <v>16</v>
      </c>
      <c r="E581" s="5">
        <v>9.36</v>
      </c>
      <c r="F581" s="4">
        <v>22</v>
      </c>
      <c r="G581" s="5">
        <v>22.92</v>
      </c>
      <c r="H581" s="4">
        <v>0</v>
      </c>
    </row>
    <row r="582" spans="1:8" x14ac:dyDescent="0.2">
      <c r="A582" s="2" t="s">
        <v>81</v>
      </c>
      <c r="B582" s="4">
        <v>0</v>
      </c>
      <c r="C582" s="5">
        <v>0</v>
      </c>
      <c r="D582" s="4">
        <v>0</v>
      </c>
      <c r="E582" s="5">
        <v>0</v>
      </c>
      <c r="F582" s="4">
        <v>0</v>
      </c>
      <c r="G582" s="5">
        <v>0</v>
      </c>
      <c r="H582" s="4">
        <v>0</v>
      </c>
    </row>
    <row r="583" spans="1:8" x14ac:dyDescent="0.2">
      <c r="A583" s="2" t="s">
        <v>82</v>
      </c>
      <c r="B583" s="4">
        <v>4</v>
      </c>
      <c r="C583" s="5">
        <v>1.49</v>
      </c>
      <c r="D583" s="4">
        <v>2</v>
      </c>
      <c r="E583" s="5">
        <v>1.17</v>
      </c>
      <c r="F583" s="4">
        <v>2</v>
      </c>
      <c r="G583" s="5">
        <v>2.08</v>
      </c>
      <c r="H583" s="4">
        <v>0</v>
      </c>
    </row>
    <row r="584" spans="1:8" x14ac:dyDescent="0.2">
      <c r="A584" s="2" t="s">
        <v>83</v>
      </c>
      <c r="B584" s="4">
        <v>4</v>
      </c>
      <c r="C584" s="5">
        <v>1.49</v>
      </c>
      <c r="D584" s="4">
        <v>1</v>
      </c>
      <c r="E584" s="5">
        <v>0.57999999999999996</v>
      </c>
      <c r="F584" s="4">
        <v>3</v>
      </c>
      <c r="G584" s="5">
        <v>3.13</v>
      </c>
      <c r="H584" s="4">
        <v>0</v>
      </c>
    </row>
    <row r="585" spans="1:8" x14ac:dyDescent="0.2">
      <c r="A585" s="2" t="s">
        <v>84</v>
      </c>
      <c r="B585" s="4">
        <v>43</v>
      </c>
      <c r="C585" s="5">
        <v>15.99</v>
      </c>
      <c r="D585" s="4">
        <v>21</v>
      </c>
      <c r="E585" s="5">
        <v>12.28</v>
      </c>
      <c r="F585" s="4">
        <v>22</v>
      </c>
      <c r="G585" s="5">
        <v>22.92</v>
      </c>
      <c r="H585" s="4">
        <v>0</v>
      </c>
    </row>
    <row r="586" spans="1:8" x14ac:dyDescent="0.2">
      <c r="A586" s="2" t="s">
        <v>85</v>
      </c>
      <c r="B586" s="4">
        <v>1</v>
      </c>
      <c r="C586" s="5">
        <v>0.37</v>
      </c>
      <c r="D586" s="4">
        <v>0</v>
      </c>
      <c r="E586" s="5">
        <v>0</v>
      </c>
      <c r="F586" s="4">
        <v>1</v>
      </c>
      <c r="G586" s="5">
        <v>1.04</v>
      </c>
      <c r="H586" s="4">
        <v>0</v>
      </c>
    </row>
    <row r="587" spans="1:8" x14ac:dyDescent="0.2">
      <c r="A587" s="2" t="s">
        <v>86</v>
      </c>
      <c r="B587" s="4">
        <v>5</v>
      </c>
      <c r="C587" s="5">
        <v>1.86</v>
      </c>
      <c r="D587" s="4">
        <v>1</v>
      </c>
      <c r="E587" s="5">
        <v>0.57999999999999996</v>
      </c>
      <c r="F587" s="4">
        <v>4</v>
      </c>
      <c r="G587" s="5">
        <v>4.17</v>
      </c>
      <c r="H587" s="4">
        <v>0</v>
      </c>
    </row>
    <row r="588" spans="1:8" x14ac:dyDescent="0.2">
      <c r="A588" s="2" t="s">
        <v>87</v>
      </c>
      <c r="B588" s="4">
        <v>19</v>
      </c>
      <c r="C588" s="5">
        <v>7.06</v>
      </c>
      <c r="D588" s="4">
        <v>15</v>
      </c>
      <c r="E588" s="5">
        <v>8.77</v>
      </c>
      <c r="F588" s="4">
        <v>3</v>
      </c>
      <c r="G588" s="5">
        <v>3.13</v>
      </c>
      <c r="H588" s="4">
        <v>0</v>
      </c>
    </row>
    <row r="589" spans="1:8" x14ac:dyDescent="0.2">
      <c r="A589" s="2" t="s">
        <v>88</v>
      </c>
      <c r="B589" s="4">
        <v>39</v>
      </c>
      <c r="C589" s="5">
        <v>14.5</v>
      </c>
      <c r="D589" s="4">
        <v>30</v>
      </c>
      <c r="E589" s="5">
        <v>17.54</v>
      </c>
      <c r="F589" s="4">
        <v>9</v>
      </c>
      <c r="G589" s="5">
        <v>9.3800000000000008</v>
      </c>
      <c r="H589" s="4">
        <v>0</v>
      </c>
    </row>
    <row r="590" spans="1:8" x14ac:dyDescent="0.2">
      <c r="A590" s="2" t="s">
        <v>89</v>
      </c>
      <c r="B590" s="4">
        <v>27</v>
      </c>
      <c r="C590" s="5">
        <v>10.039999999999999</v>
      </c>
      <c r="D590" s="4">
        <v>26</v>
      </c>
      <c r="E590" s="5">
        <v>15.2</v>
      </c>
      <c r="F590" s="4">
        <v>1</v>
      </c>
      <c r="G590" s="5">
        <v>1.04</v>
      </c>
      <c r="H590" s="4">
        <v>0</v>
      </c>
    </row>
    <row r="591" spans="1:8" x14ac:dyDescent="0.2">
      <c r="A591" s="2" t="s">
        <v>90</v>
      </c>
      <c r="B591" s="4">
        <v>13</v>
      </c>
      <c r="C591" s="5">
        <v>4.83</v>
      </c>
      <c r="D591" s="4">
        <v>13</v>
      </c>
      <c r="E591" s="5">
        <v>7.6</v>
      </c>
      <c r="F591" s="4">
        <v>0</v>
      </c>
      <c r="G591" s="5">
        <v>0</v>
      </c>
      <c r="H591" s="4">
        <v>0</v>
      </c>
    </row>
    <row r="592" spans="1:8" x14ac:dyDescent="0.2">
      <c r="A592" s="2" t="s">
        <v>91</v>
      </c>
      <c r="B592" s="4">
        <v>13</v>
      </c>
      <c r="C592" s="5">
        <v>4.83</v>
      </c>
      <c r="D592" s="4">
        <v>13</v>
      </c>
      <c r="E592" s="5">
        <v>7.6</v>
      </c>
      <c r="F592" s="4">
        <v>0</v>
      </c>
      <c r="G592" s="5">
        <v>0</v>
      </c>
      <c r="H592" s="4">
        <v>0</v>
      </c>
    </row>
    <row r="593" spans="1:8" x14ac:dyDescent="0.2">
      <c r="A593" s="2" t="s">
        <v>92</v>
      </c>
      <c r="B593" s="4">
        <v>10</v>
      </c>
      <c r="C593" s="5">
        <v>3.72</v>
      </c>
      <c r="D593" s="4">
        <v>5</v>
      </c>
      <c r="E593" s="5">
        <v>2.92</v>
      </c>
      <c r="F593" s="4">
        <v>4</v>
      </c>
      <c r="G593" s="5">
        <v>4.17</v>
      </c>
      <c r="H593" s="4">
        <v>0</v>
      </c>
    </row>
    <row r="594" spans="1:8" x14ac:dyDescent="0.2">
      <c r="A594" s="1" t="s">
        <v>37</v>
      </c>
      <c r="B594" s="4">
        <v>298</v>
      </c>
      <c r="C594" s="5">
        <v>100.01</v>
      </c>
      <c r="D594" s="4">
        <v>141</v>
      </c>
      <c r="E594" s="5">
        <v>100.00999999999999</v>
      </c>
      <c r="F594" s="4">
        <v>153</v>
      </c>
      <c r="G594" s="5">
        <v>99.98</v>
      </c>
      <c r="H594" s="4">
        <v>0</v>
      </c>
    </row>
    <row r="595" spans="1:8" x14ac:dyDescent="0.2">
      <c r="A595" s="2" t="s">
        <v>78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2">
      <c r="A596" s="2" t="s">
        <v>79</v>
      </c>
      <c r="B596" s="4">
        <v>49</v>
      </c>
      <c r="C596" s="5">
        <v>16.440000000000001</v>
      </c>
      <c r="D596" s="4">
        <v>24</v>
      </c>
      <c r="E596" s="5">
        <v>17.02</v>
      </c>
      <c r="F596" s="4">
        <v>25</v>
      </c>
      <c r="G596" s="5">
        <v>16.34</v>
      </c>
      <c r="H596" s="4">
        <v>0</v>
      </c>
    </row>
    <row r="597" spans="1:8" x14ac:dyDescent="0.2">
      <c r="A597" s="2" t="s">
        <v>80</v>
      </c>
      <c r="B597" s="4">
        <v>57</v>
      </c>
      <c r="C597" s="5">
        <v>19.13</v>
      </c>
      <c r="D597" s="4">
        <v>17</v>
      </c>
      <c r="E597" s="5">
        <v>12.06</v>
      </c>
      <c r="F597" s="4">
        <v>40</v>
      </c>
      <c r="G597" s="5">
        <v>26.14</v>
      </c>
      <c r="H597" s="4">
        <v>0</v>
      </c>
    </row>
    <row r="598" spans="1:8" x14ac:dyDescent="0.2">
      <c r="A598" s="2" t="s">
        <v>81</v>
      </c>
      <c r="B598" s="4">
        <v>1</v>
      </c>
      <c r="C598" s="5">
        <v>0.34</v>
      </c>
      <c r="D598" s="4">
        <v>0</v>
      </c>
      <c r="E598" s="5">
        <v>0</v>
      </c>
      <c r="F598" s="4">
        <v>1</v>
      </c>
      <c r="G598" s="5">
        <v>0.65</v>
      </c>
      <c r="H598" s="4">
        <v>0</v>
      </c>
    </row>
    <row r="599" spans="1:8" x14ac:dyDescent="0.2">
      <c r="A599" s="2" t="s">
        <v>82</v>
      </c>
      <c r="B599" s="4">
        <v>3</v>
      </c>
      <c r="C599" s="5">
        <v>1.01</v>
      </c>
      <c r="D599" s="4">
        <v>0</v>
      </c>
      <c r="E599" s="5">
        <v>0</v>
      </c>
      <c r="F599" s="4">
        <v>3</v>
      </c>
      <c r="G599" s="5">
        <v>1.96</v>
      </c>
      <c r="H599" s="4">
        <v>0</v>
      </c>
    </row>
    <row r="600" spans="1:8" x14ac:dyDescent="0.2">
      <c r="A600" s="2" t="s">
        <v>83</v>
      </c>
      <c r="B600" s="4">
        <v>2</v>
      </c>
      <c r="C600" s="5">
        <v>0.67</v>
      </c>
      <c r="D600" s="4">
        <v>1</v>
      </c>
      <c r="E600" s="5">
        <v>0.71</v>
      </c>
      <c r="F600" s="4">
        <v>1</v>
      </c>
      <c r="G600" s="5">
        <v>0.65</v>
      </c>
      <c r="H600" s="4">
        <v>0</v>
      </c>
    </row>
    <row r="601" spans="1:8" x14ac:dyDescent="0.2">
      <c r="A601" s="2" t="s">
        <v>84</v>
      </c>
      <c r="B601" s="4">
        <v>54</v>
      </c>
      <c r="C601" s="5">
        <v>18.12</v>
      </c>
      <c r="D601" s="4">
        <v>14</v>
      </c>
      <c r="E601" s="5">
        <v>9.93</v>
      </c>
      <c r="F601" s="4">
        <v>40</v>
      </c>
      <c r="G601" s="5">
        <v>26.14</v>
      </c>
      <c r="H601" s="4">
        <v>0</v>
      </c>
    </row>
    <row r="602" spans="1:8" x14ac:dyDescent="0.2">
      <c r="A602" s="2" t="s">
        <v>85</v>
      </c>
      <c r="B602" s="4">
        <v>1</v>
      </c>
      <c r="C602" s="5">
        <v>0.34</v>
      </c>
      <c r="D602" s="4">
        <v>0</v>
      </c>
      <c r="E602" s="5">
        <v>0</v>
      </c>
      <c r="F602" s="4">
        <v>1</v>
      </c>
      <c r="G602" s="5">
        <v>0.65</v>
      </c>
      <c r="H602" s="4">
        <v>0</v>
      </c>
    </row>
    <row r="603" spans="1:8" x14ac:dyDescent="0.2">
      <c r="A603" s="2" t="s">
        <v>86</v>
      </c>
      <c r="B603" s="4">
        <v>20</v>
      </c>
      <c r="C603" s="5">
        <v>6.71</v>
      </c>
      <c r="D603" s="4">
        <v>6</v>
      </c>
      <c r="E603" s="5">
        <v>4.26</v>
      </c>
      <c r="F603" s="4">
        <v>14</v>
      </c>
      <c r="G603" s="5">
        <v>9.15</v>
      </c>
      <c r="H603" s="4">
        <v>0</v>
      </c>
    </row>
    <row r="604" spans="1:8" x14ac:dyDescent="0.2">
      <c r="A604" s="2" t="s">
        <v>87</v>
      </c>
      <c r="B604" s="4">
        <v>12</v>
      </c>
      <c r="C604" s="5">
        <v>4.03</v>
      </c>
      <c r="D604" s="4">
        <v>6</v>
      </c>
      <c r="E604" s="5">
        <v>4.26</v>
      </c>
      <c r="F604" s="4">
        <v>6</v>
      </c>
      <c r="G604" s="5">
        <v>3.92</v>
      </c>
      <c r="H604" s="4">
        <v>0</v>
      </c>
    </row>
    <row r="605" spans="1:8" x14ac:dyDescent="0.2">
      <c r="A605" s="2" t="s">
        <v>88</v>
      </c>
      <c r="B605" s="4">
        <v>13</v>
      </c>
      <c r="C605" s="5">
        <v>4.3600000000000003</v>
      </c>
      <c r="D605" s="4">
        <v>8</v>
      </c>
      <c r="E605" s="5">
        <v>5.67</v>
      </c>
      <c r="F605" s="4">
        <v>5</v>
      </c>
      <c r="G605" s="5">
        <v>3.27</v>
      </c>
      <c r="H605" s="4">
        <v>0</v>
      </c>
    </row>
    <row r="606" spans="1:8" x14ac:dyDescent="0.2">
      <c r="A606" s="2" t="s">
        <v>89</v>
      </c>
      <c r="B606" s="4">
        <v>41</v>
      </c>
      <c r="C606" s="5">
        <v>13.76</v>
      </c>
      <c r="D606" s="4">
        <v>35</v>
      </c>
      <c r="E606" s="5">
        <v>24.82</v>
      </c>
      <c r="F606" s="4">
        <v>5</v>
      </c>
      <c r="G606" s="5">
        <v>3.27</v>
      </c>
      <c r="H606" s="4">
        <v>0</v>
      </c>
    </row>
    <row r="607" spans="1:8" x14ac:dyDescent="0.2">
      <c r="A607" s="2" t="s">
        <v>90</v>
      </c>
      <c r="B607" s="4">
        <v>20</v>
      </c>
      <c r="C607" s="5">
        <v>6.71</v>
      </c>
      <c r="D607" s="4">
        <v>15</v>
      </c>
      <c r="E607" s="5">
        <v>10.64</v>
      </c>
      <c r="F607" s="4">
        <v>3</v>
      </c>
      <c r="G607" s="5">
        <v>1.96</v>
      </c>
      <c r="H607" s="4">
        <v>0</v>
      </c>
    </row>
    <row r="608" spans="1:8" x14ac:dyDescent="0.2">
      <c r="A608" s="2" t="s">
        <v>91</v>
      </c>
      <c r="B608" s="4">
        <v>13</v>
      </c>
      <c r="C608" s="5">
        <v>4.3600000000000003</v>
      </c>
      <c r="D608" s="4">
        <v>11</v>
      </c>
      <c r="E608" s="5">
        <v>7.8</v>
      </c>
      <c r="F608" s="4">
        <v>1</v>
      </c>
      <c r="G608" s="5">
        <v>0.65</v>
      </c>
      <c r="H608" s="4">
        <v>0</v>
      </c>
    </row>
    <row r="609" spans="1:8" x14ac:dyDescent="0.2">
      <c r="A609" s="2" t="s">
        <v>92</v>
      </c>
      <c r="B609" s="4">
        <v>12</v>
      </c>
      <c r="C609" s="5">
        <v>4.03</v>
      </c>
      <c r="D609" s="4">
        <v>4</v>
      </c>
      <c r="E609" s="5">
        <v>2.84</v>
      </c>
      <c r="F609" s="4">
        <v>8</v>
      </c>
      <c r="G609" s="5">
        <v>5.23</v>
      </c>
      <c r="H609" s="4">
        <v>0</v>
      </c>
    </row>
    <row r="610" spans="1:8" x14ac:dyDescent="0.2">
      <c r="A610" s="1" t="s">
        <v>38</v>
      </c>
      <c r="B610" s="4">
        <v>120</v>
      </c>
      <c r="C610" s="5">
        <v>99.99</v>
      </c>
      <c r="D610" s="4">
        <v>75</v>
      </c>
      <c r="E610" s="5">
        <v>99.99</v>
      </c>
      <c r="F610" s="4">
        <v>42</v>
      </c>
      <c r="G610" s="5">
        <v>99.99</v>
      </c>
      <c r="H610" s="4">
        <v>0</v>
      </c>
    </row>
    <row r="611" spans="1:8" x14ac:dyDescent="0.2">
      <c r="A611" s="2" t="s">
        <v>78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2">
      <c r="A612" s="2" t="s">
        <v>79</v>
      </c>
      <c r="B612" s="4">
        <v>28</v>
      </c>
      <c r="C612" s="5">
        <v>23.33</v>
      </c>
      <c r="D612" s="4">
        <v>16</v>
      </c>
      <c r="E612" s="5">
        <v>21.33</v>
      </c>
      <c r="F612" s="4">
        <v>12</v>
      </c>
      <c r="G612" s="5">
        <v>28.57</v>
      </c>
      <c r="H612" s="4">
        <v>0</v>
      </c>
    </row>
    <row r="613" spans="1:8" x14ac:dyDescent="0.2">
      <c r="A613" s="2" t="s">
        <v>80</v>
      </c>
      <c r="B613" s="4">
        <v>22</v>
      </c>
      <c r="C613" s="5">
        <v>18.329999999999998</v>
      </c>
      <c r="D613" s="4">
        <v>10</v>
      </c>
      <c r="E613" s="5">
        <v>13.33</v>
      </c>
      <c r="F613" s="4">
        <v>12</v>
      </c>
      <c r="G613" s="5">
        <v>28.57</v>
      </c>
      <c r="H613" s="4">
        <v>0</v>
      </c>
    </row>
    <row r="614" spans="1:8" x14ac:dyDescent="0.2">
      <c r="A614" s="2" t="s">
        <v>81</v>
      </c>
      <c r="B614" s="4">
        <v>2</v>
      </c>
      <c r="C614" s="5">
        <v>1.67</v>
      </c>
      <c r="D614" s="4">
        <v>0</v>
      </c>
      <c r="E614" s="5">
        <v>0</v>
      </c>
      <c r="F614" s="4">
        <v>2</v>
      </c>
      <c r="G614" s="5">
        <v>4.76</v>
      </c>
      <c r="H614" s="4">
        <v>0</v>
      </c>
    </row>
    <row r="615" spans="1:8" x14ac:dyDescent="0.2">
      <c r="A615" s="2" t="s">
        <v>82</v>
      </c>
      <c r="B615" s="4">
        <v>2</v>
      </c>
      <c r="C615" s="5">
        <v>1.67</v>
      </c>
      <c r="D615" s="4">
        <v>2</v>
      </c>
      <c r="E615" s="5">
        <v>2.67</v>
      </c>
      <c r="F615" s="4">
        <v>0</v>
      </c>
      <c r="G615" s="5">
        <v>0</v>
      </c>
      <c r="H615" s="4">
        <v>0</v>
      </c>
    </row>
    <row r="616" spans="1:8" x14ac:dyDescent="0.2">
      <c r="A616" s="2" t="s">
        <v>83</v>
      </c>
      <c r="B616" s="4">
        <v>1</v>
      </c>
      <c r="C616" s="5">
        <v>0.83</v>
      </c>
      <c r="D616" s="4">
        <v>1</v>
      </c>
      <c r="E616" s="5">
        <v>1.33</v>
      </c>
      <c r="F616" s="4">
        <v>0</v>
      </c>
      <c r="G616" s="5">
        <v>0</v>
      </c>
      <c r="H616" s="4">
        <v>0</v>
      </c>
    </row>
    <row r="617" spans="1:8" x14ac:dyDescent="0.2">
      <c r="A617" s="2" t="s">
        <v>84</v>
      </c>
      <c r="B617" s="4">
        <v>20</v>
      </c>
      <c r="C617" s="5">
        <v>16.670000000000002</v>
      </c>
      <c r="D617" s="4">
        <v>13</v>
      </c>
      <c r="E617" s="5">
        <v>17.329999999999998</v>
      </c>
      <c r="F617" s="4">
        <v>7</v>
      </c>
      <c r="G617" s="5">
        <v>16.670000000000002</v>
      </c>
      <c r="H617" s="4">
        <v>0</v>
      </c>
    </row>
    <row r="618" spans="1:8" x14ac:dyDescent="0.2">
      <c r="A618" s="2" t="s">
        <v>85</v>
      </c>
      <c r="B618" s="4">
        <v>1</v>
      </c>
      <c r="C618" s="5">
        <v>0.83</v>
      </c>
      <c r="D618" s="4">
        <v>1</v>
      </c>
      <c r="E618" s="5">
        <v>1.33</v>
      </c>
      <c r="F618" s="4">
        <v>0</v>
      </c>
      <c r="G618" s="5">
        <v>0</v>
      </c>
      <c r="H618" s="4">
        <v>0</v>
      </c>
    </row>
    <row r="619" spans="1:8" x14ac:dyDescent="0.2">
      <c r="A619" s="2" t="s">
        <v>86</v>
      </c>
      <c r="B619" s="4">
        <v>2</v>
      </c>
      <c r="C619" s="5">
        <v>1.67</v>
      </c>
      <c r="D619" s="4">
        <v>0</v>
      </c>
      <c r="E619" s="5">
        <v>0</v>
      </c>
      <c r="F619" s="4">
        <v>2</v>
      </c>
      <c r="G619" s="5">
        <v>4.76</v>
      </c>
      <c r="H619" s="4">
        <v>0</v>
      </c>
    </row>
    <row r="620" spans="1:8" x14ac:dyDescent="0.2">
      <c r="A620" s="2" t="s">
        <v>87</v>
      </c>
      <c r="B620" s="4">
        <v>4</v>
      </c>
      <c r="C620" s="5">
        <v>3.33</v>
      </c>
      <c r="D620" s="4">
        <v>3</v>
      </c>
      <c r="E620" s="5">
        <v>4</v>
      </c>
      <c r="F620" s="4">
        <v>1</v>
      </c>
      <c r="G620" s="5">
        <v>2.38</v>
      </c>
      <c r="H620" s="4">
        <v>0</v>
      </c>
    </row>
    <row r="621" spans="1:8" x14ac:dyDescent="0.2">
      <c r="A621" s="2" t="s">
        <v>88</v>
      </c>
      <c r="B621" s="4">
        <v>13</v>
      </c>
      <c r="C621" s="5">
        <v>10.83</v>
      </c>
      <c r="D621" s="4">
        <v>12</v>
      </c>
      <c r="E621" s="5">
        <v>16</v>
      </c>
      <c r="F621" s="4">
        <v>1</v>
      </c>
      <c r="G621" s="5">
        <v>2.38</v>
      </c>
      <c r="H621" s="4">
        <v>0</v>
      </c>
    </row>
    <row r="622" spans="1:8" x14ac:dyDescent="0.2">
      <c r="A622" s="2" t="s">
        <v>89</v>
      </c>
      <c r="B622" s="4">
        <v>10</v>
      </c>
      <c r="C622" s="5">
        <v>8.33</v>
      </c>
      <c r="D622" s="4">
        <v>10</v>
      </c>
      <c r="E622" s="5">
        <v>13.33</v>
      </c>
      <c r="F622" s="4">
        <v>0</v>
      </c>
      <c r="G622" s="5">
        <v>0</v>
      </c>
      <c r="H622" s="4">
        <v>0</v>
      </c>
    </row>
    <row r="623" spans="1:8" x14ac:dyDescent="0.2">
      <c r="A623" s="2" t="s">
        <v>90</v>
      </c>
      <c r="B623" s="4">
        <v>3</v>
      </c>
      <c r="C623" s="5">
        <v>2.5</v>
      </c>
      <c r="D623" s="4">
        <v>0</v>
      </c>
      <c r="E623" s="5">
        <v>0</v>
      </c>
      <c r="F623" s="4">
        <v>1</v>
      </c>
      <c r="G623" s="5">
        <v>2.38</v>
      </c>
      <c r="H623" s="4">
        <v>0</v>
      </c>
    </row>
    <row r="624" spans="1:8" x14ac:dyDescent="0.2">
      <c r="A624" s="2" t="s">
        <v>91</v>
      </c>
      <c r="B624" s="4">
        <v>7</v>
      </c>
      <c r="C624" s="5">
        <v>5.83</v>
      </c>
      <c r="D624" s="4">
        <v>5</v>
      </c>
      <c r="E624" s="5">
        <v>6.67</v>
      </c>
      <c r="F624" s="4">
        <v>2</v>
      </c>
      <c r="G624" s="5">
        <v>4.76</v>
      </c>
      <c r="H624" s="4">
        <v>0</v>
      </c>
    </row>
    <row r="625" spans="1:8" x14ac:dyDescent="0.2">
      <c r="A625" s="2" t="s">
        <v>92</v>
      </c>
      <c r="B625" s="4">
        <v>5</v>
      </c>
      <c r="C625" s="5">
        <v>4.17</v>
      </c>
      <c r="D625" s="4">
        <v>2</v>
      </c>
      <c r="E625" s="5">
        <v>2.67</v>
      </c>
      <c r="F625" s="4">
        <v>2</v>
      </c>
      <c r="G625" s="5">
        <v>4.76</v>
      </c>
      <c r="H625" s="4">
        <v>0</v>
      </c>
    </row>
    <row r="626" spans="1:8" x14ac:dyDescent="0.2">
      <c r="A626" s="1" t="s">
        <v>39</v>
      </c>
      <c r="B626" s="4">
        <v>260</v>
      </c>
      <c r="C626" s="5">
        <v>100.00999999999999</v>
      </c>
      <c r="D626" s="4">
        <v>171</v>
      </c>
      <c r="E626" s="5">
        <v>99.99</v>
      </c>
      <c r="F626" s="4">
        <v>88</v>
      </c>
      <c r="G626" s="5">
        <v>99.999999999999972</v>
      </c>
      <c r="H626" s="4">
        <v>0</v>
      </c>
    </row>
    <row r="627" spans="1:8" x14ac:dyDescent="0.2">
      <c r="A627" s="2" t="s">
        <v>78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2">
      <c r="A628" s="2" t="s">
        <v>79</v>
      </c>
      <c r="B628" s="4">
        <v>49</v>
      </c>
      <c r="C628" s="5">
        <v>18.850000000000001</v>
      </c>
      <c r="D628" s="4">
        <v>30</v>
      </c>
      <c r="E628" s="5">
        <v>17.54</v>
      </c>
      <c r="F628" s="4">
        <v>19</v>
      </c>
      <c r="G628" s="5">
        <v>21.59</v>
      </c>
      <c r="H628" s="4">
        <v>0</v>
      </c>
    </row>
    <row r="629" spans="1:8" x14ac:dyDescent="0.2">
      <c r="A629" s="2" t="s">
        <v>80</v>
      </c>
      <c r="B629" s="4">
        <v>37</v>
      </c>
      <c r="C629" s="5">
        <v>14.23</v>
      </c>
      <c r="D629" s="4">
        <v>19</v>
      </c>
      <c r="E629" s="5">
        <v>11.11</v>
      </c>
      <c r="F629" s="4">
        <v>18</v>
      </c>
      <c r="G629" s="5">
        <v>20.45</v>
      </c>
      <c r="H629" s="4">
        <v>0</v>
      </c>
    </row>
    <row r="630" spans="1:8" x14ac:dyDescent="0.2">
      <c r="A630" s="2" t="s">
        <v>81</v>
      </c>
      <c r="B630" s="4">
        <v>4</v>
      </c>
      <c r="C630" s="5">
        <v>1.54</v>
      </c>
      <c r="D630" s="4">
        <v>0</v>
      </c>
      <c r="E630" s="5">
        <v>0</v>
      </c>
      <c r="F630" s="4">
        <v>4</v>
      </c>
      <c r="G630" s="5">
        <v>4.55</v>
      </c>
      <c r="H630" s="4">
        <v>0</v>
      </c>
    </row>
    <row r="631" spans="1:8" x14ac:dyDescent="0.2">
      <c r="A631" s="2" t="s">
        <v>82</v>
      </c>
      <c r="B631" s="4">
        <v>0</v>
      </c>
      <c r="C631" s="5">
        <v>0</v>
      </c>
      <c r="D631" s="4">
        <v>0</v>
      </c>
      <c r="E631" s="5">
        <v>0</v>
      </c>
      <c r="F631" s="4">
        <v>0</v>
      </c>
      <c r="G631" s="5">
        <v>0</v>
      </c>
      <c r="H631" s="4">
        <v>0</v>
      </c>
    </row>
    <row r="632" spans="1:8" x14ac:dyDescent="0.2">
      <c r="A632" s="2" t="s">
        <v>83</v>
      </c>
      <c r="B632" s="4">
        <v>0</v>
      </c>
      <c r="C632" s="5">
        <v>0</v>
      </c>
      <c r="D632" s="4">
        <v>0</v>
      </c>
      <c r="E632" s="5">
        <v>0</v>
      </c>
      <c r="F632" s="4">
        <v>0</v>
      </c>
      <c r="G632" s="5">
        <v>0</v>
      </c>
      <c r="H632" s="4">
        <v>0</v>
      </c>
    </row>
    <row r="633" spans="1:8" x14ac:dyDescent="0.2">
      <c r="A633" s="2" t="s">
        <v>84</v>
      </c>
      <c r="B633" s="4">
        <v>57</v>
      </c>
      <c r="C633" s="5">
        <v>21.92</v>
      </c>
      <c r="D633" s="4">
        <v>36</v>
      </c>
      <c r="E633" s="5">
        <v>21.05</v>
      </c>
      <c r="F633" s="4">
        <v>21</v>
      </c>
      <c r="G633" s="5">
        <v>23.86</v>
      </c>
      <c r="H633" s="4">
        <v>0</v>
      </c>
    </row>
    <row r="634" spans="1:8" x14ac:dyDescent="0.2">
      <c r="A634" s="2" t="s">
        <v>85</v>
      </c>
      <c r="B634" s="4">
        <v>0</v>
      </c>
      <c r="C634" s="5">
        <v>0</v>
      </c>
      <c r="D634" s="4">
        <v>0</v>
      </c>
      <c r="E634" s="5">
        <v>0</v>
      </c>
      <c r="F634" s="4">
        <v>0</v>
      </c>
      <c r="G634" s="5">
        <v>0</v>
      </c>
      <c r="H634" s="4">
        <v>0</v>
      </c>
    </row>
    <row r="635" spans="1:8" x14ac:dyDescent="0.2">
      <c r="A635" s="2" t="s">
        <v>86</v>
      </c>
      <c r="B635" s="4">
        <v>7</v>
      </c>
      <c r="C635" s="5">
        <v>2.69</v>
      </c>
      <c r="D635" s="4">
        <v>3</v>
      </c>
      <c r="E635" s="5">
        <v>1.75</v>
      </c>
      <c r="F635" s="4">
        <v>4</v>
      </c>
      <c r="G635" s="5">
        <v>4.55</v>
      </c>
      <c r="H635" s="4">
        <v>0</v>
      </c>
    </row>
    <row r="636" spans="1:8" x14ac:dyDescent="0.2">
      <c r="A636" s="2" t="s">
        <v>87</v>
      </c>
      <c r="B636" s="4">
        <v>17</v>
      </c>
      <c r="C636" s="5">
        <v>6.54</v>
      </c>
      <c r="D636" s="4">
        <v>14</v>
      </c>
      <c r="E636" s="5">
        <v>8.19</v>
      </c>
      <c r="F636" s="4">
        <v>3</v>
      </c>
      <c r="G636" s="5">
        <v>3.41</v>
      </c>
      <c r="H636" s="4">
        <v>0</v>
      </c>
    </row>
    <row r="637" spans="1:8" x14ac:dyDescent="0.2">
      <c r="A637" s="2" t="s">
        <v>88</v>
      </c>
      <c r="B637" s="4">
        <v>24</v>
      </c>
      <c r="C637" s="5">
        <v>9.23</v>
      </c>
      <c r="D637" s="4">
        <v>16</v>
      </c>
      <c r="E637" s="5">
        <v>9.36</v>
      </c>
      <c r="F637" s="4">
        <v>8</v>
      </c>
      <c r="G637" s="5">
        <v>9.09</v>
      </c>
      <c r="H637" s="4">
        <v>0</v>
      </c>
    </row>
    <row r="638" spans="1:8" x14ac:dyDescent="0.2">
      <c r="A638" s="2" t="s">
        <v>89</v>
      </c>
      <c r="B638" s="4">
        <v>38</v>
      </c>
      <c r="C638" s="5">
        <v>14.62</v>
      </c>
      <c r="D638" s="4">
        <v>34</v>
      </c>
      <c r="E638" s="5">
        <v>19.88</v>
      </c>
      <c r="F638" s="4">
        <v>4</v>
      </c>
      <c r="G638" s="5">
        <v>4.55</v>
      </c>
      <c r="H638" s="4">
        <v>0</v>
      </c>
    </row>
    <row r="639" spans="1:8" x14ac:dyDescent="0.2">
      <c r="A639" s="2" t="s">
        <v>90</v>
      </c>
      <c r="B639" s="4">
        <v>10</v>
      </c>
      <c r="C639" s="5">
        <v>3.85</v>
      </c>
      <c r="D639" s="4">
        <v>7</v>
      </c>
      <c r="E639" s="5">
        <v>4.09</v>
      </c>
      <c r="F639" s="4">
        <v>2</v>
      </c>
      <c r="G639" s="5">
        <v>2.27</v>
      </c>
      <c r="H639" s="4">
        <v>0</v>
      </c>
    </row>
    <row r="640" spans="1:8" x14ac:dyDescent="0.2">
      <c r="A640" s="2" t="s">
        <v>91</v>
      </c>
      <c r="B640" s="4">
        <v>10</v>
      </c>
      <c r="C640" s="5">
        <v>3.85</v>
      </c>
      <c r="D640" s="4">
        <v>10</v>
      </c>
      <c r="E640" s="5">
        <v>5.85</v>
      </c>
      <c r="F640" s="4">
        <v>0</v>
      </c>
      <c r="G640" s="5">
        <v>0</v>
      </c>
      <c r="H640" s="4">
        <v>0</v>
      </c>
    </row>
    <row r="641" spans="1:8" x14ac:dyDescent="0.2">
      <c r="A641" s="2" t="s">
        <v>92</v>
      </c>
      <c r="B641" s="4">
        <v>7</v>
      </c>
      <c r="C641" s="5">
        <v>2.69</v>
      </c>
      <c r="D641" s="4">
        <v>2</v>
      </c>
      <c r="E641" s="5">
        <v>1.17</v>
      </c>
      <c r="F641" s="4">
        <v>5</v>
      </c>
      <c r="G641" s="5">
        <v>5.68</v>
      </c>
      <c r="H641" s="4">
        <v>0</v>
      </c>
    </row>
    <row r="642" spans="1:8" x14ac:dyDescent="0.2">
      <c r="A642" s="1" t="s">
        <v>40</v>
      </c>
      <c r="B642" s="4">
        <v>376</v>
      </c>
      <c r="C642" s="5">
        <v>99.990000000000009</v>
      </c>
      <c r="D642" s="4">
        <v>221</v>
      </c>
      <c r="E642" s="5">
        <v>99.98</v>
      </c>
      <c r="F642" s="4">
        <v>153</v>
      </c>
      <c r="G642" s="5">
        <v>100.02</v>
      </c>
      <c r="H642" s="4">
        <v>0</v>
      </c>
    </row>
    <row r="643" spans="1:8" x14ac:dyDescent="0.2">
      <c r="A643" s="2" t="s">
        <v>78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2">
      <c r="A644" s="2" t="s">
        <v>79</v>
      </c>
      <c r="B644" s="4">
        <v>73</v>
      </c>
      <c r="C644" s="5">
        <v>19.41</v>
      </c>
      <c r="D644" s="4">
        <v>34</v>
      </c>
      <c r="E644" s="5">
        <v>15.38</v>
      </c>
      <c r="F644" s="4">
        <v>39</v>
      </c>
      <c r="G644" s="5">
        <v>25.49</v>
      </c>
      <c r="H644" s="4">
        <v>0</v>
      </c>
    </row>
    <row r="645" spans="1:8" x14ac:dyDescent="0.2">
      <c r="A645" s="2" t="s">
        <v>80</v>
      </c>
      <c r="B645" s="4">
        <v>44</v>
      </c>
      <c r="C645" s="5">
        <v>11.7</v>
      </c>
      <c r="D645" s="4">
        <v>17</v>
      </c>
      <c r="E645" s="5">
        <v>7.69</v>
      </c>
      <c r="F645" s="4">
        <v>27</v>
      </c>
      <c r="G645" s="5">
        <v>17.649999999999999</v>
      </c>
      <c r="H645" s="4">
        <v>0</v>
      </c>
    </row>
    <row r="646" spans="1:8" x14ac:dyDescent="0.2">
      <c r="A646" s="2" t="s">
        <v>81</v>
      </c>
      <c r="B646" s="4">
        <v>7</v>
      </c>
      <c r="C646" s="5">
        <v>1.86</v>
      </c>
      <c r="D646" s="4">
        <v>0</v>
      </c>
      <c r="E646" s="5">
        <v>0</v>
      </c>
      <c r="F646" s="4">
        <v>7</v>
      </c>
      <c r="G646" s="5">
        <v>4.58</v>
      </c>
      <c r="H646" s="4">
        <v>0</v>
      </c>
    </row>
    <row r="647" spans="1:8" x14ac:dyDescent="0.2">
      <c r="A647" s="2" t="s">
        <v>82</v>
      </c>
      <c r="B647" s="4">
        <v>1</v>
      </c>
      <c r="C647" s="5">
        <v>0.27</v>
      </c>
      <c r="D647" s="4">
        <v>1</v>
      </c>
      <c r="E647" s="5">
        <v>0.45</v>
      </c>
      <c r="F647" s="4">
        <v>0</v>
      </c>
      <c r="G647" s="5">
        <v>0</v>
      </c>
      <c r="H647" s="4">
        <v>0</v>
      </c>
    </row>
    <row r="648" spans="1:8" x14ac:dyDescent="0.2">
      <c r="A648" s="2" t="s">
        <v>83</v>
      </c>
      <c r="B648" s="4">
        <v>2</v>
      </c>
      <c r="C648" s="5">
        <v>0.53</v>
      </c>
      <c r="D648" s="4">
        <v>0</v>
      </c>
      <c r="E648" s="5">
        <v>0</v>
      </c>
      <c r="F648" s="4">
        <v>2</v>
      </c>
      <c r="G648" s="5">
        <v>1.31</v>
      </c>
      <c r="H648" s="4">
        <v>0</v>
      </c>
    </row>
    <row r="649" spans="1:8" x14ac:dyDescent="0.2">
      <c r="A649" s="2" t="s">
        <v>84</v>
      </c>
      <c r="B649" s="4">
        <v>78</v>
      </c>
      <c r="C649" s="5">
        <v>20.74</v>
      </c>
      <c r="D649" s="4">
        <v>32</v>
      </c>
      <c r="E649" s="5">
        <v>14.48</v>
      </c>
      <c r="F649" s="4">
        <v>46</v>
      </c>
      <c r="G649" s="5">
        <v>30.07</v>
      </c>
      <c r="H649" s="4">
        <v>0</v>
      </c>
    </row>
    <row r="650" spans="1:8" x14ac:dyDescent="0.2">
      <c r="A650" s="2" t="s">
        <v>85</v>
      </c>
      <c r="B650" s="4">
        <v>0</v>
      </c>
      <c r="C650" s="5">
        <v>0</v>
      </c>
      <c r="D650" s="4">
        <v>0</v>
      </c>
      <c r="E650" s="5">
        <v>0</v>
      </c>
      <c r="F650" s="4">
        <v>0</v>
      </c>
      <c r="G650" s="5">
        <v>0</v>
      </c>
      <c r="H650" s="4">
        <v>0</v>
      </c>
    </row>
    <row r="651" spans="1:8" x14ac:dyDescent="0.2">
      <c r="A651" s="2" t="s">
        <v>86</v>
      </c>
      <c r="B651" s="4">
        <v>20</v>
      </c>
      <c r="C651" s="5">
        <v>5.32</v>
      </c>
      <c r="D651" s="4">
        <v>8</v>
      </c>
      <c r="E651" s="5">
        <v>3.62</v>
      </c>
      <c r="F651" s="4">
        <v>12</v>
      </c>
      <c r="G651" s="5">
        <v>7.84</v>
      </c>
      <c r="H651" s="4">
        <v>0</v>
      </c>
    </row>
    <row r="652" spans="1:8" x14ac:dyDescent="0.2">
      <c r="A652" s="2" t="s">
        <v>87</v>
      </c>
      <c r="B652" s="4">
        <v>15</v>
      </c>
      <c r="C652" s="5">
        <v>3.99</v>
      </c>
      <c r="D652" s="4">
        <v>13</v>
      </c>
      <c r="E652" s="5">
        <v>5.88</v>
      </c>
      <c r="F652" s="4">
        <v>2</v>
      </c>
      <c r="G652" s="5">
        <v>1.31</v>
      </c>
      <c r="H652" s="4">
        <v>0</v>
      </c>
    </row>
    <row r="653" spans="1:8" x14ac:dyDescent="0.2">
      <c r="A653" s="2" t="s">
        <v>88</v>
      </c>
      <c r="B653" s="4">
        <v>46</v>
      </c>
      <c r="C653" s="5">
        <v>12.23</v>
      </c>
      <c r="D653" s="4">
        <v>41</v>
      </c>
      <c r="E653" s="5">
        <v>18.55</v>
      </c>
      <c r="F653" s="4">
        <v>5</v>
      </c>
      <c r="G653" s="5">
        <v>3.27</v>
      </c>
      <c r="H653" s="4">
        <v>0</v>
      </c>
    </row>
    <row r="654" spans="1:8" x14ac:dyDescent="0.2">
      <c r="A654" s="2" t="s">
        <v>89</v>
      </c>
      <c r="B654" s="4">
        <v>45</v>
      </c>
      <c r="C654" s="5">
        <v>11.97</v>
      </c>
      <c r="D654" s="4">
        <v>42</v>
      </c>
      <c r="E654" s="5">
        <v>19</v>
      </c>
      <c r="F654" s="4">
        <v>2</v>
      </c>
      <c r="G654" s="5">
        <v>1.31</v>
      </c>
      <c r="H654" s="4">
        <v>0</v>
      </c>
    </row>
    <row r="655" spans="1:8" x14ac:dyDescent="0.2">
      <c r="A655" s="2" t="s">
        <v>90</v>
      </c>
      <c r="B655" s="4">
        <v>10</v>
      </c>
      <c r="C655" s="5">
        <v>2.66</v>
      </c>
      <c r="D655" s="4">
        <v>10</v>
      </c>
      <c r="E655" s="5">
        <v>4.5199999999999996</v>
      </c>
      <c r="F655" s="4">
        <v>0</v>
      </c>
      <c r="G655" s="5">
        <v>0</v>
      </c>
      <c r="H655" s="4">
        <v>0</v>
      </c>
    </row>
    <row r="656" spans="1:8" x14ac:dyDescent="0.2">
      <c r="A656" s="2" t="s">
        <v>91</v>
      </c>
      <c r="B656" s="4">
        <v>21</v>
      </c>
      <c r="C656" s="5">
        <v>5.59</v>
      </c>
      <c r="D656" s="4">
        <v>15</v>
      </c>
      <c r="E656" s="5">
        <v>6.79</v>
      </c>
      <c r="F656" s="4">
        <v>5</v>
      </c>
      <c r="G656" s="5">
        <v>3.27</v>
      </c>
      <c r="H656" s="4">
        <v>0</v>
      </c>
    </row>
    <row r="657" spans="1:8" x14ac:dyDescent="0.2">
      <c r="A657" s="2" t="s">
        <v>92</v>
      </c>
      <c r="B657" s="4">
        <v>14</v>
      </c>
      <c r="C657" s="5">
        <v>3.72</v>
      </c>
      <c r="D657" s="4">
        <v>8</v>
      </c>
      <c r="E657" s="5">
        <v>3.62</v>
      </c>
      <c r="F657" s="4">
        <v>6</v>
      </c>
      <c r="G657" s="5">
        <v>3.92</v>
      </c>
      <c r="H657" s="4">
        <v>0</v>
      </c>
    </row>
    <row r="658" spans="1:8" x14ac:dyDescent="0.2">
      <c r="A658" s="1" t="s">
        <v>41</v>
      </c>
      <c r="B658" s="4">
        <v>316</v>
      </c>
      <c r="C658" s="5">
        <v>100</v>
      </c>
      <c r="D658" s="4">
        <v>150</v>
      </c>
      <c r="E658" s="5">
        <v>100</v>
      </c>
      <c r="F658" s="4">
        <v>157</v>
      </c>
      <c r="G658" s="5">
        <v>99.999999999999972</v>
      </c>
      <c r="H658" s="4">
        <v>1</v>
      </c>
    </row>
    <row r="659" spans="1:8" x14ac:dyDescent="0.2">
      <c r="A659" s="2" t="s">
        <v>78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2">
      <c r="A660" s="2" t="s">
        <v>79</v>
      </c>
      <c r="B660" s="4">
        <v>53</v>
      </c>
      <c r="C660" s="5">
        <v>16.77</v>
      </c>
      <c r="D660" s="4">
        <v>20</v>
      </c>
      <c r="E660" s="5">
        <v>13.33</v>
      </c>
      <c r="F660" s="4">
        <v>33</v>
      </c>
      <c r="G660" s="5">
        <v>21.02</v>
      </c>
      <c r="H660" s="4">
        <v>0</v>
      </c>
    </row>
    <row r="661" spans="1:8" x14ac:dyDescent="0.2">
      <c r="A661" s="2" t="s">
        <v>80</v>
      </c>
      <c r="B661" s="4">
        <v>43</v>
      </c>
      <c r="C661" s="5">
        <v>13.61</v>
      </c>
      <c r="D661" s="4">
        <v>16</v>
      </c>
      <c r="E661" s="5">
        <v>10.67</v>
      </c>
      <c r="F661" s="4">
        <v>27</v>
      </c>
      <c r="G661" s="5">
        <v>17.2</v>
      </c>
      <c r="H661" s="4">
        <v>0</v>
      </c>
    </row>
    <row r="662" spans="1:8" x14ac:dyDescent="0.2">
      <c r="A662" s="2" t="s">
        <v>81</v>
      </c>
      <c r="B662" s="4">
        <v>3</v>
      </c>
      <c r="C662" s="5">
        <v>0.95</v>
      </c>
      <c r="D662" s="4">
        <v>0</v>
      </c>
      <c r="E662" s="5">
        <v>0</v>
      </c>
      <c r="F662" s="4">
        <v>3</v>
      </c>
      <c r="G662" s="5">
        <v>1.91</v>
      </c>
      <c r="H662" s="4">
        <v>0</v>
      </c>
    </row>
    <row r="663" spans="1:8" x14ac:dyDescent="0.2">
      <c r="A663" s="2" t="s">
        <v>82</v>
      </c>
      <c r="B663" s="4">
        <v>3</v>
      </c>
      <c r="C663" s="5">
        <v>0.95</v>
      </c>
      <c r="D663" s="4">
        <v>1</v>
      </c>
      <c r="E663" s="5">
        <v>0.67</v>
      </c>
      <c r="F663" s="4">
        <v>2</v>
      </c>
      <c r="G663" s="5">
        <v>1.27</v>
      </c>
      <c r="H663" s="4">
        <v>0</v>
      </c>
    </row>
    <row r="664" spans="1:8" x14ac:dyDescent="0.2">
      <c r="A664" s="2" t="s">
        <v>83</v>
      </c>
      <c r="B664" s="4">
        <v>5</v>
      </c>
      <c r="C664" s="5">
        <v>1.58</v>
      </c>
      <c r="D664" s="4">
        <v>2</v>
      </c>
      <c r="E664" s="5">
        <v>1.33</v>
      </c>
      <c r="F664" s="4">
        <v>3</v>
      </c>
      <c r="G664" s="5">
        <v>1.91</v>
      </c>
      <c r="H664" s="4">
        <v>0</v>
      </c>
    </row>
    <row r="665" spans="1:8" x14ac:dyDescent="0.2">
      <c r="A665" s="2" t="s">
        <v>84</v>
      </c>
      <c r="B665" s="4">
        <v>57</v>
      </c>
      <c r="C665" s="5">
        <v>18.04</v>
      </c>
      <c r="D665" s="4">
        <v>20</v>
      </c>
      <c r="E665" s="5">
        <v>13.33</v>
      </c>
      <c r="F665" s="4">
        <v>37</v>
      </c>
      <c r="G665" s="5">
        <v>23.57</v>
      </c>
      <c r="H665" s="4">
        <v>0</v>
      </c>
    </row>
    <row r="666" spans="1:8" x14ac:dyDescent="0.2">
      <c r="A666" s="2" t="s">
        <v>85</v>
      </c>
      <c r="B666" s="4">
        <v>4</v>
      </c>
      <c r="C666" s="5">
        <v>1.27</v>
      </c>
      <c r="D666" s="4">
        <v>1</v>
      </c>
      <c r="E666" s="5">
        <v>0.67</v>
      </c>
      <c r="F666" s="4">
        <v>3</v>
      </c>
      <c r="G666" s="5">
        <v>1.91</v>
      </c>
      <c r="H666" s="4">
        <v>0</v>
      </c>
    </row>
    <row r="667" spans="1:8" x14ac:dyDescent="0.2">
      <c r="A667" s="2" t="s">
        <v>86</v>
      </c>
      <c r="B667" s="4">
        <v>10</v>
      </c>
      <c r="C667" s="5">
        <v>3.16</v>
      </c>
      <c r="D667" s="4">
        <v>1</v>
      </c>
      <c r="E667" s="5">
        <v>0.67</v>
      </c>
      <c r="F667" s="4">
        <v>9</v>
      </c>
      <c r="G667" s="5">
        <v>5.73</v>
      </c>
      <c r="H667" s="4">
        <v>0</v>
      </c>
    </row>
    <row r="668" spans="1:8" x14ac:dyDescent="0.2">
      <c r="A668" s="2" t="s">
        <v>87</v>
      </c>
      <c r="B668" s="4">
        <v>21</v>
      </c>
      <c r="C668" s="5">
        <v>6.65</v>
      </c>
      <c r="D668" s="4">
        <v>14</v>
      </c>
      <c r="E668" s="5">
        <v>9.33</v>
      </c>
      <c r="F668" s="4">
        <v>6</v>
      </c>
      <c r="G668" s="5">
        <v>3.82</v>
      </c>
      <c r="H668" s="4">
        <v>0</v>
      </c>
    </row>
    <row r="669" spans="1:8" x14ac:dyDescent="0.2">
      <c r="A669" s="2" t="s">
        <v>88</v>
      </c>
      <c r="B669" s="4">
        <v>42</v>
      </c>
      <c r="C669" s="5">
        <v>13.29</v>
      </c>
      <c r="D669" s="4">
        <v>28</v>
      </c>
      <c r="E669" s="5">
        <v>18.670000000000002</v>
      </c>
      <c r="F669" s="4">
        <v>13</v>
      </c>
      <c r="G669" s="5">
        <v>8.2799999999999994</v>
      </c>
      <c r="H669" s="4">
        <v>0</v>
      </c>
    </row>
    <row r="670" spans="1:8" x14ac:dyDescent="0.2">
      <c r="A670" s="2" t="s">
        <v>89</v>
      </c>
      <c r="B670" s="4">
        <v>40</v>
      </c>
      <c r="C670" s="5">
        <v>12.66</v>
      </c>
      <c r="D670" s="4">
        <v>32</v>
      </c>
      <c r="E670" s="5">
        <v>21.33</v>
      </c>
      <c r="F670" s="4">
        <v>8</v>
      </c>
      <c r="G670" s="5">
        <v>5.0999999999999996</v>
      </c>
      <c r="H670" s="4">
        <v>0</v>
      </c>
    </row>
    <row r="671" spans="1:8" x14ac:dyDescent="0.2">
      <c r="A671" s="2" t="s">
        <v>90</v>
      </c>
      <c r="B671" s="4">
        <v>11</v>
      </c>
      <c r="C671" s="5">
        <v>3.48</v>
      </c>
      <c r="D671" s="4">
        <v>4</v>
      </c>
      <c r="E671" s="5">
        <v>2.67</v>
      </c>
      <c r="F671" s="4">
        <v>4</v>
      </c>
      <c r="G671" s="5">
        <v>2.5499999999999998</v>
      </c>
      <c r="H671" s="4">
        <v>0</v>
      </c>
    </row>
    <row r="672" spans="1:8" x14ac:dyDescent="0.2">
      <c r="A672" s="2" t="s">
        <v>91</v>
      </c>
      <c r="B672" s="4">
        <v>13</v>
      </c>
      <c r="C672" s="5">
        <v>4.1100000000000003</v>
      </c>
      <c r="D672" s="4">
        <v>8</v>
      </c>
      <c r="E672" s="5">
        <v>5.33</v>
      </c>
      <c r="F672" s="4">
        <v>2</v>
      </c>
      <c r="G672" s="5">
        <v>1.27</v>
      </c>
      <c r="H672" s="4">
        <v>0</v>
      </c>
    </row>
    <row r="673" spans="1:8" x14ac:dyDescent="0.2">
      <c r="A673" s="2" t="s">
        <v>92</v>
      </c>
      <c r="B673" s="4">
        <v>11</v>
      </c>
      <c r="C673" s="5">
        <v>3.48</v>
      </c>
      <c r="D673" s="4">
        <v>3</v>
      </c>
      <c r="E673" s="5">
        <v>2</v>
      </c>
      <c r="F673" s="4">
        <v>7</v>
      </c>
      <c r="G673" s="5">
        <v>4.46</v>
      </c>
      <c r="H673" s="4">
        <v>1</v>
      </c>
    </row>
    <row r="674" spans="1:8" x14ac:dyDescent="0.2">
      <c r="A674" s="1" t="s">
        <v>42</v>
      </c>
      <c r="B674" s="4">
        <v>148</v>
      </c>
      <c r="C674" s="5">
        <v>100</v>
      </c>
      <c r="D674" s="4">
        <v>98</v>
      </c>
      <c r="E674" s="5">
        <v>99.97999999999999</v>
      </c>
      <c r="F674" s="4">
        <v>46</v>
      </c>
      <c r="G674" s="5">
        <v>99.99</v>
      </c>
      <c r="H674" s="4">
        <v>1</v>
      </c>
    </row>
    <row r="675" spans="1:8" x14ac:dyDescent="0.2">
      <c r="A675" s="2" t="s">
        <v>78</v>
      </c>
      <c r="B675" s="4">
        <v>2</v>
      </c>
      <c r="C675" s="5">
        <v>1.35</v>
      </c>
      <c r="D675" s="4">
        <v>0</v>
      </c>
      <c r="E675" s="5">
        <v>0</v>
      </c>
      <c r="F675" s="4">
        <v>2</v>
      </c>
      <c r="G675" s="5">
        <v>4.3499999999999996</v>
      </c>
      <c r="H675" s="4">
        <v>0</v>
      </c>
    </row>
    <row r="676" spans="1:8" x14ac:dyDescent="0.2">
      <c r="A676" s="2" t="s">
        <v>79</v>
      </c>
      <c r="B676" s="4">
        <v>50</v>
      </c>
      <c r="C676" s="5">
        <v>33.78</v>
      </c>
      <c r="D676" s="4">
        <v>29</v>
      </c>
      <c r="E676" s="5">
        <v>29.59</v>
      </c>
      <c r="F676" s="4">
        <v>21</v>
      </c>
      <c r="G676" s="5">
        <v>45.65</v>
      </c>
      <c r="H676" s="4">
        <v>0</v>
      </c>
    </row>
    <row r="677" spans="1:8" x14ac:dyDescent="0.2">
      <c r="A677" s="2" t="s">
        <v>80</v>
      </c>
      <c r="B677" s="4">
        <v>7</v>
      </c>
      <c r="C677" s="5">
        <v>4.7300000000000004</v>
      </c>
      <c r="D677" s="4">
        <v>5</v>
      </c>
      <c r="E677" s="5">
        <v>5.0999999999999996</v>
      </c>
      <c r="F677" s="4">
        <v>2</v>
      </c>
      <c r="G677" s="5">
        <v>4.3499999999999996</v>
      </c>
      <c r="H677" s="4">
        <v>0</v>
      </c>
    </row>
    <row r="678" spans="1:8" x14ac:dyDescent="0.2">
      <c r="A678" s="2" t="s">
        <v>81</v>
      </c>
      <c r="B678" s="4">
        <v>1</v>
      </c>
      <c r="C678" s="5">
        <v>0.68</v>
      </c>
      <c r="D678" s="4">
        <v>0</v>
      </c>
      <c r="E678" s="5">
        <v>0</v>
      </c>
      <c r="F678" s="4">
        <v>0</v>
      </c>
      <c r="G678" s="5">
        <v>0</v>
      </c>
      <c r="H678" s="4">
        <v>0</v>
      </c>
    </row>
    <row r="679" spans="1:8" x14ac:dyDescent="0.2">
      <c r="A679" s="2" t="s">
        <v>82</v>
      </c>
      <c r="B679" s="4">
        <v>0</v>
      </c>
      <c r="C679" s="5">
        <v>0</v>
      </c>
      <c r="D679" s="4">
        <v>0</v>
      </c>
      <c r="E679" s="5">
        <v>0</v>
      </c>
      <c r="F679" s="4">
        <v>0</v>
      </c>
      <c r="G679" s="5">
        <v>0</v>
      </c>
      <c r="H679" s="4">
        <v>0</v>
      </c>
    </row>
    <row r="680" spans="1:8" x14ac:dyDescent="0.2">
      <c r="A680" s="2" t="s">
        <v>83</v>
      </c>
      <c r="B680" s="4">
        <v>0</v>
      </c>
      <c r="C680" s="5">
        <v>0</v>
      </c>
      <c r="D680" s="4">
        <v>0</v>
      </c>
      <c r="E680" s="5">
        <v>0</v>
      </c>
      <c r="F680" s="4">
        <v>0</v>
      </c>
      <c r="G680" s="5">
        <v>0</v>
      </c>
      <c r="H680" s="4">
        <v>0</v>
      </c>
    </row>
    <row r="681" spans="1:8" x14ac:dyDescent="0.2">
      <c r="A681" s="2" t="s">
        <v>84</v>
      </c>
      <c r="B681" s="4">
        <v>38</v>
      </c>
      <c r="C681" s="5">
        <v>25.68</v>
      </c>
      <c r="D681" s="4">
        <v>26</v>
      </c>
      <c r="E681" s="5">
        <v>26.53</v>
      </c>
      <c r="F681" s="4">
        <v>12</v>
      </c>
      <c r="G681" s="5">
        <v>26.09</v>
      </c>
      <c r="H681" s="4">
        <v>0</v>
      </c>
    </row>
    <row r="682" spans="1:8" x14ac:dyDescent="0.2">
      <c r="A682" s="2" t="s">
        <v>85</v>
      </c>
      <c r="B682" s="4">
        <v>0</v>
      </c>
      <c r="C682" s="5">
        <v>0</v>
      </c>
      <c r="D682" s="4">
        <v>0</v>
      </c>
      <c r="E682" s="5">
        <v>0</v>
      </c>
      <c r="F682" s="4">
        <v>0</v>
      </c>
      <c r="G682" s="5">
        <v>0</v>
      </c>
      <c r="H682" s="4">
        <v>0</v>
      </c>
    </row>
    <row r="683" spans="1:8" x14ac:dyDescent="0.2">
      <c r="A683" s="2" t="s">
        <v>86</v>
      </c>
      <c r="B683" s="4">
        <v>1</v>
      </c>
      <c r="C683" s="5">
        <v>0.68</v>
      </c>
      <c r="D683" s="4">
        <v>0</v>
      </c>
      <c r="E683" s="5">
        <v>0</v>
      </c>
      <c r="F683" s="4">
        <v>1</v>
      </c>
      <c r="G683" s="5">
        <v>2.17</v>
      </c>
      <c r="H683" s="4">
        <v>0</v>
      </c>
    </row>
    <row r="684" spans="1:8" x14ac:dyDescent="0.2">
      <c r="A684" s="2" t="s">
        <v>87</v>
      </c>
      <c r="B684" s="4">
        <v>6</v>
      </c>
      <c r="C684" s="5">
        <v>4.05</v>
      </c>
      <c r="D684" s="4">
        <v>4</v>
      </c>
      <c r="E684" s="5">
        <v>4.08</v>
      </c>
      <c r="F684" s="4">
        <v>1</v>
      </c>
      <c r="G684" s="5">
        <v>2.17</v>
      </c>
      <c r="H684" s="4">
        <v>0</v>
      </c>
    </row>
    <row r="685" spans="1:8" x14ac:dyDescent="0.2">
      <c r="A685" s="2" t="s">
        <v>88</v>
      </c>
      <c r="B685" s="4">
        <v>15</v>
      </c>
      <c r="C685" s="5">
        <v>10.14</v>
      </c>
      <c r="D685" s="4">
        <v>12</v>
      </c>
      <c r="E685" s="5">
        <v>12.24</v>
      </c>
      <c r="F685" s="4">
        <v>2</v>
      </c>
      <c r="G685" s="5">
        <v>4.3499999999999996</v>
      </c>
      <c r="H685" s="4">
        <v>1</v>
      </c>
    </row>
    <row r="686" spans="1:8" x14ac:dyDescent="0.2">
      <c r="A686" s="2" t="s">
        <v>89</v>
      </c>
      <c r="B686" s="4">
        <v>13</v>
      </c>
      <c r="C686" s="5">
        <v>8.7799999999999994</v>
      </c>
      <c r="D686" s="4">
        <v>11</v>
      </c>
      <c r="E686" s="5">
        <v>11.22</v>
      </c>
      <c r="F686" s="4">
        <v>1</v>
      </c>
      <c r="G686" s="5">
        <v>2.17</v>
      </c>
      <c r="H686" s="4">
        <v>0</v>
      </c>
    </row>
    <row r="687" spans="1:8" x14ac:dyDescent="0.2">
      <c r="A687" s="2" t="s">
        <v>90</v>
      </c>
      <c r="B687" s="4">
        <v>3</v>
      </c>
      <c r="C687" s="5">
        <v>2.0299999999999998</v>
      </c>
      <c r="D687" s="4">
        <v>3</v>
      </c>
      <c r="E687" s="5">
        <v>3.06</v>
      </c>
      <c r="F687" s="4">
        <v>0</v>
      </c>
      <c r="G687" s="5">
        <v>0</v>
      </c>
      <c r="H687" s="4">
        <v>0</v>
      </c>
    </row>
    <row r="688" spans="1:8" x14ac:dyDescent="0.2">
      <c r="A688" s="2" t="s">
        <v>91</v>
      </c>
      <c r="B688" s="4">
        <v>6</v>
      </c>
      <c r="C688" s="5">
        <v>4.05</v>
      </c>
      <c r="D688" s="4">
        <v>3</v>
      </c>
      <c r="E688" s="5">
        <v>3.06</v>
      </c>
      <c r="F688" s="4">
        <v>3</v>
      </c>
      <c r="G688" s="5">
        <v>6.52</v>
      </c>
      <c r="H688" s="4">
        <v>0</v>
      </c>
    </row>
    <row r="689" spans="1:8" x14ac:dyDescent="0.2">
      <c r="A689" s="2" t="s">
        <v>92</v>
      </c>
      <c r="B689" s="4">
        <v>6</v>
      </c>
      <c r="C689" s="5">
        <v>4.05</v>
      </c>
      <c r="D689" s="4">
        <v>5</v>
      </c>
      <c r="E689" s="5">
        <v>5.0999999999999996</v>
      </c>
      <c r="F689" s="4">
        <v>1</v>
      </c>
      <c r="G689" s="5">
        <v>2.17</v>
      </c>
      <c r="H689" s="4">
        <v>0</v>
      </c>
    </row>
    <row r="690" spans="1:8" x14ac:dyDescent="0.2">
      <c r="A690" s="1" t="s">
        <v>43</v>
      </c>
      <c r="B690" s="4">
        <v>270</v>
      </c>
      <c r="C690" s="5">
        <v>99.97999999999999</v>
      </c>
      <c r="D690" s="4">
        <v>170</v>
      </c>
      <c r="E690" s="5">
        <v>99.999999999999986</v>
      </c>
      <c r="F690" s="4">
        <v>95</v>
      </c>
      <c r="G690" s="5">
        <v>100.01999999999998</v>
      </c>
      <c r="H690" s="4">
        <v>0</v>
      </c>
    </row>
    <row r="691" spans="1:8" x14ac:dyDescent="0.2">
      <c r="A691" s="2" t="s">
        <v>78</v>
      </c>
      <c r="B691" s="4">
        <v>0</v>
      </c>
      <c r="C691" s="5">
        <v>0</v>
      </c>
      <c r="D691" s="4">
        <v>0</v>
      </c>
      <c r="E691" s="5">
        <v>0</v>
      </c>
      <c r="F691" s="4">
        <v>0</v>
      </c>
      <c r="G691" s="5">
        <v>0</v>
      </c>
      <c r="H691" s="4">
        <v>0</v>
      </c>
    </row>
    <row r="692" spans="1:8" x14ac:dyDescent="0.2">
      <c r="A692" s="2" t="s">
        <v>79</v>
      </c>
      <c r="B692" s="4">
        <v>53</v>
      </c>
      <c r="C692" s="5">
        <v>19.63</v>
      </c>
      <c r="D692" s="4">
        <v>31</v>
      </c>
      <c r="E692" s="5">
        <v>18.239999999999998</v>
      </c>
      <c r="F692" s="4">
        <v>22</v>
      </c>
      <c r="G692" s="5">
        <v>23.16</v>
      </c>
      <c r="H692" s="4">
        <v>0</v>
      </c>
    </row>
    <row r="693" spans="1:8" x14ac:dyDescent="0.2">
      <c r="A693" s="2" t="s">
        <v>80</v>
      </c>
      <c r="B693" s="4">
        <v>36</v>
      </c>
      <c r="C693" s="5">
        <v>13.33</v>
      </c>
      <c r="D693" s="4">
        <v>16</v>
      </c>
      <c r="E693" s="5">
        <v>9.41</v>
      </c>
      <c r="F693" s="4">
        <v>20</v>
      </c>
      <c r="G693" s="5">
        <v>21.05</v>
      </c>
      <c r="H693" s="4">
        <v>0</v>
      </c>
    </row>
    <row r="694" spans="1:8" x14ac:dyDescent="0.2">
      <c r="A694" s="2" t="s">
        <v>81</v>
      </c>
      <c r="B694" s="4">
        <v>1</v>
      </c>
      <c r="C694" s="5">
        <v>0.37</v>
      </c>
      <c r="D694" s="4">
        <v>0</v>
      </c>
      <c r="E694" s="5">
        <v>0</v>
      </c>
      <c r="F694" s="4">
        <v>0</v>
      </c>
      <c r="G694" s="5">
        <v>0</v>
      </c>
      <c r="H694" s="4">
        <v>0</v>
      </c>
    </row>
    <row r="695" spans="1:8" x14ac:dyDescent="0.2">
      <c r="A695" s="2" t="s">
        <v>82</v>
      </c>
      <c r="B695" s="4">
        <v>1</v>
      </c>
      <c r="C695" s="5">
        <v>0.37</v>
      </c>
      <c r="D695" s="4">
        <v>0</v>
      </c>
      <c r="E695" s="5">
        <v>0</v>
      </c>
      <c r="F695" s="4">
        <v>1</v>
      </c>
      <c r="G695" s="5">
        <v>1.05</v>
      </c>
      <c r="H695" s="4">
        <v>0</v>
      </c>
    </row>
    <row r="696" spans="1:8" x14ac:dyDescent="0.2">
      <c r="A696" s="2" t="s">
        <v>83</v>
      </c>
      <c r="B696" s="4">
        <v>4</v>
      </c>
      <c r="C696" s="5">
        <v>1.48</v>
      </c>
      <c r="D696" s="4">
        <v>1</v>
      </c>
      <c r="E696" s="5">
        <v>0.59</v>
      </c>
      <c r="F696" s="4">
        <v>3</v>
      </c>
      <c r="G696" s="5">
        <v>3.16</v>
      </c>
      <c r="H696" s="4">
        <v>0</v>
      </c>
    </row>
    <row r="697" spans="1:8" x14ac:dyDescent="0.2">
      <c r="A697" s="2" t="s">
        <v>84</v>
      </c>
      <c r="B697" s="4">
        <v>66</v>
      </c>
      <c r="C697" s="5">
        <v>24.44</v>
      </c>
      <c r="D697" s="4">
        <v>45</v>
      </c>
      <c r="E697" s="5">
        <v>26.47</v>
      </c>
      <c r="F697" s="4">
        <v>21</v>
      </c>
      <c r="G697" s="5">
        <v>22.11</v>
      </c>
      <c r="H697" s="4">
        <v>0</v>
      </c>
    </row>
    <row r="698" spans="1:8" x14ac:dyDescent="0.2">
      <c r="A698" s="2" t="s">
        <v>85</v>
      </c>
      <c r="B698" s="4">
        <v>1</v>
      </c>
      <c r="C698" s="5">
        <v>0.37</v>
      </c>
      <c r="D698" s="4">
        <v>0</v>
      </c>
      <c r="E698" s="5">
        <v>0</v>
      </c>
      <c r="F698" s="4">
        <v>1</v>
      </c>
      <c r="G698" s="5">
        <v>1.05</v>
      </c>
      <c r="H698" s="4">
        <v>0</v>
      </c>
    </row>
    <row r="699" spans="1:8" x14ac:dyDescent="0.2">
      <c r="A699" s="2" t="s">
        <v>86</v>
      </c>
      <c r="B699" s="4">
        <v>5</v>
      </c>
      <c r="C699" s="5">
        <v>1.85</v>
      </c>
      <c r="D699" s="4">
        <v>2</v>
      </c>
      <c r="E699" s="5">
        <v>1.18</v>
      </c>
      <c r="F699" s="4">
        <v>3</v>
      </c>
      <c r="G699" s="5">
        <v>3.16</v>
      </c>
      <c r="H699" s="4">
        <v>0</v>
      </c>
    </row>
    <row r="700" spans="1:8" x14ac:dyDescent="0.2">
      <c r="A700" s="2" t="s">
        <v>87</v>
      </c>
      <c r="B700" s="4">
        <v>9</v>
      </c>
      <c r="C700" s="5">
        <v>3.33</v>
      </c>
      <c r="D700" s="4">
        <v>6</v>
      </c>
      <c r="E700" s="5">
        <v>3.53</v>
      </c>
      <c r="F700" s="4">
        <v>3</v>
      </c>
      <c r="G700" s="5">
        <v>3.16</v>
      </c>
      <c r="H700" s="4">
        <v>0</v>
      </c>
    </row>
    <row r="701" spans="1:8" x14ac:dyDescent="0.2">
      <c r="A701" s="2" t="s">
        <v>88</v>
      </c>
      <c r="B701" s="4">
        <v>40</v>
      </c>
      <c r="C701" s="5">
        <v>14.81</v>
      </c>
      <c r="D701" s="4">
        <v>29</v>
      </c>
      <c r="E701" s="5">
        <v>17.059999999999999</v>
      </c>
      <c r="F701" s="4">
        <v>10</v>
      </c>
      <c r="G701" s="5">
        <v>10.53</v>
      </c>
      <c r="H701" s="4">
        <v>0</v>
      </c>
    </row>
    <row r="702" spans="1:8" x14ac:dyDescent="0.2">
      <c r="A702" s="2" t="s">
        <v>89</v>
      </c>
      <c r="B702" s="4">
        <v>24</v>
      </c>
      <c r="C702" s="5">
        <v>8.89</v>
      </c>
      <c r="D702" s="4">
        <v>21</v>
      </c>
      <c r="E702" s="5">
        <v>12.35</v>
      </c>
      <c r="F702" s="4">
        <v>3</v>
      </c>
      <c r="G702" s="5">
        <v>3.16</v>
      </c>
      <c r="H702" s="4">
        <v>0</v>
      </c>
    </row>
    <row r="703" spans="1:8" x14ac:dyDescent="0.2">
      <c r="A703" s="2" t="s">
        <v>90</v>
      </c>
      <c r="B703" s="4">
        <v>8</v>
      </c>
      <c r="C703" s="5">
        <v>2.96</v>
      </c>
      <c r="D703" s="4">
        <v>5</v>
      </c>
      <c r="E703" s="5">
        <v>2.94</v>
      </c>
      <c r="F703" s="4">
        <v>3</v>
      </c>
      <c r="G703" s="5">
        <v>3.16</v>
      </c>
      <c r="H703" s="4">
        <v>0</v>
      </c>
    </row>
    <row r="704" spans="1:8" x14ac:dyDescent="0.2">
      <c r="A704" s="2" t="s">
        <v>91</v>
      </c>
      <c r="B704" s="4">
        <v>16</v>
      </c>
      <c r="C704" s="5">
        <v>5.93</v>
      </c>
      <c r="D704" s="4">
        <v>11</v>
      </c>
      <c r="E704" s="5">
        <v>6.47</v>
      </c>
      <c r="F704" s="4">
        <v>3</v>
      </c>
      <c r="G704" s="5">
        <v>3.16</v>
      </c>
      <c r="H704" s="4">
        <v>0</v>
      </c>
    </row>
    <row r="705" spans="1:8" x14ac:dyDescent="0.2">
      <c r="A705" s="2" t="s">
        <v>92</v>
      </c>
      <c r="B705" s="4">
        <v>6</v>
      </c>
      <c r="C705" s="5">
        <v>2.2200000000000002</v>
      </c>
      <c r="D705" s="4">
        <v>3</v>
      </c>
      <c r="E705" s="5">
        <v>1.76</v>
      </c>
      <c r="F705" s="4">
        <v>2</v>
      </c>
      <c r="G705" s="5">
        <v>2.11</v>
      </c>
      <c r="H705" s="4">
        <v>0</v>
      </c>
    </row>
    <row r="706" spans="1:8" x14ac:dyDescent="0.2">
      <c r="A706" s="1" t="s">
        <v>44</v>
      </c>
      <c r="B706" s="4">
        <v>31</v>
      </c>
      <c r="C706" s="5">
        <v>100.00000000000001</v>
      </c>
      <c r="D706" s="4">
        <v>18</v>
      </c>
      <c r="E706" s="5">
        <v>100.01</v>
      </c>
      <c r="F706" s="4">
        <v>11</v>
      </c>
      <c r="G706" s="5">
        <v>99.990000000000009</v>
      </c>
      <c r="H706" s="4">
        <v>0</v>
      </c>
    </row>
    <row r="707" spans="1:8" x14ac:dyDescent="0.2">
      <c r="A707" s="2" t="s">
        <v>78</v>
      </c>
      <c r="B707" s="4">
        <v>0</v>
      </c>
      <c r="C707" s="5">
        <v>0</v>
      </c>
      <c r="D707" s="4">
        <v>0</v>
      </c>
      <c r="E707" s="5">
        <v>0</v>
      </c>
      <c r="F707" s="4">
        <v>0</v>
      </c>
      <c r="G707" s="5">
        <v>0</v>
      </c>
      <c r="H707" s="4">
        <v>0</v>
      </c>
    </row>
    <row r="708" spans="1:8" x14ac:dyDescent="0.2">
      <c r="A708" s="2" t="s">
        <v>79</v>
      </c>
      <c r="B708" s="4">
        <v>4</v>
      </c>
      <c r="C708" s="5">
        <v>12.9</v>
      </c>
      <c r="D708" s="4">
        <v>1</v>
      </c>
      <c r="E708" s="5">
        <v>5.56</v>
      </c>
      <c r="F708" s="4">
        <v>3</v>
      </c>
      <c r="G708" s="5">
        <v>27.27</v>
      </c>
      <c r="H708" s="4">
        <v>0</v>
      </c>
    </row>
    <row r="709" spans="1:8" x14ac:dyDescent="0.2">
      <c r="A709" s="2" t="s">
        <v>80</v>
      </c>
      <c r="B709" s="4">
        <v>0</v>
      </c>
      <c r="C709" s="5">
        <v>0</v>
      </c>
      <c r="D709" s="4">
        <v>0</v>
      </c>
      <c r="E709" s="5">
        <v>0</v>
      </c>
      <c r="F709" s="4">
        <v>0</v>
      </c>
      <c r="G709" s="5">
        <v>0</v>
      </c>
      <c r="H709" s="4">
        <v>0</v>
      </c>
    </row>
    <row r="710" spans="1:8" x14ac:dyDescent="0.2">
      <c r="A710" s="2" t="s">
        <v>81</v>
      </c>
      <c r="B710" s="4">
        <v>1</v>
      </c>
      <c r="C710" s="5">
        <v>3.23</v>
      </c>
      <c r="D710" s="4">
        <v>0</v>
      </c>
      <c r="E710" s="5">
        <v>0</v>
      </c>
      <c r="F710" s="4">
        <v>0</v>
      </c>
      <c r="G710" s="5">
        <v>0</v>
      </c>
      <c r="H710" s="4">
        <v>0</v>
      </c>
    </row>
    <row r="711" spans="1:8" x14ac:dyDescent="0.2">
      <c r="A711" s="2" t="s">
        <v>82</v>
      </c>
      <c r="B711" s="4">
        <v>0</v>
      </c>
      <c r="C711" s="5">
        <v>0</v>
      </c>
      <c r="D711" s="4">
        <v>0</v>
      </c>
      <c r="E711" s="5">
        <v>0</v>
      </c>
      <c r="F711" s="4">
        <v>0</v>
      </c>
      <c r="G711" s="5">
        <v>0</v>
      </c>
      <c r="H711" s="4">
        <v>0</v>
      </c>
    </row>
    <row r="712" spans="1:8" x14ac:dyDescent="0.2">
      <c r="A712" s="2" t="s">
        <v>83</v>
      </c>
      <c r="B712" s="4">
        <v>0</v>
      </c>
      <c r="C712" s="5">
        <v>0</v>
      </c>
      <c r="D712" s="4">
        <v>0</v>
      </c>
      <c r="E712" s="5">
        <v>0</v>
      </c>
      <c r="F712" s="4">
        <v>0</v>
      </c>
      <c r="G712" s="5">
        <v>0</v>
      </c>
      <c r="H712" s="4">
        <v>0</v>
      </c>
    </row>
    <row r="713" spans="1:8" x14ac:dyDescent="0.2">
      <c r="A713" s="2" t="s">
        <v>84</v>
      </c>
      <c r="B713" s="4">
        <v>7</v>
      </c>
      <c r="C713" s="5">
        <v>22.58</v>
      </c>
      <c r="D713" s="4">
        <v>5</v>
      </c>
      <c r="E713" s="5">
        <v>27.78</v>
      </c>
      <c r="F713" s="4">
        <v>2</v>
      </c>
      <c r="G713" s="5">
        <v>18.18</v>
      </c>
      <c r="H713" s="4">
        <v>0</v>
      </c>
    </row>
    <row r="714" spans="1:8" x14ac:dyDescent="0.2">
      <c r="A714" s="2" t="s">
        <v>85</v>
      </c>
      <c r="B714" s="4">
        <v>0</v>
      </c>
      <c r="C714" s="5">
        <v>0</v>
      </c>
      <c r="D714" s="4">
        <v>0</v>
      </c>
      <c r="E714" s="5">
        <v>0</v>
      </c>
      <c r="F714" s="4">
        <v>0</v>
      </c>
      <c r="G714" s="5">
        <v>0</v>
      </c>
      <c r="H714" s="4">
        <v>0</v>
      </c>
    </row>
    <row r="715" spans="1:8" x14ac:dyDescent="0.2">
      <c r="A715" s="2" t="s">
        <v>86</v>
      </c>
      <c r="B715" s="4">
        <v>0</v>
      </c>
      <c r="C715" s="5">
        <v>0</v>
      </c>
      <c r="D715" s="4">
        <v>0</v>
      </c>
      <c r="E715" s="5">
        <v>0</v>
      </c>
      <c r="F715" s="4">
        <v>0</v>
      </c>
      <c r="G715" s="5">
        <v>0</v>
      </c>
      <c r="H715" s="4">
        <v>0</v>
      </c>
    </row>
    <row r="716" spans="1:8" x14ac:dyDescent="0.2">
      <c r="A716" s="2" t="s">
        <v>87</v>
      </c>
      <c r="B716" s="4">
        <v>0</v>
      </c>
      <c r="C716" s="5">
        <v>0</v>
      </c>
      <c r="D716" s="4">
        <v>0</v>
      </c>
      <c r="E716" s="5">
        <v>0</v>
      </c>
      <c r="F716" s="4">
        <v>0</v>
      </c>
      <c r="G716" s="5">
        <v>0</v>
      </c>
      <c r="H716" s="4">
        <v>0</v>
      </c>
    </row>
    <row r="717" spans="1:8" x14ac:dyDescent="0.2">
      <c r="A717" s="2" t="s">
        <v>88</v>
      </c>
      <c r="B717" s="4">
        <v>10</v>
      </c>
      <c r="C717" s="5">
        <v>32.26</v>
      </c>
      <c r="D717" s="4">
        <v>8</v>
      </c>
      <c r="E717" s="5">
        <v>44.44</v>
      </c>
      <c r="F717" s="4">
        <v>2</v>
      </c>
      <c r="G717" s="5">
        <v>18.18</v>
      </c>
      <c r="H717" s="4">
        <v>0</v>
      </c>
    </row>
    <row r="718" spans="1:8" x14ac:dyDescent="0.2">
      <c r="A718" s="2" t="s">
        <v>89</v>
      </c>
      <c r="B718" s="4">
        <v>4</v>
      </c>
      <c r="C718" s="5">
        <v>12.9</v>
      </c>
      <c r="D718" s="4">
        <v>2</v>
      </c>
      <c r="E718" s="5">
        <v>11.11</v>
      </c>
      <c r="F718" s="4">
        <v>2</v>
      </c>
      <c r="G718" s="5">
        <v>18.18</v>
      </c>
      <c r="H718" s="4">
        <v>0</v>
      </c>
    </row>
    <row r="719" spans="1:8" x14ac:dyDescent="0.2">
      <c r="A719" s="2" t="s">
        <v>90</v>
      </c>
      <c r="B719" s="4">
        <v>0</v>
      </c>
      <c r="C719" s="5">
        <v>0</v>
      </c>
      <c r="D719" s="4">
        <v>0</v>
      </c>
      <c r="E719" s="5">
        <v>0</v>
      </c>
      <c r="F719" s="4">
        <v>0</v>
      </c>
      <c r="G719" s="5">
        <v>0</v>
      </c>
      <c r="H719" s="4">
        <v>0</v>
      </c>
    </row>
    <row r="720" spans="1:8" x14ac:dyDescent="0.2">
      <c r="A720" s="2" t="s">
        <v>91</v>
      </c>
      <c r="B720" s="4">
        <v>3</v>
      </c>
      <c r="C720" s="5">
        <v>9.68</v>
      </c>
      <c r="D720" s="4">
        <v>1</v>
      </c>
      <c r="E720" s="5">
        <v>5.56</v>
      </c>
      <c r="F720" s="4">
        <v>1</v>
      </c>
      <c r="G720" s="5">
        <v>9.09</v>
      </c>
      <c r="H720" s="4">
        <v>0</v>
      </c>
    </row>
    <row r="721" spans="1:8" x14ac:dyDescent="0.2">
      <c r="A721" s="2" t="s">
        <v>92</v>
      </c>
      <c r="B721" s="4">
        <v>2</v>
      </c>
      <c r="C721" s="5">
        <v>6.45</v>
      </c>
      <c r="D721" s="4">
        <v>1</v>
      </c>
      <c r="E721" s="5">
        <v>5.56</v>
      </c>
      <c r="F721" s="4">
        <v>1</v>
      </c>
      <c r="G721" s="5">
        <v>9.09</v>
      </c>
      <c r="H721" s="4">
        <v>0</v>
      </c>
    </row>
    <row r="722" spans="1:8" x14ac:dyDescent="0.2">
      <c r="A722" s="1" t="s">
        <v>45</v>
      </c>
      <c r="B722" s="4">
        <v>35</v>
      </c>
      <c r="C722" s="5">
        <v>100.02</v>
      </c>
      <c r="D722" s="4">
        <v>23</v>
      </c>
      <c r="E722" s="5">
        <v>100</v>
      </c>
      <c r="F722" s="4">
        <v>11</v>
      </c>
      <c r="G722" s="5">
        <v>99.99</v>
      </c>
      <c r="H722" s="4">
        <v>1</v>
      </c>
    </row>
    <row r="723" spans="1:8" x14ac:dyDescent="0.2">
      <c r="A723" s="2" t="s">
        <v>78</v>
      </c>
      <c r="B723" s="4">
        <v>0</v>
      </c>
      <c r="C723" s="5">
        <v>0</v>
      </c>
      <c r="D723" s="4">
        <v>0</v>
      </c>
      <c r="E723" s="5">
        <v>0</v>
      </c>
      <c r="F723" s="4">
        <v>0</v>
      </c>
      <c r="G723" s="5">
        <v>0</v>
      </c>
      <c r="H723" s="4">
        <v>0</v>
      </c>
    </row>
    <row r="724" spans="1:8" x14ac:dyDescent="0.2">
      <c r="A724" s="2" t="s">
        <v>79</v>
      </c>
      <c r="B724" s="4">
        <v>5</v>
      </c>
      <c r="C724" s="5">
        <v>14.29</v>
      </c>
      <c r="D724" s="4">
        <v>3</v>
      </c>
      <c r="E724" s="5">
        <v>13.04</v>
      </c>
      <c r="F724" s="4">
        <v>2</v>
      </c>
      <c r="G724" s="5">
        <v>18.18</v>
      </c>
      <c r="H724" s="4">
        <v>0</v>
      </c>
    </row>
    <row r="725" spans="1:8" x14ac:dyDescent="0.2">
      <c r="A725" s="2" t="s">
        <v>80</v>
      </c>
      <c r="B725" s="4">
        <v>3</v>
      </c>
      <c r="C725" s="5">
        <v>8.57</v>
      </c>
      <c r="D725" s="4">
        <v>0</v>
      </c>
      <c r="E725" s="5">
        <v>0</v>
      </c>
      <c r="F725" s="4">
        <v>2</v>
      </c>
      <c r="G725" s="5">
        <v>18.18</v>
      </c>
      <c r="H725" s="4">
        <v>1</v>
      </c>
    </row>
    <row r="726" spans="1:8" x14ac:dyDescent="0.2">
      <c r="A726" s="2" t="s">
        <v>81</v>
      </c>
      <c r="B726" s="4">
        <v>0</v>
      </c>
      <c r="C726" s="5">
        <v>0</v>
      </c>
      <c r="D726" s="4">
        <v>0</v>
      </c>
      <c r="E726" s="5">
        <v>0</v>
      </c>
      <c r="F726" s="4">
        <v>0</v>
      </c>
      <c r="G726" s="5">
        <v>0</v>
      </c>
      <c r="H726" s="4">
        <v>0</v>
      </c>
    </row>
    <row r="727" spans="1:8" x14ac:dyDescent="0.2">
      <c r="A727" s="2" t="s">
        <v>82</v>
      </c>
      <c r="B727" s="4">
        <v>1</v>
      </c>
      <c r="C727" s="5">
        <v>2.86</v>
      </c>
      <c r="D727" s="4">
        <v>0</v>
      </c>
      <c r="E727" s="5">
        <v>0</v>
      </c>
      <c r="F727" s="4">
        <v>1</v>
      </c>
      <c r="G727" s="5">
        <v>9.09</v>
      </c>
      <c r="H727" s="4">
        <v>0</v>
      </c>
    </row>
    <row r="728" spans="1:8" x14ac:dyDescent="0.2">
      <c r="A728" s="2" t="s">
        <v>83</v>
      </c>
      <c r="B728" s="4">
        <v>0</v>
      </c>
      <c r="C728" s="5">
        <v>0</v>
      </c>
      <c r="D728" s="4">
        <v>0</v>
      </c>
      <c r="E728" s="5">
        <v>0</v>
      </c>
      <c r="F728" s="4">
        <v>0</v>
      </c>
      <c r="G728" s="5">
        <v>0</v>
      </c>
      <c r="H728" s="4">
        <v>0</v>
      </c>
    </row>
    <row r="729" spans="1:8" x14ac:dyDescent="0.2">
      <c r="A729" s="2" t="s">
        <v>84</v>
      </c>
      <c r="B729" s="4">
        <v>11</v>
      </c>
      <c r="C729" s="5">
        <v>31.43</v>
      </c>
      <c r="D729" s="4">
        <v>9</v>
      </c>
      <c r="E729" s="5">
        <v>39.130000000000003</v>
      </c>
      <c r="F729" s="4">
        <v>2</v>
      </c>
      <c r="G729" s="5">
        <v>18.18</v>
      </c>
      <c r="H729" s="4">
        <v>0</v>
      </c>
    </row>
    <row r="730" spans="1:8" x14ac:dyDescent="0.2">
      <c r="A730" s="2" t="s">
        <v>85</v>
      </c>
      <c r="B730" s="4">
        <v>0</v>
      </c>
      <c r="C730" s="5">
        <v>0</v>
      </c>
      <c r="D730" s="4">
        <v>0</v>
      </c>
      <c r="E730" s="5">
        <v>0</v>
      </c>
      <c r="F730" s="4">
        <v>0</v>
      </c>
      <c r="G730" s="5">
        <v>0</v>
      </c>
      <c r="H730" s="4">
        <v>0</v>
      </c>
    </row>
    <row r="731" spans="1:8" x14ac:dyDescent="0.2">
      <c r="A731" s="2" t="s">
        <v>86</v>
      </c>
      <c r="B731" s="4">
        <v>1</v>
      </c>
      <c r="C731" s="5">
        <v>2.86</v>
      </c>
      <c r="D731" s="4">
        <v>1</v>
      </c>
      <c r="E731" s="5">
        <v>4.3499999999999996</v>
      </c>
      <c r="F731" s="4">
        <v>0</v>
      </c>
      <c r="G731" s="5">
        <v>0</v>
      </c>
      <c r="H731" s="4">
        <v>0</v>
      </c>
    </row>
    <row r="732" spans="1:8" x14ac:dyDescent="0.2">
      <c r="A732" s="2" t="s">
        <v>87</v>
      </c>
      <c r="B732" s="4">
        <v>1</v>
      </c>
      <c r="C732" s="5">
        <v>2.86</v>
      </c>
      <c r="D732" s="4">
        <v>1</v>
      </c>
      <c r="E732" s="5">
        <v>4.3499999999999996</v>
      </c>
      <c r="F732" s="4">
        <v>0</v>
      </c>
      <c r="G732" s="5">
        <v>0</v>
      </c>
      <c r="H732" s="4">
        <v>0</v>
      </c>
    </row>
    <row r="733" spans="1:8" x14ac:dyDescent="0.2">
      <c r="A733" s="2" t="s">
        <v>88</v>
      </c>
      <c r="B733" s="4">
        <v>4</v>
      </c>
      <c r="C733" s="5">
        <v>11.43</v>
      </c>
      <c r="D733" s="4">
        <v>4</v>
      </c>
      <c r="E733" s="5">
        <v>17.39</v>
      </c>
      <c r="F733" s="4">
        <v>0</v>
      </c>
      <c r="G733" s="5">
        <v>0</v>
      </c>
      <c r="H733" s="4">
        <v>0</v>
      </c>
    </row>
    <row r="734" spans="1:8" x14ac:dyDescent="0.2">
      <c r="A734" s="2" t="s">
        <v>89</v>
      </c>
      <c r="B734" s="4">
        <v>3</v>
      </c>
      <c r="C734" s="5">
        <v>8.57</v>
      </c>
      <c r="D734" s="4">
        <v>3</v>
      </c>
      <c r="E734" s="5">
        <v>13.04</v>
      </c>
      <c r="F734" s="4">
        <v>0</v>
      </c>
      <c r="G734" s="5">
        <v>0</v>
      </c>
      <c r="H734" s="4">
        <v>0</v>
      </c>
    </row>
    <row r="735" spans="1:8" x14ac:dyDescent="0.2">
      <c r="A735" s="2" t="s">
        <v>90</v>
      </c>
      <c r="B735" s="4">
        <v>1</v>
      </c>
      <c r="C735" s="5">
        <v>2.86</v>
      </c>
      <c r="D735" s="4">
        <v>0</v>
      </c>
      <c r="E735" s="5">
        <v>0</v>
      </c>
      <c r="F735" s="4">
        <v>1</v>
      </c>
      <c r="G735" s="5">
        <v>9.09</v>
      </c>
      <c r="H735" s="4">
        <v>0</v>
      </c>
    </row>
    <row r="736" spans="1:8" x14ac:dyDescent="0.2">
      <c r="A736" s="2" t="s">
        <v>91</v>
      </c>
      <c r="B736" s="4">
        <v>4</v>
      </c>
      <c r="C736" s="5">
        <v>11.43</v>
      </c>
      <c r="D736" s="4">
        <v>1</v>
      </c>
      <c r="E736" s="5">
        <v>4.3499999999999996</v>
      </c>
      <c r="F736" s="4">
        <v>3</v>
      </c>
      <c r="G736" s="5">
        <v>27.27</v>
      </c>
      <c r="H736" s="4">
        <v>0</v>
      </c>
    </row>
    <row r="737" spans="1:8" x14ac:dyDescent="0.2">
      <c r="A737" s="2" t="s">
        <v>92</v>
      </c>
      <c r="B737" s="4">
        <v>1</v>
      </c>
      <c r="C737" s="5">
        <v>2.86</v>
      </c>
      <c r="D737" s="4">
        <v>1</v>
      </c>
      <c r="E737" s="5">
        <v>4.3499999999999996</v>
      </c>
      <c r="F737" s="4">
        <v>0</v>
      </c>
      <c r="G737" s="5">
        <v>0</v>
      </c>
      <c r="H737" s="4">
        <v>0</v>
      </c>
    </row>
    <row r="738" spans="1:8" x14ac:dyDescent="0.2">
      <c r="A738" s="1" t="s">
        <v>46</v>
      </c>
      <c r="B738" s="4">
        <v>106</v>
      </c>
      <c r="C738" s="5">
        <v>100.00999999999998</v>
      </c>
      <c r="D738" s="4">
        <v>74</v>
      </c>
      <c r="E738" s="5">
        <v>99.99</v>
      </c>
      <c r="F738" s="4">
        <v>27</v>
      </c>
      <c r="G738" s="5">
        <v>99.990000000000009</v>
      </c>
      <c r="H738" s="4">
        <v>0</v>
      </c>
    </row>
    <row r="739" spans="1:8" x14ac:dyDescent="0.2">
      <c r="A739" s="2" t="s">
        <v>78</v>
      </c>
      <c r="B739" s="4">
        <v>1</v>
      </c>
      <c r="C739" s="5">
        <v>0.94</v>
      </c>
      <c r="D739" s="4">
        <v>0</v>
      </c>
      <c r="E739" s="5">
        <v>0</v>
      </c>
      <c r="F739" s="4">
        <v>1</v>
      </c>
      <c r="G739" s="5">
        <v>3.7</v>
      </c>
      <c r="H739" s="4">
        <v>0</v>
      </c>
    </row>
    <row r="740" spans="1:8" x14ac:dyDescent="0.2">
      <c r="A740" s="2" t="s">
        <v>79</v>
      </c>
      <c r="B740" s="4">
        <v>31</v>
      </c>
      <c r="C740" s="5">
        <v>29.25</v>
      </c>
      <c r="D740" s="4">
        <v>21</v>
      </c>
      <c r="E740" s="5">
        <v>28.38</v>
      </c>
      <c r="F740" s="4">
        <v>10</v>
      </c>
      <c r="G740" s="5">
        <v>37.04</v>
      </c>
      <c r="H740" s="4">
        <v>0</v>
      </c>
    </row>
    <row r="741" spans="1:8" x14ac:dyDescent="0.2">
      <c r="A741" s="2" t="s">
        <v>80</v>
      </c>
      <c r="B741" s="4">
        <v>5</v>
      </c>
      <c r="C741" s="5">
        <v>4.72</v>
      </c>
      <c r="D741" s="4">
        <v>2</v>
      </c>
      <c r="E741" s="5">
        <v>2.7</v>
      </c>
      <c r="F741" s="4">
        <v>3</v>
      </c>
      <c r="G741" s="5">
        <v>11.11</v>
      </c>
      <c r="H741" s="4">
        <v>0</v>
      </c>
    </row>
    <row r="742" spans="1:8" x14ac:dyDescent="0.2">
      <c r="A742" s="2" t="s">
        <v>81</v>
      </c>
      <c r="B742" s="4">
        <v>3</v>
      </c>
      <c r="C742" s="5">
        <v>2.83</v>
      </c>
      <c r="D742" s="4">
        <v>2</v>
      </c>
      <c r="E742" s="5">
        <v>2.7</v>
      </c>
      <c r="F742" s="4">
        <v>1</v>
      </c>
      <c r="G742" s="5">
        <v>3.7</v>
      </c>
      <c r="H742" s="4">
        <v>0</v>
      </c>
    </row>
    <row r="743" spans="1:8" x14ac:dyDescent="0.2">
      <c r="A743" s="2" t="s">
        <v>82</v>
      </c>
      <c r="B743" s="4">
        <v>2</v>
      </c>
      <c r="C743" s="5">
        <v>1.89</v>
      </c>
      <c r="D743" s="4">
        <v>2</v>
      </c>
      <c r="E743" s="5">
        <v>2.7</v>
      </c>
      <c r="F743" s="4">
        <v>0</v>
      </c>
      <c r="G743" s="5">
        <v>0</v>
      </c>
      <c r="H743" s="4">
        <v>0</v>
      </c>
    </row>
    <row r="744" spans="1:8" x14ac:dyDescent="0.2">
      <c r="A744" s="2" t="s">
        <v>83</v>
      </c>
      <c r="B744" s="4">
        <v>2</v>
      </c>
      <c r="C744" s="5">
        <v>1.89</v>
      </c>
      <c r="D744" s="4">
        <v>2</v>
      </c>
      <c r="E744" s="5">
        <v>2.7</v>
      </c>
      <c r="F744" s="4">
        <v>0</v>
      </c>
      <c r="G744" s="5">
        <v>0</v>
      </c>
      <c r="H744" s="4">
        <v>0</v>
      </c>
    </row>
    <row r="745" spans="1:8" x14ac:dyDescent="0.2">
      <c r="A745" s="2" t="s">
        <v>84</v>
      </c>
      <c r="B745" s="4">
        <v>29</v>
      </c>
      <c r="C745" s="5">
        <v>27.36</v>
      </c>
      <c r="D745" s="4">
        <v>22</v>
      </c>
      <c r="E745" s="5">
        <v>29.73</v>
      </c>
      <c r="F745" s="4">
        <v>7</v>
      </c>
      <c r="G745" s="5">
        <v>25.93</v>
      </c>
      <c r="H745" s="4">
        <v>0</v>
      </c>
    </row>
    <row r="746" spans="1:8" x14ac:dyDescent="0.2">
      <c r="A746" s="2" t="s">
        <v>85</v>
      </c>
      <c r="B746" s="4">
        <v>0</v>
      </c>
      <c r="C746" s="5">
        <v>0</v>
      </c>
      <c r="D746" s="4">
        <v>0</v>
      </c>
      <c r="E746" s="5">
        <v>0</v>
      </c>
      <c r="F746" s="4">
        <v>0</v>
      </c>
      <c r="G746" s="5">
        <v>0</v>
      </c>
      <c r="H746" s="4">
        <v>0</v>
      </c>
    </row>
    <row r="747" spans="1:8" x14ac:dyDescent="0.2">
      <c r="A747" s="2" t="s">
        <v>86</v>
      </c>
      <c r="B747" s="4">
        <v>1</v>
      </c>
      <c r="C747" s="5">
        <v>0.94</v>
      </c>
      <c r="D747" s="4">
        <v>1</v>
      </c>
      <c r="E747" s="5">
        <v>1.35</v>
      </c>
      <c r="F747" s="4">
        <v>0</v>
      </c>
      <c r="G747" s="5">
        <v>0</v>
      </c>
      <c r="H747" s="4">
        <v>0</v>
      </c>
    </row>
    <row r="748" spans="1:8" x14ac:dyDescent="0.2">
      <c r="A748" s="2" t="s">
        <v>87</v>
      </c>
      <c r="B748" s="4">
        <v>4</v>
      </c>
      <c r="C748" s="5">
        <v>3.77</v>
      </c>
      <c r="D748" s="4">
        <v>2</v>
      </c>
      <c r="E748" s="5">
        <v>2.7</v>
      </c>
      <c r="F748" s="4">
        <v>2</v>
      </c>
      <c r="G748" s="5">
        <v>7.41</v>
      </c>
      <c r="H748" s="4">
        <v>0</v>
      </c>
    </row>
    <row r="749" spans="1:8" x14ac:dyDescent="0.2">
      <c r="A749" s="2" t="s">
        <v>88</v>
      </c>
      <c r="B749" s="4">
        <v>8</v>
      </c>
      <c r="C749" s="5">
        <v>7.55</v>
      </c>
      <c r="D749" s="4">
        <v>6</v>
      </c>
      <c r="E749" s="5">
        <v>8.11</v>
      </c>
      <c r="F749" s="4">
        <v>1</v>
      </c>
      <c r="G749" s="5">
        <v>3.7</v>
      </c>
      <c r="H749" s="4">
        <v>0</v>
      </c>
    </row>
    <row r="750" spans="1:8" x14ac:dyDescent="0.2">
      <c r="A750" s="2" t="s">
        <v>89</v>
      </c>
      <c r="B750" s="4">
        <v>9</v>
      </c>
      <c r="C750" s="5">
        <v>8.49</v>
      </c>
      <c r="D750" s="4">
        <v>7</v>
      </c>
      <c r="E750" s="5">
        <v>9.4600000000000009</v>
      </c>
      <c r="F750" s="4">
        <v>0</v>
      </c>
      <c r="G750" s="5">
        <v>0</v>
      </c>
      <c r="H750" s="4">
        <v>0</v>
      </c>
    </row>
    <row r="751" spans="1:8" x14ac:dyDescent="0.2">
      <c r="A751" s="2" t="s">
        <v>90</v>
      </c>
      <c r="B751" s="4">
        <v>4</v>
      </c>
      <c r="C751" s="5">
        <v>3.77</v>
      </c>
      <c r="D751" s="4">
        <v>2</v>
      </c>
      <c r="E751" s="5">
        <v>2.7</v>
      </c>
      <c r="F751" s="4">
        <v>1</v>
      </c>
      <c r="G751" s="5">
        <v>3.7</v>
      </c>
      <c r="H751" s="4">
        <v>0</v>
      </c>
    </row>
    <row r="752" spans="1:8" x14ac:dyDescent="0.2">
      <c r="A752" s="2" t="s">
        <v>91</v>
      </c>
      <c r="B752" s="4">
        <v>5</v>
      </c>
      <c r="C752" s="5">
        <v>4.72</v>
      </c>
      <c r="D752" s="4">
        <v>4</v>
      </c>
      <c r="E752" s="5">
        <v>5.41</v>
      </c>
      <c r="F752" s="4">
        <v>0</v>
      </c>
      <c r="G752" s="5">
        <v>0</v>
      </c>
      <c r="H752" s="4">
        <v>0</v>
      </c>
    </row>
    <row r="753" spans="1:8" x14ac:dyDescent="0.2">
      <c r="A753" s="2" t="s">
        <v>92</v>
      </c>
      <c r="B753" s="4">
        <v>2</v>
      </c>
      <c r="C753" s="5">
        <v>1.89</v>
      </c>
      <c r="D753" s="4">
        <v>1</v>
      </c>
      <c r="E753" s="5">
        <v>1.35</v>
      </c>
      <c r="F753" s="4">
        <v>1</v>
      </c>
      <c r="G753" s="5">
        <v>3.7</v>
      </c>
      <c r="H753" s="4">
        <v>0</v>
      </c>
    </row>
    <row r="754" spans="1:8" x14ac:dyDescent="0.2">
      <c r="A754" s="1" t="s">
        <v>47</v>
      </c>
      <c r="B754" s="4">
        <v>24</v>
      </c>
      <c r="C754" s="5">
        <v>100.01</v>
      </c>
      <c r="D754" s="4">
        <v>16</v>
      </c>
      <c r="E754" s="5">
        <v>100</v>
      </c>
      <c r="F754" s="4">
        <v>5</v>
      </c>
      <c r="G754" s="5">
        <v>100</v>
      </c>
      <c r="H754" s="4">
        <v>1</v>
      </c>
    </row>
    <row r="755" spans="1:8" x14ac:dyDescent="0.2">
      <c r="A755" s="2" t="s">
        <v>78</v>
      </c>
      <c r="B755" s="4">
        <v>0</v>
      </c>
      <c r="C755" s="5">
        <v>0</v>
      </c>
      <c r="D755" s="4">
        <v>0</v>
      </c>
      <c r="E755" s="5">
        <v>0</v>
      </c>
      <c r="F755" s="4">
        <v>0</v>
      </c>
      <c r="G755" s="5">
        <v>0</v>
      </c>
      <c r="H755" s="4">
        <v>0</v>
      </c>
    </row>
    <row r="756" spans="1:8" x14ac:dyDescent="0.2">
      <c r="A756" s="2" t="s">
        <v>79</v>
      </c>
      <c r="B756" s="4">
        <v>1</v>
      </c>
      <c r="C756" s="5">
        <v>4.17</v>
      </c>
      <c r="D756" s="4">
        <v>0</v>
      </c>
      <c r="E756" s="5">
        <v>0</v>
      </c>
      <c r="F756" s="4">
        <v>1</v>
      </c>
      <c r="G756" s="5">
        <v>20</v>
      </c>
      <c r="H756" s="4">
        <v>0</v>
      </c>
    </row>
    <row r="757" spans="1:8" x14ac:dyDescent="0.2">
      <c r="A757" s="2" t="s">
        <v>80</v>
      </c>
      <c r="B757" s="4">
        <v>3</v>
      </c>
      <c r="C757" s="5">
        <v>12.5</v>
      </c>
      <c r="D757" s="4">
        <v>1</v>
      </c>
      <c r="E757" s="5">
        <v>6.25</v>
      </c>
      <c r="F757" s="4">
        <v>2</v>
      </c>
      <c r="G757" s="5">
        <v>40</v>
      </c>
      <c r="H757" s="4">
        <v>0</v>
      </c>
    </row>
    <row r="758" spans="1:8" x14ac:dyDescent="0.2">
      <c r="A758" s="2" t="s">
        <v>81</v>
      </c>
      <c r="B758" s="4">
        <v>0</v>
      </c>
      <c r="C758" s="5">
        <v>0</v>
      </c>
      <c r="D758" s="4">
        <v>0</v>
      </c>
      <c r="E758" s="5">
        <v>0</v>
      </c>
      <c r="F758" s="4">
        <v>0</v>
      </c>
      <c r="G758" s="5">
        <v>0</v>
      </c>
      <c r="H758" s="4">
        <v>0</v>
      </c>
    </row>
    <row r="759" spans="1:8" x14ac:dyDescent="0.2">
      <c r="A759" s="2" t="s">
        <v>82</v>
      </c>
      <c r="B759" s="4">
        <v>1</v>
      </c>
      <c r="C759" s="5">
        <v>4.17</v>
      </c>
      <c r="D759" s="4">
        <v>1</v>
      </c>
      <c r="E759" s="5">
        <v>6.25</v>
      </c>
      <c r="F759" s="4">
        <v>0</v>
      </c>
      <c r="G759" s="5">
        <v>0</v>
      </c>
      <c r="H759" s="4">
        <v>0</v>
      </c>
    </row>
    <row r="760" spans="1:8" x14ac:dyDescent="0.2">
      <c r="A760" s="2" t="s">
        <v>83</v>
      </c>
      <c r="B760" s="4">
        <v>0</v>
      </c>
      <c r="C760" s="5">
        <v>0</v>
      </c>
      <c r="D760" s="4">
        <v>0</v>
      </c>
      <c r="E760" s="5">
        <v>0</v>
      </c>
      <c r="F760" s="4">
        <v>0</v>
      </c>
      <c r="G760" s="5">
        <v>0</v>
      </c>
      <c r="H760" s="4">
        <v>0</v>
      </c>
    </row>
    <row r="761" spans="1:8" x14ac:dyDescent="0.2">
      <c r="A761" s="2" t="s">
        <v>84</v>
      </c>
      <c r="B761" s="4">
        <v>9</v>
      </c>
      <c r="C761" s="5">
        <v>37.5</v>
      </c>
      <c r="D761" s="4">
        <v>8</v>
      </c>
      <c r="E761" s="5">
        <v>50</v>
      </c>
      <c r="F761" s="4">
        <v>0</v>
      </c>
      <c r="G761" s="5">
        <v>0</v>
      </c>
      <c r="H761" s="4">
        <v>1</v>
      </c>
    </row>
    <row r="762" spans="1:8" x14ac:dyDescent="0.2">
      <c r="A762" s="2" t="s">
        <v>85</v>
      </c>
      <c r="B762" s="4">
        <v>0</v>
      </c>
      <c r="C762" s="5">
        <v>0</v>
      </c>
      <c r="D762" s="4">
        <v>0</v>
      </c>
      <c r="E762" s="5">
        <v>0</v>
      </c>
      <c r="F762" s="4">
        <v>0</v>
      </c>
      <c r="G762" s="5">
        <v>0</v>
      </c>
      <c r="H762" s="4">
        <v>0</v>
      </c>
    </row>
    <row r="763" spans="1:8" x14ac:dyDescent="0.2">
      <c r="A763" s="2" t="s">
        <v>86</v>
      </c>
      <c r="B763" s="4">
        <v>1</v>
      </c>
      <c r="C763" s="5">
        <v>4.17</v>
      </c>
      <c r="D763" s="4">
        <v>1</v>
      </c>
      <c r="E763" s="5">
        <v>6.25</v>
      </c>
      <c r="F763" s="4">
        <v>0</v>
      </c>
      <c r="G763" s="5">
        <v>0</v>
      </c>
      <c r="H763" s="4">
        <v>0</v>
      </c>
    </row>
    <row r="764" spans="1:8" x14ac:dyDescent="0.2">
      <c r="A764" s="2" t="s">
        <v>87</v>
      </c>
      <c r="B764" s="4">
        <v>1</v>
      </c>
      <c r="C764" s="5">
        <v>4.17</v>
      </c>
      <c r="D764" s="4">
        <v>0</v>
      </c>
      <c r="E764" s="5">
        <v>0</v>
      </c>
      <c r="F764" s="4">
        <v>1</v>
      </c>
      <c r="G764" s="5">
        <v>20</v>
      </c>
      <c r="H764" s="4">
        <v>0</v>
      </c>
    </row>
    <row r="765" spans="1:8" x14ac:dyDescent="0.2">
      <c r="A765" s="2" t="s">
        <v>88</v>
      </c>
      <c r="B765" s="4">
        <v>4</v>
      </c>
      <c r="C765" s="5">
        <v>16.670000000000002</v>
      </c>
      <c r="D765" s="4">
        <v>3</v>
      </c>
      <c r="E765" s="5">
        <v>18.75</v>
      </c>
      <c r="F765" s="4">
        <v>0</v>
      </c>
      <c r="G765" s="5">
        <v>0</v>
      </c>
      <c r="H765" s="4">
        <v>0</v>
      </c>
    </row>
    <row r="766" spans="1:8" x14ac:dyDescent="0.2">
      <c r="A766" s="2" t="s">
        <v>89</v>
      </c>
      <c r="B766" s="4">
        <v>0</v>
      </c>
      <c r="C766" s="5">
        <v>0</v>
      </c>
      <c r="D766" s="4">
        <v>0</v>
      </c>
      <c r="E766" s="5">
        <v>0</v>
      </c>
      <c r="F766" s="4">
        <v>0</v>
      </c>
      <c r="G766" s="5">
        <v>0</v>
      </c>
      <c r="H766" s="4">
        <v>0</v>
      </c>
    </row>
    <row r="767" spans="1:8" x14ac:dyDescent="0.2">
      <c r="A767" s="2" t="s">
        <v>90</v>
      </c>
      <c r="B767" s="4">
        <v>2</v>
      </c>
      <c r="C767" s="5">
        <v>8.33</v>
      </c>
      <c r="D767" s="4">
        <v>1</v>
      </c>
      <c r="E767" s="5">
        <v>6.25</v>
      </c>
      <c r="F767" s="4">
        <v>1</v>
      </c>
      <c r="G767" s="5">
        <v>20</v>
      </c>
      <c r="H767" s="4">
        <v>0</v>
      </c>
    </row>
    <row r="768" spans="1:8" x14ac:dyDescent="0.2">
      <c r="A768" s="2" t="s">
        <v>91</v>
      </c>
      <c r="B768" s="4">
        <v>2</v>
      </c>
      <c r="C768" s="5">
        <v>8.33</v>
      </c>
      <c r="D768" s="4">
        <v>1</v>
      </c>
      <c r="E768" s="5">
        <v>6.25</v>
      </c>
      <c r="F768" s="4">
        <v>0</v>
      </c>
      <c r="G768" s="5">
        <v>0</v>
      </c>
      <c r="H768" s="4">
        <v>0</v>
      </c>
    </row>
    <row r="769" spans="1:8" x14ac:dyDescent="0.2">
      <c r="A769" s="2" t="s">
        <v>92</v>
      </c>
      <c r="B769" s="4">
        <v>0</v>
      </c>
      <c r="C769" s="5">
        <v>0</v>
      </c>
      <c r="D769" s="4">
        <v>0</v>
      </c>
      <c r="E769" s="5">
        <v>0</v>
      </c>
      <c r="F769" s="4">
        <v>0</v>
      </c>
      <c r="G769" s="5">
        <v>0</v>
      </c>
      <c r="H769" s="4">
        <v>0</v>
      </c>
    </row>
    <row r="770" spans="1:8" x14ac:dyDescent="0.2">
      <c r="A770" s="1" t="s">
        <v>48</v>
      </c>
      <c r="B770" s="4">
        <v>56</v>
      </c>
      <c r="C770" s="5">
        <v>100.02000000000001</v>
      </c>
      <c r="D770" s="4">
        <v>31</v>
      </c>
      <c r="E770" s="5">
        <v>100.02000000000001</v>
      </c>
      <c r="F770" s="4">
        <v>17</v>
      </c>
      <c r="G770" s="5">
        <v>99.99</v>
      </c>
      <c r="H770" s="4">
        <v>3</v>
      </c>
    </row>
    <row r="771" spans="1:8" x14ac:dyDescent="0.2">
      <c r="A771" s="2" t="s">
        <v>78</v>
      </c>
      <c r="B771" s="4">
        <v>0</v>
      </c>
      <c r="C771" s="5">
        <v>0</v>
      </c>
      <c r="D771" s="4">
        <v>0</v>
      </c>
      <c r="E771" s="5">
        <v>0</v>
      </c>
      <c r="F771" s="4">
        <v>0</v>
      </c>
      <c r="G771" s="5">
        <v>0</v>
      </c>
      <c r="H771" s="4">
        <v>0</v>
      </c>
    </row>
    <row r="772" spans="1:8" x14ac:dyDescent="0.2">
      <c r="A772" s="2" t="s">
        <v>79</v>
      </c>
      <c r="B772" s="4">
        <v>12</v>
      </c>
      <c r="C772" s="5">
        <v>21.43</v>
      </c>
      <c r="D772" s="4">
        <v>3</v>
      </c>
      <c r="E772" s="5">
        <v>9.68</v>
      </c>
      <c r="F772" s="4">
        <v>9</v>
      </c>
      <c r="G772" s="5">
        <v>52.94</v>
      </c>
      <c r="H772" s="4">
        <v>0</v>
      </c>
    </row>
    <row r="773" spans="1:8" x14ac:dyDescent="0.2">
      <c r="A773" s="2" t="s">
        <v>80</v>
      </c>
      <c r="B773" s="4">
        <v>3</v>
      </c>
      <c r="C773" s="5">
        <v>5.36</v>
      </c>
      <c r="D773" s="4">
        <v>1</v>
      </c>
      <c r="E773" s="5">
        <v>3.23</v>
      </c>
      <c r="F773" s="4">
        <v>1</v>
      </c>
      <c r="G773" s="5">
        <v>5.88</v>
      </c>
      <c r="H773" s="4">
        <v>1</v>
      </c>
    </row>
    <row r="774" spans="1:8" x14ac:dyDescent="0.2">
      <c r="A774" s="2" t="s">
        <v>81</v>
      </c>
      <c r="B774" s="4">
        <v>2</v>
      </c>
      <c r="C774" s="5">
        <v>3.57</v>
      </c>
      <c r="D774" s="4">
        <v>0</v>
      </c>
      <c r="E774" s="5">
        <v>0</v>
      </c>
      <c r="F774" s="4">
        <v>0</v>
      </c>
      <c r="G774" s="5">
        <v>0</v>
      </c>
      <c r="H774" s="4">
        <v>0</v>
      </c>
    </row>
    <row r="775" spans="1:8" x14ac:dyDescent="0.2">
      <c r="A775" s="2" t="s">
        <v>82</v>
      </c>
      <c r="B775" s="4">
        <v>0</v>
      </c>
      <c r="C775" s="5">
        <v>0</v>
      </c>
      <c r="D775" s="4">
        <v>0</v>
      </c>
      <c r="E775" s="5">
        <v>0</v>
      </c>
      <c r="F775" s="4">
        <v>0</v>
      </c>
      <c r="G775" s="5">
        <v>0</v>
      </c>
      <c r="H775" s="4">
        <v>0</v>
      </c>
    </row>
    <row r="776" spans="1:8" x14ac:dyDescent="0.2">
      <c r="A776" s="2" t="s">
        <v>83</v>
      </c>
      <c r="B776" s="4">
        <v>1</v>
      </c>
      <c r="C776" s="5">
        <v>1.79</v>
      </c>
      <c r="D776" s="4">
        <v>0</v>
      </c>
      <c r="E776" s="5">
        <v>0</v>
      </c>
      <c r="F776" s="4">
        <v>1</v>
      </c>
      <c r="G776" s="5">
        <v>5.88</v>
      </c>
      <c r="H776" s="4">
        <v>0</v>
      </c>
    </row>
    <row r="777" spans="1:8" x14ac:dyDescent="0.2">
      <c r="A777" s="2" t="s">
        <v>84</v>
      </c>
      <c r="B777" s="4">
        <v>18</v>
      </c>
      <c r="C777" s="5">
        <v>32.14</v>
      </c>
      <c r="D777" s="4">
        <v>12</v>
      </c>
      <c r="E777" s="5">
        <v>38.71</v>
      </c>
      <c r="F777" s="4">
        <v>4</v>
      </c>
      <c r="G777" s="5">
        <v>23.53</v>
      </c>
      <c r="H777" s="4">
        <v>2</v>
      </c>
    </row>
    <row r="778" spans="1:8" x14ac:dyDescent="0.2">
      <c r="A778" s="2" t="s">
        <v>85</v>
      </c>
      <c r="B778" s="4">
        <v>0</v>
      </c>
      <c r="C778" s="5">
        <v>0</v>
      </c>
      <c r="D778" s="4">
        <v>0</v>
      </c>
      <c r="E778" s="5">
        <v>0</v>
      </c>
      <c r="F778" s="4">
        <v>0</v>
      </c>
      <c r="G778" s="5">
        <v>0</v>
      </c>
      <c r="H778" s="4">
        <v>0</v>
      </c>
    </row>
    <row r="779" spans="1:8" x14ac:dyDescent="0.2">
      <c r="A779" s="2" t="s">
        <v>86</v>
      </c>
      <c r="B779" s="4">
        <v>1</v>
      </c>
      <c r="C779" s="5">
        <v>1.79</v>
      </c>
      <c r="D779" s="4">
        <v>1</v>
      </c>
      <c r="E779" s="5">
        <v>3.23</v>
      </c>
      <c r="F779" s="4">
        <v>0</v>
      </c>
      <c r="G779" s="5">
        <v>0</v>
      </c>
      <c r="H779" s="4">
        <v>0</v>
      </c>
    </row>
    <row r="780" spans="1:8" x14ac:dyDescent="0.2">
      <c r="A780" s="2" t="s">
        <v>87</v>
      </c>
      <c r="B780" s="4">
        <v>0</v>
      </c>
      <c r="C780" s="5">
        <v>0</v>
      </c>
      <c r="D780" s="4">
        <v>0</v>
      </c>
      <c r="E780" s="5">
        <v>0</v>
      </c>
      <c r="F780" s="4">
        <v>0</v>
      </c>
      <c r="G780" s="5">
        <v>0</v>
      </c>
      <c r="H780" s="4">
        <v>0</v>
      </c>
    </row>
    <row r="781" spans="1:8" x14ac:dyDescent="0.2">
      <c r="A781" s="2" t="s">
        <v>88</v>
      </c>
      <c r="B781" s="4">
        <v>8</v>
      </c>
      <c r="C781" s="5">
        <v>14.29</v>
      </c>
      <c r="D781" s="4">
        <v>6</v>
      </c>
      <c r="E781" s="5">
        <v>19.350000000000001</v>
      </c>
      <c r="F781" s="4">
        <v>1</v>
      </c>
      <c r="G781" s="5">
        <v>5.88</v>
      </c>
      <c r="H781" s="4">
        <v>0</v>
      </c>
    </row>
    <row r="782" spans="1:8" x14ac:dyDescent="0.2">
      <c r="A782" s="2" t="s">
        <v>89</v>
      </c>
      <c r="B782" s="4">
        <v>5</v>
      </c>
      <c r="C782" s="5">
        <v>8.93</v>
      </c>
      <c r="D782" s="4">
        <v>5</v>
      </c>
      <c r="E782" s="5">
        <v>16.13</v>
      </c>
      <c r="F782" s="4">
        <v>0</v>
      </c>
      <c r="G782" s="5">
        <v>0</v>
      </c>
      <c r="H782" s="4">
        <v>0</v>
      </c>
    </row>
    <row r="783" spans="1:8" x14ac:dyDescent="0.2">
      <c r="A783" s="2" t="s">
        <v>90</v>
      </c>
      <c r="B783" s="4">
        <v>1</v>
      </c>
      <c r="C783" s="5">
        <v>1.79</v>
      </c>
      <c r="D783" s="4">
        <v>1</v>
      </c>
      <c r="E783" s="5">
        <v>3.23</v>
      </c>
      <c r="F783" s="4">
        <v>0</v>
      </c>
      <c r="G783" s="5">
        <v>0</v>
      </c>
      <c r="H783" s="4">
        <v>0</v>
      </c>
    </row>
    <row r="784" spans="1:8" x14ac:dyDescent="0.2">
      <c r="A784" s="2" t="s">
        <v>91</v>
      </c>
      <c r="B784" s="4">
        <v>3</v>
      </c>
      <c r="C784" s="5">
        <v>5.36</v>
      </c>
      <c r="D784" s="4">
        <v>1</v>
      </c>
      <c r="E784" s="5">
        <v>3.23</v>
      </c>
      <c r="F784" s="4">
        <v>0</v>
      </c>
      <c r="G784" s="5">
        <v>0</v>
      </c>
      <c r="H784" s="4">
        <v>0</v>
      </c>
    </row>
    <row r="785" spans="1:8" x14ac:dyDescent="0.2">
      <c r="A785" s="2" t="s">
        <v>92</v>
      </c>
      <c r="B785" s="4">
        <v>2</v>
      </c>
      <c r="C785" s="5">
        <v>3.57</v>
      </c>
      <c r="D785" s="4">
        <v>1</v>
      </c>
      <c r="E785" s="5">
        <v>3.23</v>
      </c>
      <c r="F785" s="4">
        <v>1</v>
      </c>
      <c r="G785" s="5">
        <v>5.88</v>
      </c>
      <c r="H785" s="4">
        <v>0</v>
      </c>
    </row>
    <row r="786" spans="1:8" x14ac:dyDescent="0.2">
      <c r="A786" s="1" t="s">
        <v>49</v>
      </c>
      <c r="B786" s="4">
        <v>57</v>
      </c>
      <c r="C786" s="5">
        <v>99.98</v>
      </c>
      <c r="D786" s="4">
        <v>38</v>
      </c>
      <c r="E786" s="5">
        <v>100</v>
      </c>
      <c r="F786" s="4">
        <v>17</v>
      </c>
      <c r="G786" s="5">
        <v>99.990000000000009</v>
      </c>
      <c r="H786" s="4">
        <v>0</v>
      </c>
    </row>
    <row r="787" spans="1:8" x14ac:dyDescent="0.2">
      <c r="A787" s="2" t="s">
        <v>78</v>
      </c>
      <c r="B787" s="4">
        <v>1</v>
      </c>
      <c r="C787" s="5">
        <v>1.75</v>
      </c>
      <c r="D787" s="4">
        <v>0</v>
      </c>
      <c r="E787" s="5">
        <v>0</v>
      </c>
      <c r="F787" s="4">
        <v>1</v>
      </c>
      <c r="G787" s="5">
        <v>5.88</v>
      </c>
      <c r="H787" s="4">
        <v>0</v>
      </c>
    </row>
    <row r="788" spans="1:8" x14ac:dyDescent="0.2">
      <c r="A788" s="2" t="s">
        <v>79</v>
      </c>
      <c r="B788" s="4">
        <v>16</v>
      </c>
      <c r="C788" s="5">
        <v>28.07</v>
      </c>
      <c r="D788" s="4">
        <v>13</v>
      </c>
      <c r="E788" s="5">
        <v>34.21</v>
      </c>
      <c r="F788" s="4">
        <v>3</v>
      </c>
      <c r="G788" s="5">
        <v>17.649999999999999</v>
      </c>
      <c r="H788" s="4">
        <v>0</v>
      </c>
    </row>
    <row r="789" spans="1:8" x14ac:dyDescent="0.2">
      <c r="A789" s="2" t="s">
        <v>80</v>
      </c>
      <c r="B789" s="4">
        <v>4</v>
      </c>
      <c r="C789" s="5">
        <v>7.02</v>
      </c>
      <c r="D789" s="4">
        <v>0</v>
      </c>
      <c r="E789" s="5">
        <v>0</v>
      </c>
      <c r="F789" s="4">
        <v>4</v>
      </c>
      <c r="G789" s="5">
        <v>23.53</v>
      </c>
      <c r="H789" s="4">
        <v>0</v>
      </c>
    </row>
    <row r="790" spans="1:8" x14ac:dyDescent="0.2">
      <c r="A790" s="2" t="s">
        <v>81</v>
      </c>
      <c r="B790" s="4">
        <v>0</v>
      </c>
      <c r="C790" s="5">
        <v>0</v>
      </c>
      <c r="D790" s="4">
        <v>0</v>
      </c>
      <c r="E790" s="5">
        <v>0</v>
      </c>
      <c r="F790" s="4">
        <v>0</v>
      </c>
      <c r="G790" s="5">
        <v>0</v>
      </c>
      <c r="H790" s="4">
        <v>0</v>
      </c>
    </row>
    <row r="791" spans="1:8" x14ac:dyDescent="0.2">
      <c r="A791" s="2" t="s">
        <v>82</v>
      </c>
      <c r="B791" s="4">
        <v>0</v>
      </c>
      <c r="C791" s="5">
        <v>0</v>
      </c>
      <c r="D791" s="4">
        <v>0</v>
      </c>
      <c r="E791" s="5">
        <v>0</v>
      </c>
      <c r="F791" s="4">
        <v>0</v>
      </c>
      <c r="G791" s="5">
        <v>0</v>
      </c>
      <c r="H791" s="4">
        <v>0</v>
      </c>
    </row>
    <row r="792" spans="1:8" x14ac:dyDescent="0.2">
      <c r="A792" s="2" t="s">
        <v>83</v>
      </c>
      <c r="B792" s="4">
        <v>1</v>
      </c>
      <c r="C792" s="5">
        <v>1.75</v>
      </c>
      <c r="D792" s="4">
        <v>0</v>
      </c>
      <c r="E792" s="5">
        <v>0</v>
      </c>
      <c r="F792" s="4">
        <v>1</v>
      </c>
      <c r="G792" s="5">
        <v>5.88</v>
      </c>
      <c r="H792" s="4">
        <v>0</v>
      </c>
    </row>
    <row r="793" spans="1:8" x14ac:dyDescent="0.2">
      <c r="A793" s="2" t="s">
        <v>84</v>
      </c>
      <c r="B793" s="4">
        <v>19</v>
      </c>
      <c r="C793" s="5">
        <v>33.33</v>
      </c>
      <c r="D793" s="4">
        <v>13</v>
      </c>
      <c r="E793" s="5">
        <v>34.21</v>
      </c>
      <c r="F793" s="4">
        <v>6</v>
      </c>
      <c r="G793" s="5">
        <v>35.29</v>
      </c>
      <c r="H793" s="4">
        <v>0</v>
      </c>
    </row>
    <row r="794" spans="1:8" x14ac:dyDescent="0.2">
      <c r="A794" s="2" t="s">
        <v>85</v>
      </c>
      <c r="B794" s="4">
        <v>0</v>
      </c>
      <c r="C794" s="5">
        <v>0</v>
      </c>
      <c r="D794" s="4">
        <v>0</v>
      </c>
      <c r="E794" s="5">
        <v>0</v>
      </c>
      <c r="F794" s="4">
        <v>0</v>
      </c>
      <c r="G794" s="5">
        <v>0</v>
      </c>
      <c r="H794" s="4">
        <v>0</v>
      </c>
    </row>
    <row r="795" spans="1:8" x14ac:dyDescent="0.2">
      <c r="A795" s="2" t="s">
        <v>86</v>
      </c>
      <c r="B795" s="4">
        <v>0</v>
      </c>
      <c r="C795" s="5">
        <v>0</v>
      </c>
      <c r="D795" s="4">
        <v>0</v>
      </c>
      <c r="E795" s="5">
        <v>0</v>
      </c>
      <c r="F795" s="4">
        <v>0</v>
      </c>
      <c r="G795" s="5">
        <v>0</v>
      </c>
      <c r="H795" s="4">
        <v>0</v>
      </c>
    </row>
    <row r="796" spans="1:8" x14ac:dyDescent="0.2">
      <c r="A796" s="2" t="s">
        <v>87</v>
      </c>
      <c r="B796" s="4">
        <v>0</v>
      </c>
      <c r="C796" s="5">
        <v>0</v>
      </c>
      <c r="D796" s="4">
        <v>0</v>
      </c>
      <c r="E796" s="5">
        <v>0</v>
      </c>
      <c r="F796" s="4">
        <v>0</v>
      </c>
      <c r="G796" s="5">
        <v>0</v>
      </c>
      <c r="H796" s="4">
        <v>0</v>
      </c>
    </row>
    <row r="797" spans="1:8" x14ac:dyDescent="0.2">
      <c r="A797" s="2" t="s">
        <v>88</v>
      </c>
      <c r="B797" s="4">
        <v>7</v>
      </c>
      <c r="C797" s="5">
        <v>12.28</v>
      </c>
      <c r="D797" s="4">
        <v>5</v>
      </c>
      <c r="E797" s="5">
        <v>13.16</v>
      </c>
      <c r="F797" s="4">
        <v>2</v>
      </c>
      <c r="G797" s="5">
        <v>11.76</v>
      </c>
      <c r="H797" s="4">
        <v>0</v>
      </c>
    </row>
    <row r="798" spans="1:8" x14ac:dyDescent="0.2">
      <c r="A798" s="2" t="s">
        <v>89</v>
      </c>
      <c r="B798" s="4">
        <v>4</v>
      </c>
      <c r="C798" s="5">
        <v>7.02</v>
      </c>
      <c r="D798" s="4">
        <v>4</v>
      </c>
      <c r="E798" s="5">
        <v>10.53</v>
      </c>
      <c r="F798" s="4">
        <v>0</v>
      </c>
      <c r="G798" s="5">
        <v>0</v>
      </c>
      <c r="H798" s="4">
        <v>0</v>
      </c>
    </row>
    <row r="799" spans="1:8" x14ac:dyDescent="0.2">
      <c r="A799" s="2" t="s">
        <v>90</v>
      </c>
      <c r="B799" s="4">
        <v>1</v>
      </c>
      <c r="C799" s="5">
        <v>1.75</v>
      </c>
      <c r="D799" s="4">
        <v>1</v>
      </c>
      <c r="E799" s="5">
        <v>2.63</v>
      </c>
      <c r="F799" s="4">
        <v>0</v>
      </c>
      <c r="G799" s="5">
        <v>0</v>
      </c>
      <c r="H799" s="4">
        <v>0</v>
      </c>
    </row>
    <row r="800" spans="1:8" x14ac:dyDescent="0.2">
      <c r="A800" s="2" t="s">
        <v>91</v>
      </c>
      <c r="B800" s="4">
        <v>3</v>
      </c>
      <c r="C800" s="5">
        <v>5.26</v>
      </c>
      <c r="D800" s="4">
        <v>2</v>
      </c>
      <c r="E800" s="5">
        <v>5.26</v>
      </c>
      <c r="F800" s="4">
        <v>0</v>
      </c>
      <c r="G800" s="5">
        <v>0</v>
      </c>
      <c r="H800" s="4">
        <v>0</v>
      </c>
    </row>
    <row r="801" spans="1:8" x14ac:dyDescent="0.2">
      <c r="A801" s="2" t="s">
        <v>92</v>
      </c>
      <c r="B801" s="4">
        <v>1</v>
      </c>
      <c r="C801" s="5">
        <v>1.75</v>
      </c>
      <c r="D801" s="4">
        <v>0</v>
      </c>
      <c r="E801" s="5">
        <v>0</v>
      </c>
      <c r="F801" s="4">
        <v>0</v>
      </c>
      <c r="G801" s="5">
        <v>0</v>
      </c>
      <c r="H801" s="4">
        <v>0</v>
      </c>
    </row>
    <row r="802" spans="1:8" x14ac:dyDescent="0.2">
      <c r="A802" s="1" t="s">
        <v>50</v>
      </c>
      <c r="B802" s="4">
        <v>184</v>
      </c>
      <c r="C802" s="5">
        <v>99.990000000000009</v>
      </c>
      <c r="D802" s="4">
        <v>126</v>
      </c>
      <c r="E802" s="5">
        <v>100</v>
      </c>
      <c r="F802" s="4">
        <v>55</v>
      </c>
      <c r="G802" s="5">
        <v>100.01</v>
      </c>
      <c r="H802" s="4">
        <v>1</v>
      </c>
    </row>
    <row r="803" spans="1:8" x14ac:dyDescent="0.2">
      <c r="A803" s="2" t="s">
        <v>78</v>
      </c>
      <c r="B803" s="4">
        <v>0</v>
      </c>
      <c r="C803" s="5">
        <v>0</v>
      </c>
      <c r="D803" s="4">
        <v>0</v>
      </c>
      <c r="E803" s="5">
        <v>0</v>
      </c>
      <c r="F803" s="4">
        <v>0</v>
      </c>
      <c r="G803" s="5">
        <v>0</v>
      </c>
      <c r="H803" s="4">
        <v>0</v>
      </c>
    </row>
    <row r="804" spans="1:8" x14ac:dyDescent="0.2">
      <c r="A804" s="2" t="s">
        <v>79</v>
      </c>
      <c r="B804" s="4">
        <v>54</v>
      </c>
      <c r="C804" s="5">
        <v>29.35</v>
      </c>
      <c r="D804" s="4">
        <v>34</v>
      </c>
      <c r="E804" s="5">
        <v>26.98</v>
      </c>
      <c r="F804" s="4">
        <v>20</v>
      </c>
      <c r="G804" s="5">
        <v>36.36</v>
      </c>
      <c r="H804" s="4">
        <v>0</v>
      </c>
    </row>
    <row r="805" spans="1:8" x14ac:dyDescent="0.2">
      <c r="A805" s="2" t="s">
        <v>80</v>
      </c>
      <c r="B805" s="4">
        <v>24</v>
      </c>
      <c r="C805" s="5">
        <v>13.04</v>
      </c>
      <c r="D805" s="4">
        <v>13</v>
      </c>
      <c r="E805" s="5">
        <v>10.32</v>
      </c>
      <c r="F805" s="4">
        <v>11</v>
      </c>
      <c r="G805" s="5">
        <v>20</v>
      </c>
      <c r="H805" s="4">
        <v>0</v>
      </c>
    </row>
    <row r="806" spans="1:8" x14ac:dyDescent="0.2">
      <c r="A806" s="2" t="s">
        <v>81</v>
      </c>
      <c r="B806" s="4">
        <v>1</v>
      </c>
      <c r="C806" s="5">
        <v>0.54</v>
      </c>
      <c r="D806" s="4">
        <v>0</v>
      </c>
      <c r="E806" s="5">
        <v>0</v>
      </c>
      <c r="F806" s="4">
        <v>1</v>
      </c>
      <c r="G806" s="5">
        <v>1.82</v>
      </c>
      <c r="H806" s="4">
        <v>0</v>
      </c>
    </row>
    <row r="807" spans="1:8" x14ac:dyDescent="0.2">
      <c r="A807" s="2" t="s">
        <v>82</v>
      </c>
      <c r="B807" s="4">
        <v>1</v>
      </c>
      <c r="C807" s="5">
        <v>0.54</v>
      </c>
      <c r="D807" s="4">
        <v>1</v>
      </c>
      <c r="E807" s="5">
        <v>0.79</v>
      </c>
      <c r="F807" s="4">
        <v>0</v>
      </c>
      <c r="G807" s="5">
        <v>0</v>
      </c>
      <c r="H807" s="4">
        <v>0</v>
      </c>
    </row>
    <row r="808" spans="1:8" x14ac:dyDescent="0.2">
      <c r="A808" s="2" t="s">
        <v>83</v>
      </c>
      <c r="B808" s="4">
        <v>0</v>
      </c>
      <c r="C808" s="5">
        <v>0</v>
      </c>
      <c r="D808" s="4">
        <v>0</v>
      </c>
      <c r="E808" s="5">
        <v>0</v>
      </c>
      <c r="F808" s="4">
        <v>0</v>
      </c>
      <c r="G808" s="5">
        <v>0</v>
      </c>
      <c r="H808" s="4">
        <v>0</v>
      </c>
    </row>
    <row r="809" spans="1:8" x14ac:dyDescent="0.2">
      <c r="A809" s="2" t="s">
        <v>84</v>
      </c>
      <c r="B809" s="4">
        <v>38</v>
      </c>
      <c r="C809" s="5">
        <v>20.65</v>
      </c>
      <c r="D809" s="4">
        <v>31</v>
      </c>
      <c r="E809" s="5">
        <v>24.6</v>
      </c>
      <c r="F809" s="4">
        <v>7</v>
      </c>
      <c r="G809" s="5">
        <v>12.73</v>
      </c>
      <c r="H809" s="4">
        <v>0</v>
      </c>
    </row>
    <row r="810" spans="1:8" x14ac:dyDescent="0.2">
      <c r="A810" s="2" t="s">
        <v>85</v>
      </c>
      <c r="B810" s="4">
        <v>0</v>
      </c>
      <c r="C810" s="5">
        <v>0</v>
      </c>
      <c r="D810" s="4">
        <v>0</v>
      </c>
      <c r="E810" s="5">
        <v>0</v>
      </c>
      <c r="F810" s="4">
        <v>0</v>
      </c>
      <c r="G810" s="5">
        <v>0</v>
      </c>
      <c r="H810" s="4">
        <v>0</v>
      </c>
    </row>
    <row r="811" spans="1:8" x14ac:dyDescent="0.2">
      <c r="A811" s="2" t="s">
        <v>86</v>
      </c>
      <c r="B811" s="4">
        <v>5</v>
      </c>
      <c r="C811" s="5">
        <v>2.72</v>
      </c>
      <c r="D811" s="4">
        <v>5</v>
      </c>
      <c r="E811" s="5">
        <v>3.97</v>
      </c>
      <c r="F811" s="4">
        <v>0</v>
      </c>
      <c r="G811" s="5">
        <v>0</v>
      </c>
      <c r="H811" s="4">
        <v>0</v>
      </c>
    </row>
    <row r="812" spans="1:8" x14ac:dyDescent="0.2">
      <c r="A812" s="2" t="s">
        <v>87</v>
      </c>
      <c r="B812" s="4">
        <v>7</v>
      </c>
      <c r="C812" s="5">
        <v>3.8</v>
      </c>
      <c r="D812" s="4">
        <v>5</v>
      </c>
      <c r="E812" s="5">
        <v>3.97</v>
      </c>
      <c r="F812" s="4">
        <v>2</v>
      </c>
      <c r="G812" s="5">
        <v>3.64</v>
      </c>
      <c r="H812" s="4">
        <v>0</v>
      </c>
    </row>
    <row r="813" spans="1:8" x14ac:dyDescent="0.2">
      <c r="A813" s="2" t="s">
        <v>88</v>
      </c>
      <c r="B813" s="4">
        <v>14</v>
      </c>
      <c r="C813" s="5">
        <v>7.61</v>
      </c>
      <c r="D813" s="4">
        <v>12</v>
      </c>
      <c r="E813" s="5">
        <v>9.52</v>
      </c>
      <c r="F813" s="4">
        <v>2</v>
      </c>
      <c r="G813" s="5">
        <v>3.64</v>
      </c>
      <c r="H813" s="4">
        <v>0</v>
      </c>
    </row>
    <row r="814" spans="1:8" x14ac:dyDescent="0.2">
      <c r="A814" s="2" t="s">
        <v>89</v>
      </c>
      <c r="B814" s="4">
        <v>15</v>
      </c>
      <c r="C814" s="5">
        <v>8.15</v>
      </c>
      <c r="D814" s="4">
        <v>13</v>
      </c>
      <c r="E814" s="5">
        <v>10.32</v>
      </c>
      <c r="F814" s="4">
        <v>2</v>
      </c>
      <c r="G814" s="5">
        <v>3.64</v>
      </c>
      <c r="H814" s="4">
        <v>0</v>
      </c>
    </row>
    <row r="815" spans="1:8" x14ac:dyDescent="0.2">
      <c r="A815" s="2" t="s">
        <v>90</v>
      </c>
      <c r="B815" s="4">
        <v>5</v>
      </c>
      <c r="C815" s="5">
        <v>2.72</v>
      </c>
      <c r="D815" s="4">
        <v>3</v>
      </c>
      <c r="E815" s="5">
        <v>2.38</v>
      </c>
      <c r="F815" s="4">
        <v>0</v>
      </c>
      <c r="G815" s="5">
        <v>0</v>
      </c>
      <c r="H815" s="4">
        <v>1</v>
      </c>
    </row>
    <row r="816" spans="1:8" x14ac:dyDescent="0.2">
      <c r="A816" s="2" t="s">
        <v>91</v>
      </c>
      <c r="B816" s="4">
        <v>15</v>
      </c>
      <c r="C816" s="5">
        <v>8.15</v>
      </c>
      <c r="D816" s="4">
        <v>7</v>
      </c>
      <c r="E816" s="5">
        <v>5.56</v>
      </c>
      <c r="F816" s="4">
        <v>7</v>
      </c>
      <c r="G816" s="5">
        <v>12.73</v>
      </c>
      <c r="H816" s="4">
        <v>0</v>
      </c>
    </row>
    <row r="817" spans="1:8" x14ac:dyDescent="0.2">
      <c r="A817" s="2" t="s">
        <v>92</v>
      </c>
      <c r="B817" s="4">
        <v>5</v>
      </c>
      <c r="C817" s="5">
        <v>2.72</v>
      </c>
      <c r="D817" s="4">
        <v>2</v>
      </c>
      <c r="E817" s="5">
        <v>1.59</v>
      </c>
      <c r="F817" s="4">
        <v>3</v>
      </c>
      <c r="G817" s="5">
        <v>5.45</v>
      </c>
      <c r="H817" s="4">
        <v>0</v>
      </c>
    </row>
    <row r="818" spans="1:8" x14ac:dyDescent="0.2">
      <c r="A818" s="1" t="s">
        <v>51</v>
      </c>
      <c r="B818" s="4">
        <v>152</v>
      </c>
      <c r="C818" s="5">
        <v>100.00999999999999</v>
      </c>
      <c r="D818" s="4">
        <v>86</v>
      </c>
      <c r="E818" s="5">
        <v>100</v>
      </c>
      <c r="F818" s="4">
        <v>60</v>
      </c>
      <c r="G818" s="5">
        <v>100.01</v>
      </c>
      <c r="H818" s="4">
        <v>0</v>
      </c>
    </row>
    <row r="819" spans="1:8" x14ac:dyDescent="0.2">
      <c r="A819" s="2" t="s">
        <v>78</v>
      </c>
      <c r="B819" s="4">
        <v>0</v>
      </c>
      <c r="C819" s="5">
        <v>0</v>
      </c>
      <c r="D819" s="4">
        <v>0</v>
      </c>
      <c r="E819" s="5">
        <v>0</v>
      </c>
      <c r="F819" s="4">
        <v>0</v>
      </c>
      <c r="G819" s="5">
        <v>0</v>
      </c>
      <c r="H819" s="4">
        <v>0</v>
      </c>
    </row>
    <row r="820" spans="1:8" x14ac:dyDescent="0.2">
      <c r="A820" s="2" t="s">
        <v>79</v>
      </c>
      <c r="B820" s="4">
        <v>44</v>
      </c>
      <c r="C820" s="5">
        <v>28.95</v>
      </c>
      <c r="D820" s="4">
        <v>26</v>
      </c>
      <c r="E820" s="5">
        <v>30.23</v>
      </c>
      <c r="F820" s="4">
        <v>18</v>
      </c>
      <c r="G820" s="5">
        <v>30</v>
      </c>
      <c r="H820" s="4">
        <v>0</v>
      </c>
    </row>
    <row r="821" spans="1:8" x14ac:dyDescent="0.2">
      <c r="A821" s="2" t="s">
        <v>80</v>
      </c>
      <c r="B821" s="4">
        <v>23</v>
      </c>
      <c r="C821" s="5">
        <v>15.13</v>
      </c>
      <c r="D821" s="4">
        <v>8</v>
      </c>
      <c r="E821" s="5">
        <v>9.3000000000000007</v>
      </c>
      <c r="F821" s="4">
        <v>15</v>
      </c>
      <c r="G821" s="5">
        <v>25</v>
      </c>
      <c r="H821" s="4">
        <v>0</v>
      </c>
    </row>
    <row r="822" spans="1:8" x14ac:dyDescent="0.2">
      <c r="A822" s="2" t="s">
        <v>81</v>
      </c>
      <c r="B822" s="4">
        <v>2</v>
      </c>
      <c r="C822" s="5">
        <v>1.32</v>
      </c>
      <c r="D822" s="4">
        <v>0</v>
      </c>
      <c r="E822" s="5">
        <v>0</v>
      </c>
      <c r="F822" s="4">
        <v>1</v>
      </c>
      <c r="G822" s="5">
        <v>1.67</v>
      </c>
      <c r="H822" s="4">
        <v>0</v>
      </c>
    </row>
    <row r="823" spans="1:8" x14ac:dyDescent="0.2">
      <c r="A823" s="2" t="s">
        <v>82</v>
      </c>
      <c r="B823" s="4">
        <v>0</v>
      </c>
      <c r="C823" s="5">
        <v>0</v>
      </c>
      <c r="D823" s="4">
        <v>0</v>
      </c>
      <c r="E823" s="5">
        <v>0</v>
      </c>
      <c r="F823" s="4">
        <v>0</v>
      </c>
      <c r="G823" s="5">
        <v>0</v>
      </c>
      <c r="H823" s="4">
        <v>0</v>
      </c>
    </row>
    <row r="824" spans="1:8" x14ac:dyDescent="0.2">
      <c r="A824" s="2" t="s">
        <v>83</v>
      </c>
      <c r="B824" s="4">
        <v>1</v>
      </c>
      <c r="C824" s="5">
        <v>0.66</v>
      </c>
      <c r="D824" s="4">
        <v>0</v>
      </c>
      <c r="E824" s="5">
        <v>0</v>
      </c>
      <c r="F824" s="4">
        <v>1</v>
      </c>
      <c r="G824" s="5">
        <v>1.67</v>
      </c>
      <c r="H824" s="4">
        <v>0</v>
      </c>
    </row>
    <row r="825" spans="1:8" x14ac:dyDescent="0.2">
      <c r="A825" s="2" t="s">
        <v>84</v>
      </c>
      <c r="B825" s="4">
        <v>22</v>
      </c>
      <c r="C825" s="5">
        <v>14.47</v>
      </c>
      <c r="D825" s="4">
        <v>10</v>
      </c>
      <c r="E825" s="5">
        <v>11.63</v>
      </c>
      <c r="F825" s="4">
        <v>12</v>
      </c>
      <c r="G825" s="5">
        <v>20</v>
      </c>
      <c r="H825" s="4">
        <v>0</v>
      </c>
    </row>
    <row r="826" spans="1:8" x14ac:dyDescent="0.2">
      <c r="A826" s="2" t="s">
        <v>85</v>
      </c>
      <c r="B826" s="4">
        <v>0</v>
      </c>
      <c r="C826" s="5">
        <v>0</v>
      </c>
      <c r="D826" s="4">
        <v>0</v>
      </c>
      <c r="E826" s="5">
        <v>0</v>
      </c>
      <c r="F826" s="4">
        <v>0</v>
      </c>
      <c r="G826" s="5">
        <v>0</v>
      </c>
      <c r="H826" s="4">
        <v>0</v>
      </c>
    </row>
    <row r="827" spans="1:8" x14ac:dyDescent="0.2">
      <c r="A827" s="2" t="s">
        <v>86</v>
      </c>
      <c r="B827" s="4">
        <v>5</v>
      </c>
      <c r="C827" s="5">
        <v>3.29</v>
      </c>
      <c r="D827" s="4">
        <v>1</v>
      </c>
      <c r="E827" s="5">
        <v>1.1599999999999999</v>
      </c>
      <c r="F827" s="4">
        <v>4</v>
      </c>
      <c r="G827" s="5">
        <v>6.67</v>
      </c>
      <c r="H827" s="4">
        <v>0</v>
      </c>
    </row>
    <row r="828" spans="1:8" x14ac:dyDescent="0.2">
      <c r="A828" s="2" t="s">
        <v>87</v>
      </c>
      <c r="B828" s="4">
        <v>9</v>
      </c>
      <c r="C828" s="5">
        <v>5.92</v>
      </c>
      <c r="D828" s="4">
        <v>6</v>
      </c>
      <c r="E828" s="5">
        <v>6.98</v>
      </c>
      <c r="F828" s="4">
        <v>2</v>
      </c>
      <c r="G828" s="5">
        <v>3.33</v>
      </c>
      <c r="H828" s="4">
        <v>0</v>
      </c>
    </row>
    <row r="829" spans="1:8" x14ac:dyDescent="0.2">
      <c r="A829" s="2" t="s">
        <v>88</v>
      </c>
      <c r="B829" s="4">
        <v>13</v>
      </c>
      <c r="C829" s="5">
        <v>8.5500000000000007</v>
      </c>
      <c r="D829" s="4">
        <v>13</v>
      </c>
      <c r="E829" s="5">
        <v>15.12</v>
      </c>
      <c r="F829" s="4">
        <v>0</v>
      </c>
      <c r="G829" s="5">
        <v>0</v>
      </c>
      <c r="H829" s="4">
        <v>0</v>
      </c>
    </row>
    <row r="830" spans="1:8" x14ac:dyDescent="0.2">
      <c r="A830" s="2" t="s">
        <v>89</v>
      </c>
      <c r="B830" s="4">
        <v>11</v>
      </c>
      <c r="C830" s="5">
        <v>7.24</v>
      </c>
      <c r="D830" s="4">
        <v>9</v>
      </c>
      <c r="E830" s="5">
        <v>10.47</v>
      </c>
      <c r="F830" s="4">
        <v>2</v>
      </c>
      <c r="G830" s="5">
        <v>3.33</v>
      </c>
      <c r="H830" s="4">
        <v>0</v>
      </c>
    </row>
    <row r="831" spans="1:8" x14ac:dyDescent="0.2">
      <c r="A831" s="2" t="s">
        <v>90</v>
      </c>
      <c r="B831" s="4">
        <v>6</v>
      </c>
      <c r="C831" s="5">
        <v>3.95</v>
      </c>
      <c r="D831" s="4">
        <v>5</v>
      </c>
      <c r="E831" s="5">
        <v>5.81</v>
      </c>
      <c r="F831" s="4">
        <v>0</v>
      </c>
      <c r="G831" s="5">
        <v>0</v>
      </c>
      <c r="H831" s="4">
        <v>0</v>
      </c>
    </row>
    <row r="832" spans="1:8" x14ac:dyDescent="0.2">
      <c r="A832" s="2" t="s">
        <v>91</v>
      </c>
      <c r="B832" s="4">
        <v>10</v>
      </c>
      <c r="C832" s="5">
        <v>6.58</v>
      </c>
      <c r="D832" s="4">
        <v>7</v>
      </c>
      <c r="E832" s="5">
        <v>8.14</v>
      </c>
      <c r="F832" s="4">
        <v>1</v>
      </c>
      <c r="G832" s="5">
        <v>1.67</v>
      </c>
      <c r="H832" s="4">
        <v>0</v>
      </c>
    </row>
    <row r="833" spans="1:8" x14ac:dyDescent="0.2">
      <c r="A833" s="2" t="s">
        <v>92</v>
      </c>
      <c r="B833" s="4">
        <v>6</v>
      </c>
      <c r="C833" s="5">
        <v>3.95</v>
      </c>
      <c r="D833" s="4">
        <v>1</v>
      </c>
      <c r="E833" s="5">
        <v>1.1599999999999999</v>
      </c>
      <c r="F833" s="4">
        <v>4</v>
      </c>
      <c r="G833" s="5">
        <v>6.67</v>
      </c>
      <c r="H833" s="4">
        <v>0</v>
      </c>
    </row>
    <row r="834" spans="1:8" x14ac:dyDescent="0.2">
      <c r="A834" s="1" t="s">
        <v>52</v>
      </c>
      <c r="B834" s="4">
        <v>55</v>
      </c>
      <c r="C834" s="5">
        <v>100.02</v>
      </c>
      <c r="D834" s="4">
        <v>38</v>
      </c>
      <c r="E834" s="5">
        <v>100.00000000000001</v>
      </c>
      <c r="F834" s="4">
        <v>10</v>
      </c>
      <c r="G834" s="5">
        <v>100</v>
      </c>
      <c r="H834" s="4">
        <v>1</v>
      </c>
    </row>
    <row r="835" spans="1:8" x14ac:dyDescent="0.2">
      <c r="A835" s="2" t="s">
        <v>78</v>
      </c>
      <c r="B835" s="4">
        <v>1</v>
      </c>
      <c r="C835" s="5">
        <v>1.82</v>
      </c>
      <c r="D835" s="4">
        <v>0</v>
      </c>
      <c r="E835" s="5">
        <v>0</v>
      </c>
      <c r="F835" s="4">
        <v>1</v>
      </c>
      <c r="G835" s="5">
        <v>10</v>
      </c>
      <c r="H835" s="4">
        <v>0</v>
      </c>
    </row>
    <row r="836" spans="1:8" x14ac:dyDescent="0.2">
      <c r="A836" s="2" t="s">
        <v>79</v>
      </c>
      <c r="B836" s="4">
        <v>1</v>
      </c>
      <c r="C836" s="5">
        <v>1.82</v>
      </c>
      <c r="D836" s="4">
        <v>0</v>
      </c>
      <c r="E836" s="5">
        <v>0</v>
      </c>
      <c r="F836" s="4">
        <v>1</v>
      </c>
      <c r="G836" s="5">
        <v>10</v>
      </c>
      <c r="H836" s="4">
        <v>0</v>
      </c>
    </row>
    <row r="837" spans="1:8" x14ac:dyDescent="0.2">
      <c r="A837" s="2" t="s">
        <v>80</v>
      </c>
      <c r="B837" s="4">
        <v>8</v>
      </c>
      <c r="C837" s="5">
        <v>14.55</v>
      </c>
      <c r="D837" s="4">
        <v>5</v>
      </c>
      <c r="E837" s="5">
        <v>13.16</v>
      </c>
      <c r="F837" s="4">
        <v>3</v>
      </c>
      <c r="G837" s="5">
        <v>30</v>
      </c>
      <c r="H837" s="4">
        <v>0</v>
      </c>
    </row>
    <row r="838" spans="1:8" x14ac:dyDescent="0.2">
      <c r="A838" s="2" t="s">
        <v>81</v>
      </c>
      <c r="B838" s="4">
        <v>1</v>
      </c>
      <c r="C838" s="5">
        <v>1.82</v>
      </c>
      <c r="D838" s="4">
        <v>0</v>
      </c>
      <c r="E838" s="5">
        <v>0</v>
      </c>
      <c r="F838" s="4">
        <v>0</v>
      </c>
      <c r="G838" s="5">
        <v>0</v>
      </c>
      <c r="H838" s="4">
        <v>0</v>
      </c>
    </row>
    <row r="839" spans="1:8" x14ac:dyDescent="0.2">
      <c r="A839" s="2" t="s">
        <v>82</v>
      </c>
      <c r="B839" s="4">
        <v>0</v>
      </c>
      <c r="C839" s="5">
        <v>0</v>
      </c>
      <c r="D839" s="4">
        <v>0</v>
      </c>
      <c r="E839" s="5">
        <v>0</v>
      </c>
      <c r="F839" s="4">
        <v>0</v>
      </c>
      <c r="G839" s="5">
        <v>0</v>
      </c>
      <c r="H839" s="4">
        <v>0</v>
      </c>
    </row>
    <row r="840" spans="1:8" x14ac:dyDescent="0.2">
      <c r="A840" s="2" t="s">
        <v>83</v>
      </c>
      <c r="B840" s="4">
        <v>1</v>
      </c>
      <c r="C840" s="5">
        <v>1.82</v>
      </c>
      <c r="D840" s="4">
        <v>0</v>
      </c>
      <c r="E840" s="5">
        <v>0</v>
      </c>
      <c r="F840" s="4">
        <v>0</v>
      </c>
      <c r="G840" s="5">
        <v>0</v>
      </c>
      <c r="H840" s="4">
        <v>1</v>
      </c>
    </row>
    <row r="841" spans="1:8" x14ac:dyDescent="0.2">
      <c r="A841" s="2" t="s">
        <v>84</v>
      </c>
      <c r="B841" s="4">
        <v>13</v>
      </c>
      <c r="C841" s="5">
        <v>23.64</v>
      </c>
      <c r="D841" s="4">
        <v>10</v>
      </c>
      <c r="E841" s="5">
        <v>26.32</v>
      </c>
      <c r="F841" s="4">
        <v>3</v>
      </c>
      <c r="G841" s="5">
        <v>30</v>
      </c>
      <c r="H841" s="4">
        <v>0</v>
      </c>
    </row>
    <row r="842" spans="1:8" x14ac:dyDescent="0.2">
      <c r="A842" s="2" t="s">
        <v>85</v>
      </c>
      <c r="B842" s="4">
        <v>0</v>
      </c>
      <c r="C842" s="5">
        <v>0</v>
      </c>
      <c r="D842" s="4">
        <v>0</v>
      </c>
      <c r="E842" s="5">
        <v>0</v>
      </c>
      <c r="F842" s="4">
        <v>0</v>
      </c>
      <c r="G842" s="5">
        <v>0</v>
      </c>
      <c r="H842" s="4">
        <v>0</v>
      </c>
    </row>
    <row r="843" spans="1:8" x14ac:dyDescent="0.2">
      <c r="A843" s="2" t="s">
        <v>86</v>
      </c>
      <c r="B843" s="4">
        <v>0</v>
      </c>
      <c r="C843" s="5">
        <v>0</v>
      </c>
      <c r="D843" s="4">
        <v>0</v>
      </c>
      <c r="E843" s="5">
        <v>0</v>
      </c>
      <c r="F843" s="4">
        <v>0</v>
      </c>
      <c r="G843" s="5">
        <v>0</v>
      </c>
      <c r="H843" s="4">
        <v>0</v>
      </c>
    </row>
    <row r="844" spans="1:8" x14ac:dyDescent="0.2">
      <c r="A844" s="2" t="s">
        <v>87</v>
      </c>
      <c r="B844" s="4">
        <v>2</v>
      </c>
      <c r="C844" s="5">
        <v>3.64</v>
      </c>
      <c r="D844" s="4">
        <v>1</v>
      </c>
      <c r="E844" s="5">
        <v>2.63</v>
      </c>
      <c r="F844" s="4">
        <v>0</v>
      </c>
      <c r="G844" s="5">
        <v>0</v>
      </c>
      <c r="H844" s="4">
        <v>0</v>
      </c>
    </row>
    <row r="845" spans="1:8" x14ac:dyDescent="0.2">
      <c r="A845" s="2" t="s">
        <v>88</v>
      </c>
      <c r="B845" s="4">
        <v>19</v>
      </c>
      <c r="C845" s="5">
        <v>34.549999999999997</v>
      </c>
      <c r="D845" s="4">
        <v>17</v>
      </c>
      <c r="E845" s="5">
        <v>44.74</v>
      </c>
      <c r="F845" s="4">
        <v>2</v>
      </c>
      <c r="G845" s="5">
        <v>20</v>
      </c>
      <c r="H845" s="4">
        <v>0</v>
      </c>
    </row>
    <row r="846" spans="1:8" x14ac:dyDescent="0.2">
      <c r="A846" s="2" t="s">
        <v>89</v>
      </c>
      <c r="B846" s="4">
        <v>3</v>
      </c>
      <c r="C846" s="5">
        <v>5.45</v>
      </c>
      <c r="D846" s="4">
        <v>2</v>
      </c>
      <c r="E846" s="5">
        <v>5.26</v>
      </c>
      <c r="F846" s="4">
        <v>0</v>
      </c>
      <c r="G846" s="5">
        <v>0</v>
      </c>
      <c r="H846" s="4">
        <v>0</v>
      </c>
    </row>
    <row r="847" spans="1:8" x14ac:dyDescent="0.2">
      <c r="A847" s="2" t="s">
        <v>90</v>
      </c>
      <c r="B847" s="4">
        <v>3</v>
      </c>
      <c r="C847" s="5">
        <v>5.45</v>
      </c>
      <c r="D847" s="4">
        <v>1</v>
      </c>
      <c r="E847" s="5">
        <v>2.63</v>
      </c>
      <c r="F847" s="4">
        <v>0</v>
      </c>
      <c r="G847" s="5">
        <v>0</v>
      </c>
      <c r="H847" s="4">
        <v>0</v>
      </c>
    </row>
    <row r="848" spans="1:8" x14ac:dyDescent="0.2">
      <c r="A848" s="2" t="s">
        <v>91</v>
      </c>
      <c r="B848" s="4">
        <v>1</v>
      </c>
      <c r="C848" s="5">
        <v>1.82</v>
      </c>
      <c r="D848" s="4">
        <v>0</v>
      </c>
      <c r="E848" s="5">
        <v>0</v>
      </c>
      <c r="F848" s="4">
        <v>0</v>
      </c>
      <c r="G848" s="5">
        <v>0</v>
      </c>
      <c r="H848" s="4">
        <v>0</v>
      </c>
    </row>
    <row r="849" spans="1:8" x14ac:dyDescent="0.2">
      <c r="A849" s="2" t="s">
        <v>92</v>
      </c>
      <c r="B849" s="4">
        <v>2</v>
      </c>
      <c r="C849" s="5">
        <v>3.64</v>
      </c>
      <c r="D849" s="4">
        <v>2</v>
      </c>
      <c r="E849" s="5">
        <v>5.26</v>
      </c>
      <c r="F849" s="4">
        <v>0</v>
      </c>
      <c r="G849" s="5">
        <v>0</v>
      </c>
      <c r="H849" s="4">
        <v>0</v>
      </c>
    </row>
    <row r="850" spans="1:8" x14ac:dyDescent="0.2">
      <c r="A850" s="1" t="s">
        <v>53</v>
      </c>
      <c r="B850" s="4">
        <v>205</v>
      </c>
      <c r="C850" s="5">
        <v>100.00000000000001</v>
      </c>
      <c r="D850" s="4">
        <v>132</v>
      </c>
      <c r="E850" s="5">
        <v>100.01</v>
      </c>
      <c r="F850" s="4">
        <v>67</v>
      </c>
      <c r="G850" s="5">
        <v>100</v>
      </c>
      <c r="H850" s="4">
        <v>1</v>
      </c>
    </row>
    <row r="851" spans="1:8" x14ac:dyDescent="0.2">
      <c r="A851" s="2" t="s">
        <v>78</v>
      </c>
      <c r="B851" s="4">
        <v>1</v>
      </c>
      <c r="C851" s="5">
        <v>0.49</v>
      </c>
      <c r="D851" s="4">
        <v>1</v>
      </c>
      <c r="E851" s="5">
        <v>0.76</v>
      </c>
      <c r="F851" s="4">
        <v>0</v>
      </c>
      <c r="G851" s="5">
        <v>0</v>
      </c>
      <c r="H851" s="4">
        <v>0</v>
      </c>
    </row>
    <row r="852" spans="1:8" x14ac:dyDescent="0.2">
      <c r="A852" s="2" t="s">
        <v>79</v>
      </c>
      <c r="B852" s="4">
        <v>32</v>
      </c>
      <c r="C852" s="5">
        <v>15.61</v>
      </c>
      <c r="D852" s="4">
        <v>17</v>
      </c>
      <c r="E852" s="5">
        <v>12.88</v>
      </c>
      <c r="F852" s="4">
        <v>15</v>
      </c>
      <c r="G852" s="5">
        <v>22.39</v>
      </c>
      <c r="H852" s="4">
        <v>0</v>
      </c>
    </row>
    <row r="853" spans="1:8" x14ac:dyDescent="0.2">
      <c r="A853" s="2" t="s">
        <v>80</v>
      </c>
      <c r="B853" s="4">
        <v>24</v>
      </c>
      <c r="C853" s="5">
        <v>11.71</v>
      </c>
      <c r="D853" s="4">
        <v>11</v>
      </c>
      <c r="E853" s="5">
        <v>8.33</v>
      </c>
      <c r="F853" s="4">
        <v>13</v>
      </c>
      <c r="G853" s="5">
        <v>19.399999999999999</v>
      </c>
      <c r="H853" s="4">
        <v>0</v>
      </c>
    </row>
    <row r="854" spans="1:8" x14ac:dyDescent="0.2">
      <c r="A854" s="2" t="s">
        <v>81</v>
      </c>
      <c r="B854" s="4">
        <v>0</v>
      </c>
      <c r="C854" s="5">
        <v>0</v>
      </c>
      <c r="D854" s="4">
        <v>0</v>
      </c>
      <c r="E854" s="5">
        <v>0</v>
      </c>
      <c r="F854" s="4">
        <v>0</v>
      </c>
      <c r="G854" s="5">
        <v>0</v>
      </c>
      <c r="H854" s="4">
        <v>0</v>
      </c>
    </row>
    <row r="855" spans="1:8" x14ac:dyDescent="0.2">
      <c r="A855" s="2" t="s">
        <v>82</v>
      </c>
      <c r="B855" s="4">
        <v>0</v>
      </c>
      <c r="C855" s="5">
        <v>0</v>
      </c>
      <c r="D855" s="4">
        <v>0</v>
      </c>
      <c r="E855" s="5">
        <v>0</v>
      </c>
      <c r="F855" s="4">
        <v>0</v>
      </c>
      <c r="G855" s="5">
        <v>0</v>
      </c>
      <c r="H855" s="4">
        <v>0</v>
      </c>
    </row>
    <row r="856" spans="1:8" x14ac:dyDescent="0.2">
      <c r="A856" s="2" t="s">
        <v>83</v>
      </c>
      <c r="B856" s="4">
        <v>3</v>
      </c>
      <c r="C856" s="5">
        <v>1.46</v>
      </c>
      <c r="D856" s="4">
        <v>1</v>
      </c>
      <c r="E856" s="5">
        <v>0.76</v>
      </c>
      <c r="F856" s="4">
        <v>1</v>
      </c>
      <c r="G856" s="5">
        <v>1.49</v>
      </c>
      <c r="H856" s="4">
        <v>0</v>
      </c>
    </row>
    <row r="857" spans="1:8" x14ac:dyDescent="0.2">
      <c r="A857" s="2" t="s">
        <v>84</v>
      </c>
      <c r="B857" s="4">
        <v>58</v>
      </c>
      <c r="C857" s="5">
        <v>28.29</v>
      </c>
      <c r="D857" s="4">
        <v>39</v>
      </c>
      <c r="E857" s="5">
        <v>29.55</v>
      </c>
      <c r="F857" s="4">
        <v>19</v>
      </c>
      <c r="G857" s="5">
        <v>28.36</v>
      </c>
      <c r="H857" s="4">
        <v>0</v>
      </c>
    </row>
    <row r="858" spans="1:8" x14ac:dyDescent="0.2">
      <c r="A858" s="2" t="s">
        <v>85</v>
      </c>
      <c r="B858" s="4">
        <v>1</v>
      </c>
      <c r="C858" s="5">
        <v>0.49</v>
      </c>
      <c r="D858" s="4">
        <v>0</v>
      </c>
      <c r="E858" s="5">
        <v>0</v>
      </c>
      <c r="F858" s="4">
        <v>1</v>
      </c>
      <c r="G858" s="5">
        <v>1.49</v>
      </c>
      <c r="H858" s="4">
        <v>0</v>
      </c>
    </row>
    <row r="859" spans="1:8" x14ac:dyDescent="0.2">
      <c r="A859" s="2" t="s">
        <v>86</v>
      </c>
      <c r="B859" s="4">
        <v>17</v>
      </c>
      <c r="C859" s="5">
        <v>8.2899999999999991</v>
      </c>
      <c r="D859" s="4">
        <v>12</v>
      </c>
      <c r="E859" s="5">
        <v>9.09</v>
      </c>
      <c r="F859" s="4">
        <v>5</v>
      </c>
      <c r="G859" s="5">
        <v>7.46</v>
      </c>
      <c r="H859" s="4">
        <v>0</v>
      </c>
    </row>
    <row r="860" spans="1:8" x14ac:dyDescent="0.2">
      <c r="A860" s="2" t="s">
        <v>87</v>
      </c>
      <c r="B860" s="4">
        <v>11</v>
      </c>
      <c r="C860" s="5">
        <v>5.37</v>
      </c>
      <c r="D860" s="4">
        <v>7</v>
      </c>
      <c r="E860" s="5">
        <v>5.3</v>
      </c>
      <c r="F860" s="4">
        <v>3</v>
      </c>
      <c r="G860" s="5">
        <v>4.4800000000000004</v>
      </c>
      <c r="H860" s="4">
        <v>0</v>
      </c>
    </row>
    <row r="861" spans="1:8" x14ac:dyDescent="0.2">
      <c r="A861" s="2" t="s">
        <v>88</v>
      </c>
      <c r="B861" s="4">
        <v>27</v>
      </c>
      <c r="C861" s="5">
        <v>13.17</v>
      </c>
      <c r="D861" s="4">
        <v>21</v>
      </c>
      <c r="E861" s="5">
        <v>15.91</v>
      </c>
      <c r="F861" s="4">
        <v>6</v>
      </c>
      <c r="G861" s="5">
        <v>8.9600000000000009</v>
      </c>
      <c r="H861" s="4">
        <v>0</v>
      </c>
    </row>
    <row r="862" spans="1:8" x14ac:dyDescent="0.2">
      <c r="A862" s="2" t="s">
        <v>89</v>
      </c>
      <c r="B862" s="4">
        <v>17</v>
      </c>
      <c r="C862" s="5">
        <v>8.2899999999999991</v>
      </c>
      <c r="D862" s="4">
        <v>13</v>
      </c>
      <c r="E862" s="5">
        <v>9.85</v>
      </c>
      <c r="F862" s="4">
        <v>3</v>
      </c>
      <c r="G862" s="5">
        <v>4.4800000000000004</v>
      </c>
      <c r="H862" s="4">
        <v>0</v>
      </c>
    </row>
    <row r="863" spans="1:8" x14ac:dyDescent="0.2">
      <c r="A863" s="2" t="s">
        <v>90</v>
      </c>
      <c r="B863" s="4">
        <v>6</v>
      </c>
      <c r="C863" s="5">
        <v>2.93</v>
      </c>
      <c r="D863" s="4">
        <v>5</v>
      </c>
      <c r="E863" s="5">
        <v>3.79</v>
      </c>
      <c r="F863" s="4">
        <v>0</v>
      </c>
      <c r="G863" s="5">
        <v>0</v>
      </c>
      <c r="H863" s="4">
        <v>1</v>
      </c>
    </row>
    <row r="864" spans="1:8" x14ac:dyDescent="0.2">
      <c r="A864" s="2" t="s">
        <v>91</v>
      </c>
      <c r="B864" s="4">
        <v>7</v>
      </c>
      <c r="C864" s="5">
        <v>3.41</v>
      </c>
      <c r="D864" s="4">
        <v>5</v>
      </c>
      <c r="E864" s="5">
        <v>3.79</v>
      </c>
      <c r="F864" s="4">
        <v>1</v>
      </c>
      <c r="G864" s="5">
        <v>1.49</v>
      </c>
      <c r="H864" s="4">
        <v>0</v>
      </c>
    </row>
    <row r="865" spans="1:8" x14ac:dyDescent="0.2">
      <c r="A865" s="2" t="s">
        <v>92</v>
      </c>
      <c r="B865" s="4">
        <v>1</v>
      </c>
      <c r="C865" s="5">
        <v>0.49</v>
      </c>
      <c r="D865" s="4">
        <v>0</v>
      </c>
      <c r="E865" s="5">
        <v>0</v>
      </c>
      <c r="F865" s="4">
        <v>0</v>
      </c>
      <c r="G865" s="5">
        <v>0</v>
      </c>
      <c r="H865" s="4">
        <v>0</v>
      </c>
    </row>
    <row r="866" spans="1:8" x14ac:dyDescent="0.2">
      <c r="A866" s="1" t="s">
        <v>54</v>
      </c>
      <c r="B866" s="4">
        <v>220</v>
      </c>
      <c r="C866" s="5">
        <v>99.98</v>
      </c>
      <c r="D866" s="4">
        <v>153</v>
      </c>
      <c r="E866" s="5">
        <v>99.999999999999986</v>
      </c>
      <c r="F866" s="4">
        <v>65</v>
      </c>
      <c r="G866" s="5">
        <v>100.02000000000001</v>
      </c>
      <c r="H866" s="4">
        <v>2</v>
      </c>
    </row>
    <row r="867" spans="1:8" x14ac:dyDescent="0.2">
      <c r="A867" s="2" t="s">
        <v>78</v>
      </c>
      <c r="B867" s="4">
        <v>0</v>
      </c>
      <c r="C867" s="5">
        <v>0</v>
      </c>
      <c r="D867" s="4">
        <v>0</v>
      </c>
      <c r="E867" s="5">
        <v>0</v>
      </c>
      <c r="F867" s="4">
        <v>0</v>
      </c>
      <c r="G867" s="5">
        <v>0</v>
      </c>
      <c r="H867" s="4">
        <v>0</v>
      </c>
    </row>
    <row r="868" spans="1:8" x14ac:dyDescent="0.2">
      <c r="A868" s="2" t="s">
        <v>79</v>
      </c>
      <c r="B868" s="4">
        <v>40</v>
      </c>
      <c r="C868" s="5">
        <v>18.18</v>
      </c>
      <c r="D868" s="4">
        <v>19</v>
      </c>
      <c r="E868" s="5">
        <v>12.42</v>
      </c>
      <c r="F868" s="4">
        <v>21</v>
      </c>
      <c r="G868" s="5">
        <v>32.31</v>
      </c>
      <c r="H868" s="4">
        <v>0</v>
      </c>
    </row>
    <row r="869" spans="1:8" x14ac:dyDescent="0.2">
      <c r="A869" s="2" t="s">
        <v>80</v>
      </c>
      <c r="B869" s="4">
        <v>40</v>
      </c>
      <c r="C869" s="5">
        <v>18.18</v>
      </c>
      <c r="D869" s="4">
        <v>24</v>
      </c>
      <c r="E869" s="5">
        <v>15.69</v>
      </c>
      <c r="F869" s="4">
        <v>15</v>
      </c>
      <c r="G869" s="5">
        <v>23.08</v>
      </c>
      <c r="H869" s="4">
        <v>1</v>
      </c>
    </row>
    <row r="870" spans="1:8" x14ac:dyDescent="0.2">
      <c r="A870" s="2" t="s">
        <v>81</v>
      </c>
      <c r="B870" s="4">
        <v>1</v>
      </c>
      <c r="C870" s="5">
        <v>0.45</v>
      </c>
      <c r="D870" s="4">
        <v>0</v>
      </c>
      <c r="E870" s="5">
        <v>0</v>
      </c>
      <c r="F870" s="4">
        <v>1</v>
      </c>
      <c r="G870" s="5">
        <v>1.54</v>
      </c>
      <c r="H870" s="4">
        <v>0</v>
      </c>
    </row>
    <row r="871" spans="1:8" x14ac:dyDescent="0.2">
      <c r="A871" s="2" t="s">
        <v>82</v>
      </c>
      <c r="B871" s="4">
        <v>1</v>
      </c>
      <c r="C871" s="5">
        <v>0.45</v>
      </c>
      <c r="D871" s="4">
        <v>1</v>
      </c>
      <c r="E871" s="5">
        <v>0.65</v>
      </c>
      <c r="F871" s="4">
        <v>0</v>
      </c>
      <c r="G871" s="5">
        <v>0</v>
      </c>
      <c r="H871" s="4">
        <v>0</v>
      </c>
    </row>
    <row r="872" spans="1:8" x14ac:dyDescent="0.2">
      <c r="A872" s="2" t="s">
        <v>83</v>
      </c>
      <c r="B872" s="4">
        <v>4</v>
      </c>
      <c r="C872" s="5">
        <v>1.82</v>
      </c>
      <c r="D872" s="4">
        <v>1</v>
      </c>
      <c r="E872" s="5">
        <v>0.65</v>
      </c>
      <c r="F872" s="4">
        <v>2</v>
      </c>
      <c r="G872" s="5">
        <v>3.08</v>
      </c>
      <c r="H872" s="4">
        <v>1</v>
      </c>
    </row>
    <row r="873" spans="1:8" x14ac:dyDescent="0.2">
      <c r="A873" s="2" t="s">
        <v>84</v>
      </c>
      <c r="B873" s="4">
        <v>61</v>
      </c>
      <c r="C873" s="5">
        <v>27.73</v>
      </c>
      <c r="D873" s="4">
        <v>48</v>
      </c>
      <c r="E873" s="5">
        <v>31.37</v>
      </c>
      <c r="F873" s="4">
        <v>13</v>
      </c>
      <c r="G873" s="5">
        <v>20</v>
      </c>
      <c r="H873" s="4">
        <v>0</v>
      </c>
    </row>
    <row r="874" spans="1:8" x14ac:dyDescent="0.2">
      <c r="A874" s="2" t="s">
        <v>85</v>
      </c>
      <c r="B874" s="4">
        <v>1</v>
      </c>
      <c r="C874" s="5">
        <v>0.45</v>
      </c>
      <c r="D874" s="4">
        <v>0</v>
      </c>
      <c r="E874" s="5">
        <v>0</v>
      </c>
      <c r="F874" s="4">
        <v>1</v>
      </c>
      <c r="G874" s="5">
        <v>1.54</v>
      </c>
      <c r="H874" s="4">
        <v>0</v>
      </c>
    </row>
    <row r="875" spans="1:8" x14ac:dyDescent="0.2">
      <c r="A875" s="2" t="s">
        <v>86</v>
      </c>
      <c r="B875" s="4">
        <v>5</v>
      </c>
      <c r="C875" s="5">
        <v>2.27</v>
      </c>
      <c r="D875" s="4">
        <v>2</v>
      </c>
      <c r="E875" s="5">
        <v>1.31</v>
      </c>
      <c r="F875" s="4">
        <v>3</v>
      </c>
      <c r="G875" s="5">
        <v>4.62</v>
      </c>
      <c r="H875" s="4">
        <v>0</v>
      </c>
    </row>
    <row r="876" spans="1:8" x14ac:dyDescent="0.2">
      <c r="A876" s="2" t="s">
        <v>87</v>
      </c>
      <c r="B876" s="4">
        <v>7</v>
      </c>
      <c r="C876" s="5">
        <v>3.18</v>
      </c>
      <c r="D876" s="4">
        <v>7</v>
      </c>
      <c r="E876" s="5">
        <v>4.58</v>
      </c>
      <c r="F876" s="4">
        <v>0</v>
      </c>
      <c r="G876" s="5">
        <v>0</v>
      </c>
      <c r="H876" s="4">
        <v>0</v>
      </c>
    </row>
    <row r="877" spans="1:8" x14ac:dyDescent="0.2">
      <c r="A877" s="2" t="s">
        <v>88</v>
      </c>
      <c r="B877" s="4">
        <v>35</v>
      </c>
      <c r="C877" s="5">
        <v>15.91</v>
      </c>
      <c r="D877" s="4">
        <v>27</v>
      </c>
      <c r="E877" s="5">
        <v>17.649999999999999</v>
      </c>
      <c r="F877" s="4">
        <v>8</v>
      </c>
      <c r="G877" s="5">
        <v>12.31</v>
      </c>
      <c r="H877" s="4">
        <v>0</v>
      </c>
    </row>
    <row r="878" spans="1:8" x14ac:dyDescent="0.2">
      <c r="A878" s="2" t="s">
        <v>89</v>
      </c>
      <c r="B878" s="4">
        <v>11</v>
      </c>
      <c r="C878" s="5">
        <v>5</v>
      </c>
      <c r="D878" s="4">
        <v>11</v>
      </c>
      <c r="E878" s="5">
        <v>7.19</v>
      </c>
      <c r="F878" s="4">
        <v>0</v>
      </c>
      <c r="G878" s="5">
        <v>0</v>
      </c>
      <c r="H878" s="4">
        <v>0</v>
      </c>
    </row>
    <row r="879" spans="1:8" x14ac:dyDescent="0.2">
      <c r="A879" s="2" t="s">
        <v>90</v>
      </c>
      <c r="B879" s="4">
        <v>4</v>
      </c>
      <c r="C879" s="5">
        <v>1.82</v>
      </c>
      <c r="D879" s="4">
        <v>4</v>
      </c>
      <c r="E879" s="5">
        <v>2.61</v>
      </c>
      <c r="F879" s="4">
        <v>0</v>
      </c>
      <c r="G879" s="5">
        <v>0</v>
      </c>
      <c r="H879" s="4">
        <v>0</v>
      </c>
    </row>
    <row r="880" spans="1:8" x14ac:dyDescent="0.2">
      <c r="A880" s="2" t="s">
        <v>91</v>
      </c>
      <c r="B880" s="4">
        <v>3</v>
      </c>
      <c r="C880" s="5">
        <v>1.36</v>
      </c>
      <c r="D880" s="4">
        <v>3</v>
      </c>
      <c r="E880" s="5">
        <v>1.96</v>
      </c>
      <c r="F880" s="4">
        <v>0</v>
      </c>
      <c r="G880" s="5">
        <v>0</v>
      </c>
      <c r="H880" s="4">
        <v>0</v>
      </c>
    </row>
    <row r="881" spans="1:8" x14ac:dyDescent="0.2">
      <c r="A881" s="2" t="s">
        <v>92</v>
      </c>
      <c r="B881" s="4">
        <v>7</v>
      </c>
      <c r="C881" s="5">
        <v>3.18</v>
      </c>
      <c r="D881" s="4">
        <v>6</v>
      </c>
      <c r="E881" s="5">
        <v>3.92</v>
      </c>
      <c r="F881" s="4">
        <v>1</v>
      </c>
      <c r="G881" s="5">
        <v>1.54</v>
      </c>
      <c r="H881" s="4">
        <v>0</v>
      </c>
    </row>
    <row r="882" spans="1:8" x14ac:dyDescent="0.2">
      <c r="A882" s="1" t="s">
        <v>55</v>
      </c>
      <c r="B882" s="4">
        <v>159</v>
      </c>
      <c r="C882" s="5">
        <v>100.01</v>
      </c>
      <c r="D882" s="4">
        <v>126</v>
      </c>
      <c r="E882" s="5">
        <v>100.00999999999999</v>
      </c>
      <c r="F882" s="4">
        <v>31</v>
      </c>
      <c r="G882" s="5">
        <v>100</v>
      </c>
      <c r="H882" s="4">
        <v>1</v>
      </c>
    </row>
    <row r="883" spans="1:8" x14ac:dyDescent="0.2">
      <c r="A883" s="2" t="s">
        <v>78</v>
      </c>
      <c r="B883" s="4">
        <v>0</v>
      </c>
      <c r="C883" s="5">
        <v>0</v>
      </c>
      <c r="D883" s="4">
        <v>0</v>
      </c>
      <c r="E883" s="5">
        <v>0</v>
      </c>
      <c r="F883" s="4">
        <v>0</v>
      </c>
      <c r="G883" s="5">
        <v>0</v>
      </c>
      <c r="H883" s="4">
        <v>0</v>
      </c>
    </row>
    <row r="884" spans="1:8" x14ac:dyDescent="0.2">
      <c r="A884" s="2" t="s">
        <v>79</v>
      </c>
      <c r="B884" s="4">
        <v>34</v>
      </c>
      <c r="C884" s="5">
        <v>21.38</v>
      </c>
      <c r="D884" s="4">
        <v>23</v>
      </c>
      <c r="E884" s="5">
        <v>18.25</v>
      </c>
      <c r="F884" s="4">
        <v>11</v>
      </c>
      <c r="G884" s="5">
        <v>35.479999999999997</v>
      </c>
      <c r="H884" s="4">
        <v>0</v>
      </c>
    </row>
    <row r="885" spans="1:8" x14ac:dyDescent="0.2">
      <c r="A885" s="2" t="s">
        <v>80</v>
      </c>
      <c r="B885" s="4">
        <v>24</v>
      </c>
      <c r="C885" s="5">
        <v>15.09</v>
      </c>
      <c r="D885" s="4">
        <v>18</v>
      </c>
      <c r="E885" s="5">
        <v>14.29</v>
      </c>
      <c r="F885" s="4">
        <v>6</v>
      </c>
      <c r="G885" s="5">
        <v>19.350000000000001</v>
      </c>
      <c r="H885" s="4">
        <v>0</v>
      </c>
    </row>
    <row r="886" spans="1:8" x14ac:dyDescent="0.2">
      <c r="A886" s="2" t="s">
        <v>81</v>
      </c>
      <c r="B886" s="4">
        <v>0</v>
      </c>
      <c r="C886" s="5">
        <v>0</v>
      </c>
      <c r="D886" s="4">
        <v>0</v>
      </c>
      <c r="E886" s="5">
        <v>0</v>
      </c>
      <c r="F886" s="4">
        <v>0</v>
      </c>
      <c r="G886" s="5">
        <v>0</v>
      </c>
      <c r="H886" s="4">
        <v>0</v>
      </c>
    </row>
    <row r="887" spans="1:8" x14ac:dyDescent="0.2">
      <c r="A887" s="2" t="s">
        <v>82</v>
      </c>
      <c r="B887" s="4">
        <v>0</v>
      </c>
      <c r="C887" s="5">
        <v>0</v>
      </c>
      <c r="D887" s="4">
        <v>0</v>
      </c>
      <c r="E887" s="5">
        <v>0</v>
      </c>
      <c r="F887" s="4">
        <v>0</v>
      </c>
      <c r="G887" s="5">
        <v>0</v>
      </c>
      <c r="H887" s="4">
        <v>0</v>
      </c>
    </row>
    <row r="888" spans="1:8" x14ac:dyDescent="0.2">
      <c r="A888" s="2" t="s">
        <v>83</v>
      </c>
      <c r="B888" s="4">
        <v>3</v>
      </c>
      <c r="C888" s="5">
        <v>1.89</v>
      </c>
      <c r="D888" s="4">
        <v>0</v>
      </c>
      <c r="E888" s="5">
        <v>0</v>
      </c>
      <c r="F888" s="4">
        <v>3</v>
      </c>
      <c r="G888" s="5">
        <v>9.68</v>
      </c>
      <c r="H888" s="4">
        <v>0</v>
      </c>
    </row>
    <row r="889" spans="1:8" x14ac:dyDescent="0.2">
      <c r="A889" s="2" t="s">
        <v>84</v>
      </c>
      <c r="B889" s="4">
        <v>44</v>
      </c>
      <c r="C889" s="5">
        <v>27.67</v>
      </c>
      <c r="D889" s="4">
        <v>37</v>
      </c>
      <c r="E889" s="5">
        <v>29.37</v>
      </c>
      <c r="F889" s="4">
        <v>6</v>
      </c>
      <c r="G889" s="5">
        <v>19.350000000000001</v>
      </c>
      <c r="H889" s="4">
        <v>1</v>
      </c>
    </row>
    <row r="890" spans="1:8" x14ac:dyDescent="0.2">
      <c r="A890" s="2" t="s">
        <v>85</v>
      </c>
      <c r="B890" s="4">
        <v>0</v>
      </c>
      <c r="C890" s="5">
        <v>0</v>
      </c>
      <c r="D890" s="4">
        <v>0</v>
      </c>
      <c r="E890" s="5">
        <v>0</v>
      </c>
      <c r="F890" s="4">
        <v>0</v>
      </c>
      <c r="G890" s="5">
        <v>0</v>
      </c>
      <c r="H890" s="4">
        <v>0</v>
      </c>
    </row>
    <row r="891" spans="1:8" x14ac:dyDescent="0.2">
      <c r="A891" s="2" t="s">
        <v>86</v>
      </c>
      <c r="B891" s="4">
        <v>4</v>
      </c>
      <c r="C891" s="5">
        <v>2.52</v>
      </c>
      <c r="D891" s="4">
        <v>3</v>
      </c>
      <c r="E891" s="5">
        <v>2.38</v>
      </c>
      <c r="F891" s="4">
        <v>1</v>
      </c>
      <c r="G891" s="5">
        <v>3.23</v>
      </c>
      <c r="H891" s="4">
        <v>0</v>
      </c>
    </row>
    <row r="892" spans="1:8" x14ac:dyDescent="0.2">
      <c r="A892" s="2" t="s">
        <v>87</v>
      </c>
      <c r="B892" s="4">
        <v>3</v>
      </c>
      <c r="C892" s="5">
        <v>1.89</v>
      </c>
      <c r="D892" s="4">
        <v>3</v>
      </c>
      <c r="E892" s="5">
        <v>2.38</v>
      </c>
      <c r="F892" s="4">
        <v>0</v>
      </c>
      <c r="G892" s="5">
        <v>0</v>
      </c>
      <c r="H892" s="4">
        <v>0</v>
      </c>
    </row>
    <row r="893" spans="1:8" x14ac:dyDescent="0.2">
      <c r="A893" s="2" t="s">
        <v>88</v>
      </c>
      <c r="B893" s="4">
        <v>21</v>
      </c>
      <c r="C893" s="5">
        <v>13.21</v>
      </c>
      <c r="D893" s="4">
        <v>19</v>
      </c>
      <c r="E893" s="5">
        <v>15.08</v>
      </c>
      <c r="F893" s="4">
        <v>2</v>
      </c>
      <c r="G893" s="5">
        <v>6.45</v>
      </c>
      <c r="H893" s="4">
        <v>0</v>
      </c>
    </row>
    <row r="894" spans="1:8" x14ac:dyDescent="0.2">
      <c r="A894" s="2" t="s">
        <v>89</v>
      </c>
      <c r="B894" s="4">
        <v>14</v>
      </c>
      <c r="C894" s="5">
        <v>8.81</v>
      </c>
      <c r="D894" s="4">
        <v>13</v>
      </c>
      <c r="E894" s="5">
        <v>10.32</v>
      </c>
      <c r="F894" s="4">
        <v>1</v>
      </c>
      <c r="G894" s="5">
        <v>3.23</v>
      </c>
      <c r="H894" s="4">
        <v>0</v>
      </c>
    </row>
    <row r="895" spans="1:8" x14ac:dyDescent="0.2">
      <c r="A895" s="2" t="s">
        <v>90</v>
      </c>
      <c r="B895" s="4">
        <v>5</v>
      </c>
      <c r="C895" s="5">
        <v>3.14</v>
      </c>
      <c r="D895" s="4">
        <v>5</v>
      </c>
      <c r="E895" s="5">
        <v>3.97</v>
      </c>
      <c r="F895" s="4">
        <v>0</v>
      </c>
      <c r="G895" s="5">
        <v>0</v>
      </c>
      <c r="H895" s="4">
        <v>0</v>
      </c>
    </row>
    <row r="896" spans="1:8" x14ac:dyDescent="0.2">
      <c r="A896" s="2" t="s">
        <v>91</v>
      </c>
      <c r="B896" s="4">
        <v>4</v>
      </c>
      <c r="C896" s="5">
        <v>2.52</v>
      </c>
      <c r="D896" s="4">
        <v>3</v>
      </c>
      <c r="E896" s="5">
        <v>2.38</v>
      </c>
      <c r="F896" s="4">
        <v>0</v>
      </c>
      <c r="G896" s="5">
        <v>0</v>
      </c>
      <c r="H896" s="4">
        <v>0</v>
      </c>
    </row>
    <row r="897" spans="1:8" x14ac:dyDescent="0.2">
      <c r="A897" s="2" t="s">
        <v>92</v>
      </c>
      <c r="B897" s="4">
        <v>3</v>
      </c>
      <c r="C897" s="5">
        <v>1.89</v>
      </c>
      <c r="D897" s="4">
        <v>2</v>
      </c>
      <c r="E897" s="5">
        <v>1.59</v>
      </c>
      <c r="F897" s="4">
        <v>1</v>
      </c>
      <c r="G897" s="5">
        <v>3.23</v>
      </c>
      <c r="H897" s="4">
        <v>0</v>
      </c>
    </row>
    <row r="898" spans="1:8" x14ac:dyDescent="0.2">
      <c r="A898" s="1" t="s">
        <v>56</v>
      </c>
      <c r="B898" s="4">
        <v>49</v>
      </c>
      <c r="C898" s="5">
        <v>99.989999999999981</v>
      </c>
      <c r="D898" s="4">
        <v>24</v>
      </c>
      <c r="E898" s="5">
        <v>100</v>
      </c>
      <c r="F898" s="4">
        <v>23</v>
      </c>
      <c r="G898" s="5">
        <v>100.00999999999999</v>
      </c>
      <c r="H898" s="4">
        <v>0</v>
      </c>
    </row>
    <row r="899" spans="1:8" x14ac:dyDescent="0.2">
      <c r="A899" s="2" t="s">
        <v>78</v>
      </c>
      <c r="B899" s="4">
        <v>1</v>
      </c>
      <c r="C899" s="5">
        <v>2.04</v>
      </c>
      <c r="D899" s="4">
        <v>0</v>
      </c>
      <c r="E899" s="5">
        <v>0</v>
      </c>
      <c r="F899" s="4">
        <v>1</v>
      </c>
      <c r="G899" s="5">
        <v>4.3499999999999996</v>
      </c>
      <c r="H899" s="4">
        <v>0</v>
      </c>
    </row>
    <row r="900" spans="1:8" x14ac:dyDescent="0.2">
      <c r="A900" s="2" t="s">
        <v>79</v>
      </c>
      <c r="B900" s="4">
        <v>6</v>
      </c>
      <c r="C900" s="5">
        <v>12.24</v>
      </c>
      <c r="D900" s="4">
        <v>1</v>
      </c>
      <c r="E900" s="5">
        <v>4.17</v>
      </c>
      <c r="F900" s="4">
        <v>5</v>
      </c>
      <c r="G900" s="5">
        <v>21.74</v>
      </c>
      <c r="H900" s="4">
        <v>0</v>
      </c>
    </row>
    <row r="901" spans="1:8" x14ac:dyDescent="0.2">
      <c r="A901" s="2" t="s">
        <v>80</v>
      </c>
      <c r="B901" s="4">
        <v>2</v>
      </c>
      <c r="C901" s="5">
        <v>4.08</v>
      </c>
      <c r="D901" s="4">
        <v>1</v>
      </c>
      <c r="E901" s="5">
        <v>4.17</v>
      </c>
      <c r="F901" s="4">
        <v>1</v>
      </c>
      <c r="G901" s="5">
        <v>4.3499999999999996</v>
      </c>
      <c r="H901" s="4">
        <v>0</v>
      </c>
    </row>
    <row r="902" spans="1:8" x14ac:dyDescent="0.2">
      <c r="A902" s="2" t="s">
        <v>81</v>
      </c>
      <c r="B902" s="4">
        <v>1</v>
      </c>
      <c r="C902" s="5">
        <v>2.04</v>
      </c>
      <c r="D902" s="4">
        <v>0</v>
      </c>
      <c r="E902" s="5">
        <v>0</v>
      </c>
      <c r="F902" s="4">
        <v>0</v>
      </c>
      <c r="G902" s="5">
        <v>0</v>
      </c>
      <c r="H902" s="4">
        <v>0</v>
      </c>
    </row>
    <row r="903" spans="1:8" x14ac:dyDescent="0.2">
      <c r="A903" s="2" t="s">
        <v>82</v>
      </c>
      <c r="B903" s="4">
        <v>0</v>
      </c>
      <c r="C903" s="5">
        <v>0</v>
      </c>
      <c r="D903" s="4">
        <v>0</v>
      </c>
      <c r="E903" s="5">
        <v>0</v>
      </c>
      <c r="F903" s="4">
        <v>0</v>
      </c>
      <c r="G903" s="5">
        <v>0</v>
      </c>
      <c r="H903" s="4">
        <v>0</v>
      </c>
    </row>
    <row r="904" spans="1:8" x14ac:dyDescent="0.2">
      <c r="A904" s="2" t="s">
        <v>83</v>
      </c>
      <c r="B904" s="4">
        <v>1</v>
      </c>
      <c r="C904" s="5">
        <v>2.04</v>
      </c>
      <c r="D904" s="4">
        <v>0</v>
      </c>
      <c r="E904" s="5">
        <v>0</v>
      </c>
      <c r="F904" s="4">
        <v>1</v>
      </c>
      <c r="G904" s="5">
        <v>4.3499999999999996</v>
      </c>
      <c r="H904" s="4">
        <v>0</v>
      </c>
    </row>
    <row r="905" spans="1:8" x14ac:dyDescent="0.2">
      <c r="A905" s="2" t="s">
        <v>84</v>
      </c>
      <c r="B905" s="4">
        <v>12</v>
      </c>
      <c r="C905" s="5">
        <v>24.49</v>
      </c>
      <c r="D905" s="4">
        <v>5</v>
      </c>
      <c r="E905" s="5">
        <v>20.83</v>
      </c>
      <c r="F905" s="4">
        <v>7</v>
      </c>
      <c r="G905" s="5">
        <v>30.43</v>
      </c>
      <c r="H905" s="4">
        <v>0</v>
      </c>
    </row>
    <row r="906" spans="1:8" x14ac:dyDescent="0.2">
      <c r="A906" s="2" t="s">
        <v>85</v>
      </c>
      <c r="B906" s="4">
        <v>0</v>
      </c>
      <c r="C906" s="5">
        <v>0</v>
      </c>
      <c r="D906" s="4">
        <v>0</v>
      </c>
      <c r="E906" s="5">
        <v>0</v>
      </c>
      <c r="F906" s="4">
        <v>0</v>
      </c>
      <c r="G906" s="5">
        <v>0</v>
      </c>
      <c r="H906" s="4">
        <v>0</v>
      </c>
    </row>
    <row r="907" spans="1:8" x14ac:dyDescent="0.2">
      <c r="A907" s="2" t="s">
        <v>86</v>
      </c>
      <c r="B907" s="4">
        <v>0</v>
      </c>
      <c r="C907" s="5">
        <v>0</v>
      </c>
      <c r="D907" s="4">
        <v>0</v>
      </c>
      <c r="E907" s="5">
        <v>0</v>
      </c>
      <c r="F907" s="4">
        <v>0</v>
      </c>
      <c r="G907" s="5">
        <v>0</v>
      </c>
      <c r="H907" s="4">
        <v>0</v>
      </c>
    </row>
    <row r="908" spans="1:8" x14ac:dyDescent="0.2">
      <c r="A908" s="2" t="s">
        <v>87</v>
      </c>
      <c r="B908" s="4">
        <v>2</v>
      </c>
      <c r="C908" s="5">
        <v>4.08</v>
      </c>
      <c r="D908" s="4">
        <v>0</v>
      </c>
      <c r="E908" s="5">
        <v>0</v>
      </c>
      <c r="F908" s="4">
        <v>1</v>
      </c>
      <c r="G908" s="5">
        <v>4.3499999999999996</v>
      </c>
      <c r="H908" s="4">
        <v>0</v>
      </c>
    </row>
    <row r="909" spans="1:8" x14ac:dyDescent="0.2">
      <c r="A909" s="2" t="s">
        <v>88</v>
      </c>
      <c r="B909" s="4">
        <v>20</v>
      </c>
      <c r="C909" s="5">
        <v>40.82</v>
      </c>
      <c r="D909" s="4">
        <v>15</v>
      </c>
      <c r="E909" s="5">
        <v>62.5</v>
      </c>
      <c r="F909" s="4">
        <v>5</v>
      </c>
      <c r="G909" s="5">
        <v>21.74</v>
      </c>
      <c r="H909" s="4">
        <v>0</v>
      </c>
    </row>
    <row r="910" spans="1:8" x14ac:dyDescent="0.2">
      <c r="A910" s="2" t="s">
        <v>89</v>
      </c>
      <c r="B910" s="4">
        <v>4</v>
      </c>
      <c r="C910" s="5">
        <v>8.16</v>
      </c>
      <c r="D910" s="4">
        <v>2</v>
      </c>
      <c r="E910" s="5">
        <v>8.33</v>
      </c>
      <c r="F910" s="4">
        <v>2</v>
      </c>
      <c r="G910" s="5">
        <v>8.6999999999999993</v>
      </c>
      <c r="H910" s="4">
        <v>0</v>
      </c>
    </row>
    <row r="911" spans="1:8" x14ac:dyDescent="0.2">
      <c r="A911" s="2" t="s">
        <v>90</v>
      </c>
      <c r="B911" s="4">
        <v>0</v>
      </c>
      <c r="C911" s="5">
        <v>0</v>
      </c>
      <c r="D911" s="4">
        <v>0</v>
      </c>
      <c r="E911" s="5">
        <v>0</v>
      </c>
      <c r="F911" s="4">
        <v>0</v>
      </c>
      <c r="G911" s="5">
        <v>0</v>
      </c>
      <c r="H911" s="4">
        <v>0</v>
      </c>
    </row>
    <row r="912" spans="1:8" x14ac:dyDescent="0.2">
      <c r="A912" s="2" t="s">
        <v>91</v>
      </c>
      <c r="B912" s="4">
        <v>0</v>
      </c>
      <c r="C912" s="5">
        <v>0</v>
      </c>
      <c r="D912" s="4">
        <v>0</v>
      </c>
      <c r="E912" s="5">
        <v>0</v>
      </c>
      <c r="F912" s="4">
        <v>0</v>
      </c>
      <c r="G912" s="5">
        <v>0</v>
      </c>
      <c r="H912" s="4">
        <v>0</v>
      </c>
    </row>
    <row r="913" spans="1:8" x14ac:dyDescent="0.2">
      <c r="A913" s="2" t="s">
        <v>92</v>
      </c>
      <c r="B913" s="4">
        <v>0</v>
      </c>
      <c r="C913" s="5">
        <v>0</v>
      </c>
      <c r="D913" s="4">
        <v>0</v>
      </c>
      <c r="E913" s="5">
        <v>0</v>
      </c>
      <c r="F913" s="4">
        <v>0</v>
      </c>
      <c r="G913" s="5">
        <v>0</v>
      </c>
      <c r="H913" s="4">
        <v>0</v>
      </c>
    </row>
    <row r="914" spans="1:8" x14ac:dyDescent="0.2">
      <c r="A914" s="1" t="s">
        <v>57</v>
      </c>
      <c r="B914" s="4">
        <v>156</v>
      </c>
      <c r="C914" s="5">
        <v>99.989999999999981</v>
      </c>
      <c r="D914" s="4">
        <v>94</v>
      </c>
      <c r="E914" s="5">
        <v>100</v>
      </c>
      <c r="F914" s="4">
        <v>56</v>
      </c>
      <c r="G914" s="5">
        <v>100.01</v>
      </c>
      <c r="H914" s="4">
        <v>2</v>
      </c>
    </row>
    <row r="915" spans="1:8" x14ac:dyDescent="0.2">
      <c r="A915" s="2" t="s">
        <v>78</v>
      </c>
      <c r="B915" s="4">
        <v>1</v>
      </c>
      <c r="C915" s="5">
        <v>0.64</v>
      </c>
      <c r="D915" s="4">
        <v>0</v>
      </c>
      <c r="E915" s="5">
        <v>0</v>
      </c>
      <c r="F915" s="4">
        <v>1</v>
      </c>
      <c r="G915" s="5">
        <v>1.79</v>
      </c>
      <c r="H915" s="4">
        <v>0</v>
      </c>
    </row>
    <row r="916" spans="1:8" x14ac:dyDescent="0.2">
      <c r="A916" s="2" t="s">
        <v>79</v>
      </c>
      <c r="B916" s="4">
        <v>38</v>
      </c>
      <c r="C916" s="5">
        <v>24.36</v>
      </c>
      <c r="D916" s="4">
        <v>17</v>
      </c>
      <c r="E916" s="5">
        <v>18.09</v>
      </c>
      <c r="F916" s="4">
        <v>21</v>
      </c>
      <c r="G916" s="5">
        <v>37.5</v>
      </c>
      <c r="H916" s="4">
        <v>0</v>
      </c>
    </row>
    <row r="917" spans="1:8" x14ac:dyDescent="0.2">
      <c r="A917" s="2" t="s">
        <v>80</v>
      </c>
      <c r="B917" s="4">
        <v>22</v>
      </c>
      <c r="C917" s="5">
        <v>14.1</v>
      </c>
      <c r="D917" s="4">
        <v>7</v>
      </c>
      <c r="E917" s="5">
        <v>7.45</v>
      </c>
      <c r="F917" s="4">
        <v>15</v>
      </c>
      <c r="G917" s="5">
        <v>26.79</v>
      </c>
      <c r="H917" s="4">
        <v>0</v>
      </c>
    </row>
    <row r="918" spans="1:8" x14ac:dyDescent="0.2">
      <c r="A918" s="2" t="s">
        <v>81</v>
      </c>
      <c r="B918" s="4">
        <v>1</v>
      </c>
      <c r="C918" s="5">
        <v>0.64</v>
      </c>
      <c r="D918" s="4">
        <v>0</v>
      </c>
      <c r="E918" s="5">
        <v>0</v>
      </c>
      <c r="F918" s="4">
        <v>0</v>
      </c>
      <c r="G918" s="5">
        <v>0</v>
      </c>
      <c r="H918" s="4">
        <v>0</v>
      </c>
    </row>
    <row r="919" spans="1:8" x14ac:dyDescent="0.2">
      <c r="A919" s="2" t="s">
        <v>82</v>
      </c>
      <c r="B919" s="4">
        <v>0</v>
      </c>
      <c r="C919" s="5">
        <v>0</v>
      </c>
      <c r="D919" s="4">
        <v>0</v>
      </c>
      <c r="E919" s="5">
        <v>0</v>
      </c>
      <c r="F919" s="4">
        <v>0</v>
      </c>
      <c r="G919" s="5">
        <v>0</v>
      </c>
      <c r="H919" s="4">
        <v>0</v>
      </c>
    </row>
    <row r="920" spans="1:8" x14ac:dyDescent="0.2">
      <c r="A920" s="2" t="s">
        <v>83</v>
      </c>
      <c r="B920" s="4">
        <v>1</v>
      </c>
      <c r="C920" s="5">
        <v>0.64</v>
      </c>
      <c r="D920" s="4">
        <v>0</v>
      </c>
      <c r="E920" s="5">
        <v>0</v>
      </c>
      <c r="F920" s="4">
        <v>1</v>
      </c>
      <c r="G920" s="5">
        <v>1.79</v>
      </c>
      <c r="H920" s="4">
        <v>0</v>
      </c>
    </row>
    <row r="921" spans="1:8" x14ac:dyDescent="0.2">
      <c r="A921" s="2" t="s">
        <v>84</v>
      </c>
      <c r="B921" s="4">
        <v>33</v>
      </c>
      <c r="C921" s="5">
        <v>21.15</v>
      </c>
      <c r="D921" s="4">
        <v>26</v>
      </c>
      <c r="E921" s="5">
        <v>27.66</v>
      </c>
      <c r="F921" s="4">
        <v>5</v>
      </c>
      <c r="G921" s="5">
        <v>8.93</v>
      </c>
      <c r="H921" s="4">
        <v>2</v>
      </c>
    </row>
    <row r="922" spans="1:8" x14ac:dyDescent="0.2">
      <c r="A922" s="2" t="s">
        <v>85</v>
      </c>
      <c r="B922" s="4">
        <v>4</v>
      </c>
      <c r="C922" s="5">
        <v>2.56</v>
      </c>
      <c r="D922" s="4">
        <v>2</v>
      </c>
      <c r="E922" s="5">
        <v>2.13</v>
      </c>
      <c r="F922" s="4">
        <v>2</v>
      </c>
      <c r="G922" s="5">
        <v>3.57</v>
      </c>
      <c r="H922" s="4">
        <v>0</v>
      </c>
    </row>
    <row r="923" spans="1:8" x14ac:dyDescent="0.2">
      <c r="A923" s="2" t="s">
        <v>86</v>
      </c>
      <c r="B923" s="4">
        <v>0</v>
      </c>
      <c r="C923" s="5">
        <v>0</v>
      </c>
      <c r="D923" s="4">
        <v>0</v>
      </c>
      <c r="E923" s="5">
        <v>0</v>
      </c>
      <c r="F923" s="4">
        <v>0</v>
      </c>
      <c r="G923" s="5">
        <v>0</v>
      </c>
      <c r="H923" s="4">
        <v>0</v>
      </c>
    </row>
    <row r="924" spans="1:8" x14ac:dyDescent="0.2">
      <c r="A924" s="2" t="s">
        <v>87</v>
      </c>
      <c r="B924" s="4">
        <v>5</v>
      </c>
      <c r="C924" s="5">
        <v>3.21</v>
      </c>
      <c r="D924" s="4">
        <v>3</v>
      </c>
      <c r="E924" s="5">
        <v>3.19</v>
      </c>
      <c r="F924" s="4">
        <v>2</v>
      </c>
      <c r="G924" s="5">
        <v>3.57</v>
      </c>
      <c r="H924" s="4">
        <v>0</v>
      </c>
    </row>
    <row r="925" spans="1:8" x14ac:dyDescent="0.2">
      <c r="A925" s="2" t="s">
        <v>88</v>
      </c>
      <c r="B925" s="4">
        <v>13</v>
      </c>
      <c r="C925" s="5">
        <v>8.33</v>
      </c>
      <c r="D925" s="4">
        <v>9</v>
      </c>
      <c r="E925" s="5">
        <v>9.57</v>
      </c>
      <c r="F925" s="4">
        <v>4</v>
      </c>
      <c r="G925" s="5">
        <v>7.14</v>
      </c>
      <c r="H925" s="4">
        <v>0</v>
      </c>
    </row>
    <row r="926" spans="1:8" x14ac:dyDescent="0.2">
      <c r="A926" s="2" t="s">
        <v>89</v>
      </c>
      <c r="B926" s="4">
        <v>18</v>
      </c>
      <c r="C926" s="5">
        <v>11.54</v>
      </c>
      <c r="D926" s="4">
        <v>18</v>
      </c>
      <c r="E926" s="5">
        <v>19.149999999999999</v>
      </c>
      <c r="F926" s="4">
        <v>0</v>
      </c>
      <c r="G926" s="5">
        <v>0</v>
      </c>
      <c r="H926" s="4">
        <v>0</v>
      </c>
    </row>
    <row r="927" spans="1:8" x14ac:dyDescent="0.2">
      <c r="A927" s="2" t="s">
        <v>90</v>
      </c>
      <c r="B927" s="4">
        <v>7</v>
      </c>
      <c r="C927" s="5">
        <v>4.49</v>
      </c>
      <c r="D927" s="4">
        <v>6</v>
      </c>
      <c r="E927" s="5">
        <v>6.38</v>
      </c>
      <c r="F927" s="4">
        <v>0</v>
      </c>
      <c r="G927" s="5">
        <v>0</v>
      </c>
      <c r="H927" s="4">
        <v>0</v>
      </c>
    </row>
    <row r="928" spans="1:8" x14ac:dyDescent="0.2">
      <c r="A928" s="2" t="s">
        <v>91</v>
      </c>
      <c r="B928" s="4">
        <v>9</v>
      </c>
      <c r="C928" s="5">
        <v>5.77</v>
      </c>
      <c r="D928" s="4">
        <v>6</v>
      </c>
      <c r="E928" s="5">
        <v>6.38</v>
      </c>
      <c r="F928" s="4">
        <v>1</v>
      </c>
      <c r="G928" s="5">
        <v>1.79</v>
      </c>
      <c r="H928" s="4">
        <v>0</v>
      </c>
    </row>
    <row r="929" spans="1:8" x14ac:dyDescent="0.2">
      <c r="A929" s="2" t="s">
        <v>92</v>
      </c>
      <c r="B929" s="4">
        <v>4</v>
      </c>
      <c r="C929" s="5">
        <v>2.56</v>
      </c>
      <c r="D929" s="4">
        <v>0</v>
      </c>
      <c r="E929" s="5">
        <v>0</v>
      </c>
      <c r="F929" s="4">
        <v>4</v>
      </c>
      <c r="G929" s="5">
        <v>7.14</v>
      </c>
      <c r="H929" s="4">
        <v>0</v>
      </c>
    </row>
    <row r="930" spans="1:8" x14ac:dyDescent="0.2">
      <c r="A930" s="1" t="s">
        <v>58</v>
      </c>
      <c r="B930" s="4">
        <v>508</v>
      </c>
      <c r="C930" s="5">
        <v>100</v>
      </c>
      <c r="D930" s="4">
        <v>304</v>
      </c>
      <c r="E930" s="5">
        <v>100.00999999999999</v>
      </c>
      <c r="F930" s="4">
        <v>197</v>
      </c>
      <c r="G930" s="5">
        <v>100.02000000000001</v>
      </c>
      <c r="H930" s="4">
        <v>3</v>
      </c>
    </row>
    <row r="931" spans="1:8" x14ac:dyDescent="0.2">
      <c r="A931" s="2" t="s">
        <v>78</v>
      </c>
      <c r="B931" s="4">
        <v>1</v>
      </c>
      <c r="C931" s="5">
        <v>0.2</v>
      </c>
      <c r="D931" s="4">
        <v>0</v>
      </c>
      <c r="E931" s="5">
        <v>0</v>
      </c>
      <c r="F931" s="4">
        <v>1</v>
      </c>
      <c r="G931" s="5">
        <v>0.51</v>
      </c>
      <c r="H931" s="4">
        <v>0</v>
      </c>
    </row>
    <row r="932" spans="1:8" x14ac:dyDescent="0.2">
      <c r="A932" s="2" t="s">
        <v>79</v>
      </c>
      <c r="B932" s="4">
        <v>91</v>
      </c>
      <c r="C932" s="5">
        <v>17.91</v>
      </c>
      <c r="D932" s="4">
        <v>52</v>
      </c>
      <c r="E932" s="5">
        <v>17.11</v>
      </c>
      <c r="F932" s="4">
        <v>39</v>
      </c>
      <c r="G932" s="5">
        <v>19.8</v>
      </c>
      <c r="H932" s="4">
        <v>0</v>
      </c>
    </row>
    <row r="933" spans="1:8" x14ac:dyDescent="0.2">
      <c r="A933" s="2" t="s">
        <v>80</v>
      </c>
      <c r="B933" s="4">
        <v>34</v>
      </c>
      <c r="C933" s="5">
        <v>6.69</v>
      </c>
      <c r="D933" s="4">
        <v>11</v>
      </c>
      <c r="E933" s="5">
        <v>3.62</v>
      </c>
      <c r="F933" s="4">
        <v>23</v>
      </c>
      <c r="G933" s="5">
        <v>11.68</v>
      </c>
      <c r="H933" s="4">
        <v>0</v>
      </c>
    </row>
    <row r="934" spans="1:8" x14ac:dyDescent="0.2">
      <c r="A934" s="2" t="s">
        <v>81</v>
      </c>
      <c r="B934" s="4">
        <v>1</v>
      </c>
      <c r="C934" s="5">
        <v>0.2</v>
      </c>
      <c r="D934" s="4">
        <v>0</v>
      </c>
      <c r="E934" s="5">
        <v>0</v>
      </c>
      <c r="F934" s="4">
        <v>1</v>
      </c>
      <c r="G934" s="5">
        <v>0.51</v>
      </c>
      <c r="H934" s="4">
        <v>0</v>
      </c>
    </row>
    <row r="935" spans="1:8" x14ac:dyDescent="0.2">
      <c r="A935" s="2" t="s">
        <v>82</v>
      </c>
      <c r="B935" s="4">
        <v>5</v>
      </c>
      <c r="C935" s="5">
        <v>0.98</v>
      </c>
      <c r="D935" s="4">
        <v>0</v>
      </c>
      <c r="E935" s="5">
        <v>0</v>
      </c>
      <c r="F935" s="4">
        <v>5</v>
      </c>
      <c r="G935" s="5">
        <v>2.54</v>
      </c>
      <c r="H935" s="4">
        <v>0</v>
      </c>
    </row>
    <row r="936" spans="1:8" x14ac:dyDescent="0.2">
      <c r="A936" s="2" t="s">
        <v>83</v>
      </c>
      <c r="B936" s="4">
        <v>6</v>
      </c>
      <c r="C936" s="5">
        <v>1.18</v>
      </c>
      <c r="D936" s="4">
        <v>1</v>
      </c>
      <c r="E936" s="5">
        <v>0.33</v>
      </c>
      <c r="F936" s="4">
        <v>4</v>
      </c>
      <c r="G936" s="5">
        <v>2.0299999999999998</v>
      </c>
      <c r="H936" s="4">
        <v>1</v>
      </c>
    </row>
    <row r="937" spans="1:8" x14ac:dyDescent="0.2">
      <c r="A937" s="2" t="s">
        <v>84</v>
      </c>
      <c r="B937" s="4">
        <v>117</v>
      </c>
      <c r="C937" s="5">
        <v>23.03</v>
      </c>
      <c r="D937" s="4">
        <v>74</v>
      </c>
      <c r="E937" s="5">
        <v>24.34</v>
      </c>
      <c r="F937" s="4">
        <v>43</v>
      </c>
      <c r="G937" s="5">
        <v>21.83</v>
      </c>
      <c r="H937" s="4">
        <v>0</v>
      </c>
    </row>
    <row r="938" spans="1:8" x14ac:dyDescent="0.2">
      <c r="A938" s="2" t="s">
        <v>85</v>
      </c>
      <c r="B938" s="4">
        <v>4</v>
      </c>
      <c r="C938" s="5">
        <v>0.79</v>
      </c>
      <c r="D938" s="4">
        <v>1</v>
      </c>
      <c r="E938" s="5">
        <v>0.33</v>
      </c>
      <c r="F938" s="4">
        <v>3</v>
      </c>
      <c r="G938" s="5">
        <v>1.52</v>
      </c>
      <c r="H938" s="4">
        <v>0</v>
      </c>
    </row>
    <row r="939" spans="1:8" x14ac:dyDescent="0.2">
      <c r="A939" s="2" t="s">
        <v>86</v>
      </c>
      <c r="B939" s="4">
        <v>14</v>
      </c>
      <c r="C939" s="5">
        <v>2.76</v>
      </c>
      <c r="D939" s="4">
        <v>2</v>
      </c>
      <c r="E939" s="5">
        <v>0.66</v>
      </c>
      <c r="F939" s="4">
        <v>12</v>
      </c>
      <c r="G939" s="5">
        <v>6.09</v>
      </c>
      <c r="H939" s="4">
        <v>0</v>
      </c>
    </row>
    <row r="940" spans="1:8" x14ac:dyDescent="0.2">
      <c r="A940" s="2" t="s">
        <v>87</v>
      </c>
      <c r="B940" s="4">
        <v>23</v>
      </c>
      <c r="C940" s="5">
        <v>4.53</v>
      </c>
      <c r="D940" s="4">
        <v>16</v>
      </c>
      <c r="E940" s="5">
        <v>5.26</v>
      </c>
      <c r="F940" s="4">
        <v>7</v>
      </c>
      <c r="G940" s="5">
        <v>3.55</v>
      </c>
      <c r="H940" s="4">
        <v>0</v>
      </c>
    </row>
    <row r="941" spans="1:8" x14ac:dyDescent="0.2">
      <c r="A941" s="2" t="s">
        <v>88</v>
      </c>
      <c r="B941" s="4">
        <v>115</v>
      </c>
      <c r="C941" s="5">
        <v>22.64</v>
      </c>
      <c r="D941" s="4">
        <v>80</v>
      </c>
      <c r="E941" s="5">
        <v>26.32</v>
      </c>
      <c r="F941" s="4">
        <v>35</v>
      </c>
      <c r="G941" s="5">
        <v>17.77</v>
      </c>
      <c r="H941" s="4">
        <v>0</v>
      </c>
    </row>
    <row r="942" spans="1:8" x14ac:dyDescent="0.2">
      <c r="A942" s="2" t="s">
        <v>89</v>
      </c>
      <c r="B942" s="4">
        <v>48</v>
      </c>
      <c r="C942" s="5">
        <v>9.4499999999999993</v>
      </c>
      <c r="D942" s="4">
        <v>39</v>
      </c>
      <c r="E942" s="5">
        <v>12.83</v>
      </c>
      <c r="F942" s="4">
        <v>9</v>
      </c>
      <c r="G942" s="5">
        <v>4.57</v>
      </c>
      <c r="H942" s="4">
        <v>0</v>
      </c>
    </row>
    <row r="943" spans="1:8" x14ac:dyDescent="0.2">
      <c r="A943" s="2" t="s">
        <v>90</v>
      </c>
      <c r="B943" s="4">
        <v>13</v>
      </c>
      <c r="C943" s="5">
        <v>2.56</v>
      </c>
      <c r="D943" s="4">
        <v>7</v>
      </c>
      <c r="E943" s="5">
        <v>2.2999999999999998</v>
      </c>
      <c r="F943" s="4">
        <v>2</v>
      </c>
      <c r="G943" s="5">
        <v>1.02</v>
      </c>
      <c r="H943" s="4">
        <v>0</v>
      </c>
    </row>
    <row r="944" spans="1:8" x14ac:dyDescent="0.2">
      <c r="A944" s="2" t="s">
        <v>91</v>
      </c>
      <c r="B944" s="4">
        <v>21</v>
      </c>
      <c r="C944" s="5">
        <v>4.13</v>
      </c>
      <c r="D944" s="4">
        <v>13</v>
      </c>
      <c r="E944" s="5">
        <v>4.28</v>
      </c>
      <c r="F944" s="4">
        <v>8</v>
      </c>
      <c r="G944" s="5">
        <v>4.0599999999999996</v>
      </c>
      <c r="H944" s="4">
        <v>0</v>
      </c>
    </row>
    <row r="945" spans="1:8" x14ac:dyDescent="0.2">
      <c r="A945" s="2" t="s">
        <v>92</v>
      </c>
      <c r="B945" s="4">
        <v>15</v>
      </c>
      <c r="C945" s="5">
        <v>2.95</v>
      </c>
      <c r="D945" s="4">
        <v>8</v>
      </c>
      <c r="E945" s="5">
        <v>2.63</v>
      </c>
      <c r="F945" s="4">
        <v>5</v>
      </c>
      <c r="G945" s="5">
        <v>2.54</v>
      </c>
      <c r="H945" s="4">
        <v>2</v>
      </c>
    </row>
    <row r="946" spans="1:8" x14ac:dyDescent="0.2">
      <c r="A946" s="1" t="s">
        <v>59</v>
      </c>
      <c r="B946" s="4">
        <v>94</v>
      </c>
      <c r="C946" s="5">
        <v>99.999999999999986</v>
      </c>
      <c r="D946" s="4">
        <v>62</v>
      </c>
      <c r="E946" s="5">
        <v>100</v>
      </c>
      <c r="F946" s="4">
        <v>27</v>
      </c>
      <c r="G946" s="5">
        <v>99.990000000000009</v>
      </c>
      <c r="H946" s="4">
        <v>1</v>
      </c>
    </row>
    <row r="947" spans="1:8" x14ac:dyDescent="0.2">
      <c r="A947" s="2" t="s">
        <v>78</v>
      </c>
      <c r="B947" s="4">
        <v>0</v>
      </c>
      <c r="C947" s="5">
        <v>0</v>
      </c>
      <c r="D947" s="4">
        <v>0</v>
      </c>
      <c r="E947" s="5">
        <v>0</v>
      </c>
      <c r="F947" s="4">
        <v>0</v>
      </c>
      <c r="G947" s="5">
        <v>0</v>
      </c>
      <c r="H947" s="4">
        <v>0</v>
      </c>
    </row>
    <row r="948" spans="1:8" x14ac:dyDescent="0.2">
      <c r="A948" s="2" t="s">
        <v>79</v>
      </c>
      <c r="B948" s="4">
        <v>20</v>
      </c>
      <c r="C948" s="5">
        <v>21.28</v>
      </c>
      <c r="D948" s="4">
        <v>7</v>
      </c>
      <c r="E948" s="5">
        <v>11.29</v>
      </c>
      <c r="F948" s="4">
        <v>13</v>
      </c>
      <c r="G948" s="5">
        <v>48.15</v>
      </c>
      <c r="H948" s="4">
        <v>0</v>
      </c>
    </row>
    <row r="949" spans="1:8" x14ac:dyDescent="0.2">
      <c r="A949" s="2" t="s">
        <v>80</v>
      </c>
      <c r="B949" s="4">
        <v>7</v>
      </c>
      <c r="C949" s="5">
        <v>7.45</v>
      </c>
      <c r="D949" s="4">
        <v>2</v>
      </c>
      <c r="E949" s="5">
        <v>3.23</v>
      </c>
      <c r="F949" s="4">
        <v>5</v>
      </c>
      <c r="G949" s="5">
        <v>18.52</v>
      </c>
      <c r="H949" s="4">
        <v>0</v>
      </c>
    </row>
    <row r="950" spans="1:8" x14ac:dyDescent="0.2">
      <c r="A950" s="2" t="s">
        <v>81</v>
      </c>
      <c r="B950" s="4">
        <v>1</v>
      </c>
      <c r="C950" s="5">
        <v>1.06</v>
      </c>
      <c r="D950" s="4">
        <v>0</v>
      </c>
      <c r="E950" s="5">
        <v>0</v>
      </c>
      <c r="F950" s="4">
        <v>0</v>
      </c>
      <c r="G950" s="5">
        <v>0</v>
      </c>
      <c r="H950" s="4">
        <v>0</v>
      </c>
    </row>
    <row r="951" spans="1:8" x14ac:dyDescent="0.2">
      <c r="A951" s="2" t="s">
        <v>82</v>
      </c>
      <c r="B951" s="4">
        <v>1</v>
      </c>
      <c r="C951" s="5">
        <v>1.06</v>
      </c>
      <c r="D951" s="4">
        <v>1</v>
      </c>
      <c r="E951" s="5">
        <v>1.61</v>
      </c>
      <c r="F951" s="4">
        <v>0</v>
      </c>
      <c r="G951" s="5">
        <v>0</v>
      </c>
      <c r="H951" s="4">
        <v>0</v>
      </c>
    </row>
    <row r="952" spans="1:8" x14ac:dyDescent="0.2">
      <c r="A952" s="2" t="s">
        <v>83</v>
      </c>
      <c r="B952" s="4">
        <v>0</v>
      </c>
      <c r="C952" s="5">
        <v>0</v>
      </c>
      <c r="D952" s="4">
        <v>0</v>
      </c>
      <c r="E952" s="5">
        <v>0</v>
      </c>
      <c r="F952" s="4">
        <v>0</v>
      </c>
      <c r="G952" s="5">
        <v>0</v>
      </c>
      <c r="H952" s="4">
        <v>0</v>
      </c>
    </row>
    <row r="953" spans="1:8" x14ac:dyDescent="0.2">
      <c r="A953" s="2" t="s">
        <v>84</v>
      </c>
      <c r="B953" s="4">
        <v>20</v>
      </c>
      <c r="C953" s="5">
        <v>21.28</v>
      </c>
      <c r="D953" s="4">
        <v>15</v>
      </c>
      <c r="E953" s="5">
        <v>24.19</v>
      </c>
      <c r="F953" s="4">
        <v>4</v>
      </c>
      <c r="G953" s="5">
        <v>14.81</v>
      </c>
      <c r="H953" s="4">
        <v>1</v>
      </c>
    </row>
    <row r="954" spans="1:8" x14ac:dyDescent="0.2">
      <c r="A954" s="2" t="s">
        <v>85</v>
      </c>
      <c r="B954" s="4">
        <v>0</v>
      </c>
      <c r="C954" s="5">
        <v>0</v>
      </c>
      <c r="D954" s="4">
        <v>0</v>
      </c>
      <c r="E954" s="5">
        <v>0</v>
      </c>
      <c r="F954" s="4">
        <v>0</v>
      </c>
      <c r="G954" s="5">
        <v>0</v>
      </c>
      <c r="H954" s="4">
        <v>0</v>
      </c>
    </row>
    <row r="955" spans="1:8" x14ac:dyDescent="0.2">
      <c r="A955" s="2" t="s">
        <v>86</v>
      </c>
      <c r="B955" s="4">
        <v>3</v>
      </c>
      <c r="C955" s="5">
        <v>3.19</v>
      </c>
      <c r="D955" s="4">
        <v>1</v>
      </c>
      <c r="E955" s="5">
        <v>1.61</v>
      </c>
      <c r="F955" s="4">
        <v>2</v>
      </c>
      <c r="G955" s="5">
        <v>7.41</v>
      </c>
      <c r="H955" s="4">
        <v>0</v>
      </c>
    </row>
    <row r="956" spans="1:8" x14ac:dyDescent="0.2">
      <c r="A956" s="2" t="s">
        <v>87</v>
      </c>
      <c r="B956" s="4">
        <v>2</v>
      </c>
      <c r="C956" s="5">
        <v>2.13</v>
      </c>
      <c r="D956" s="4">
        <v>2</v>
      </c>
      <c r="E956" s="5">
        <v>3.23</v>
      </c>
      <c r="F956" s="4">
        <v>0</v>
      </c>
      <c r="G956" s="5">
        <v>0</v>
      </c>
      <c r="H956" s="4">
        <v>0</v>
      </c>
    </row>
    <row r="957" spans="1:8" x14ac:dyDescent="0.2">
      <c r="A957" s="2" t="s">
        <v>88</v>
      </c>
      <c r="B957" s="4">
        <v>11</v>
      </c>
      <c r="C957" s="5">
        <v>11.7</v>
      </c>
      <c r="D957" s="4">
        <v>10</v>
      </c>
      <c r="E957" s="5">
        <v>16.13</v>
      </c>
      <c r="F957" s="4">
        <v>1</v>
      </c>
      <c r="G957" s="5">
        <v>3.7</v>
      </c>
      <c r="H957" s="4">
        <v>0</v>
      </c>
    </row>
    <row r="958" spans="1:8" x14ac:dyDescent="0.2">
      <c r="A958" s="2" t="s">
        <v>89</v>
      </c>
      <c r="B958" s="4">
        <v>11</v>
      </c>
      <c r="C958" s="5">
        <v>11.7</v>
      </c>
      <c r="D958" s="4">
        <v>11</v>
      </c>
      <c r="E958" s="5">
        <v>17.739999999999998</v>
      </c>
      <c r="F958" s="4">
        <v>0</v>
      </c>
      <c r="G958" s="5">
        <v>0</v>
      </c>
      <c r="H958" s="4">
        <v>0</v>
      </c>
    </row>
    <row r="959" spans="1:8" x14ac:dyDescent="0.2">
      <c r="A959" s="2" t="s">
        <v>90</v>
      </c>
      <c r="B959" s="4">
        <v>9</v>
      </c>
      <c r="C959" s="5">
        <v>9.57</v>
      </c>
      <c r="D959" s="4">
        <v>8</v>
      </c>
      <c r="E959" s="5">
        <v>12.9</v>
      </c>
      <c r="F959" s="4">
        <v>0</v>
      </c>
      <c r="G959" s="5">
        <v>0</v>
      </c>
      <c r="H959" s="4">
        <v>0</v>
      </c>
    </row>
    <row r="960" spans="1:8" x14ac:dyDescent="0.2">
      <c r="A960" s="2" t="s">
        <v>91</v>
      </c>
      <c r="B960" s="4">
        <v>5</v>
      </c>
      <c r="C960" s="5">
        <v>5.32</v>
      </c>
      <c r="D960" s="4">
        <v>2</v>
      </c>
      <c r="E960" s="5">
        <v>3.23</v>
      </c>
      <c r="F960" s="4">
        <v>1</v>
      </c>
      <c r="G960" s="5">
        <v>3.7</v>
      </c>
      <c r="H960" s="4">
        <v>0</v>
      </c>
    </row>
    <row r="961" spans="1:8" x14ac:dyDescent="0.2">
      <c r="A961" s="2" t="s">
        <v>92</v>
      </c>
      <c r="B961" s="4">
        <v>4</v>
      </c>
      <c r="C961" s="5">
        <v>4.26</v>
      </c>
      <c r="D961" s="4">
        <v>3</v>
      </c>
      <c r="E961" s="5">
        <v>4.84</v>
      </c>
      <c r="F961" s="4">
        <v>1</v>
      </c>
      <c r="G961" s="5">
        <v>3.7</v>
      </c>
      <c r="H961" s="4">
        <v>0</v>
      </c>
    </row>
    <row r="962" spans="1:8" x14ac:dyDescent="0.2">
      <c r="A962" s="1" t="s">
        <v>60</v>
      </c>
      <c r="B962" s="4">
        <v>60</v>
      </c>
      <c r="C962" s="5">
        <v>100.01</v>
      </c>
      <c r="D962" s="4">
        <v>41</v>
      </c>
      <c r="E962" s="5">
        <v>100.00999999999999</v>
      </c>
      <c r="F962" s="4">
        <v>16</v>
      </c>
      <c r="G962" s="5">
        <v>100</v>
      </c>
      <c r="H962" s="4">
        <v>0</v>
      </c>
    </row>
    <row r="963" spans="1:8" x14ac:dyDescent="0.2">
      <c r="A963" s="2" t="s">
        <v>78</v>
      </c>
      <c r="B963" s="4">
        <v>0</v>
      </c>
      <c r="C963" s="5">
        <v>0</v>
      </c>
      <c r="D963" s="4">
        <v>0</v>
      </c>
      <c r="E963" s="5">
        <v>0</v>
      </c>
      <c r="F963" s="4">
        <v>0</v>
      </c>
      <c r="G963" s="5">
        <v>0</v>
      </c>
      <c r="H963" s="4">
        <v>0</v>
      </c>
    </row>
    <row r="964" spans="1:8" x14ac:dyDescent="0.2">
      <c r="A964" s="2" t="s">
        <v>79</v>
      </c>
      <c r="B964" s="4">
        <v>21</v>
      </c>
      <c r="C964" s="5">
        <v>35</v>
      </c>
      <c r="D964" s="4">
        <v>15</v>
      </c>
      <c r="E964" s="5">
        <v>36.590000000000003</v>
      </c>
      <c r="F964" s="4">
        <v>6</v>
      </c>
      <c r="G964" s="5">
        <v>37.5</v>
      </c>
      <c r="H964" s="4">
        <v>0</v>
      </c>
    </row>
    <row r="965" spans="1:8" x14ac:dyDescent="0.2">
      <c r="A965" s="2" t="s">
        <v>80</v>
      </c>
      <c r="B965" s="4">
        <v>8</v>
      </c>
      <c r="C965" s="5">
        <v>13.33</v>
      </c>
      <c r="D965" s="4">
        <v>3</v>
      </c>
      <c r="E965" s="5">
        <v>7.32</v>
      </c>
      <c r="F965" s="4">
        <v>5</v>
      </c>
      <c r="G965" s="5">
        <v>31.25</v>
      </c>
      <c r="H965" s="4">
        <v>0</v>
      </c>
    </row>
    <row r="966" spans="1:8" x14ac:dyDescent="0.2">
      <c r="A966" s="2" t="s">
        <v>81</v>
      </c>
      <c r="B966" s="4">
        <v>0</v>
      </c>
      <c r="C966" s="5">
        <v>0</v>
      </c>
      <c r="D966" s="4">
        <v>0</v>
      </c>
      <c r="E966" s="5">
        <v>0</v>
      </c>
      <c r="F966" s="4">
        <v>0</v>
      </c>
      <c r="G966" s="5">
        <v>0</v>
      </c>
      <c r="H966" s="4">
        <v>0</v>
      </c>
    </row>
    <row r="967" spans="1:8" x14ac:dyDescent="0.2">
      <c r="A967" s="2" t="s">
        <v>82</v>
      </c>
      <c r="B967" s="4">
        <v>1</v>
      </c>
      <c r="C967" s="5">
        <v>1.67</v>
      </c>
      <c r="D967" s="4">
        <v>1</v>
      </c>
      <c r="E967" s="5">
        <v>2.44</v>
      </c>
      <c r="F967" s="4">
        <v>0</v>
      </c>
      <c r="G967" s="5">
        <v>0</v>
      </c>
      <c r="H967" s="4">
        <v>0</v>
      </c>
    </row>
    <row r="968" spans="1:8" x14ac:dyDescent="0.2">
      <c r="A968" s="2" t="s">
        <v>83</v>
      </c>
      <c r="B968" s="4">
        <v>1</v>
      </c>
      <c r="C968" s="5">
        <v>1.67</v>
      </c>
      <c r="D968" s="4">
        <v>1</v>
      </c>
      <c r="E968" s="5">
        <v>2.44</v>
      </c>
      <c r="F968" s="4">
        <v>0</v>
      </c>
      <c r="G968" s="5">
        <v>0</v>
      </c>
      <c r="H968" s="4">
        <v>0</v>
      </c>
    </row>
    <row r="969" spans="1:8" x14ac:dyDescent="0.2">
      <c r="A969" s="2" t="s">
        <v>84</v>
      </c>
      <c r="B969" s="4">
        <v>12</v>
      </c>
      <c r="C969" s="5">
        <v>20</v>
      </c>
      <c r="D969" s="4">
        <v>8</v>
      </c>
      <c r="E969" s="5">
        <v>19.510000000000002</v>
      </c>
      <c r="F969" s="4">
        <v>3</v>
      </c>
      <c r="G969" s="5">
        <v>18.75</v>
      </c>
      <c r="H969" s="4">
        <v>0</v>
      </c>
    </row>
    <row r="970" spans="1:8" x14ac:dyDescent="0.2">
      <c r="A970" s="2" t="s">
        <v>85</v>
      </c>
      <c r="B970" s="4">
        <v>0</v>
      </c>
      <c r="C970" s="5">
        <v>0</v>
      </c>
      <c r="D970" s="4">
        <v>0</v>
      </c>
      <c r="E970" s="5">
        <v>0</v>
      </c>
      <c r="F970" s="4">
        <v>0</v>
      </c>
      <c r="G970" s="5">
        <v>0</v>
      </c>
      <c r="H970" s="4">
        <v>0</v>
      </c>
    </row>
    <row r="971" spans="1:8" x14ac:dyDescent="0.2">
      <c r="A971" s="2" t="s">
        <v>86</v>
      </c>
      <c r="B971" s="4">
        <v>0</v>
      </c>
      <c r="C971" s="5">
        <v>0</v>
      </c>
      <c r="D971" s="4">
        <v>0</v>
      </c>
      <c r="E971" s="5">
        <v>0</v>
      </c>
      <c r="F971" s="4">
        <v>0</v>
      </c>
      <c r="G971" s="5">
        <v>0</v>
      </c>
      <c r="H971" s="4">
        <v>0</v>
      </c>
    </row>
    <row r="972" spans="1:8" x14ac:dyDescent="0.2">
      <c r="A972" s="2" t="s">
        <v>87</v>
      </c>
      <c r="B972" s="4">
        <v>0</v>
      </c>
      <c r="C972" s="5">
        <v>0</v>
      </c>
      <c r="D972" s="4">
        <v>0</v>
      </c>
      <c r="E972" s="5">
        <v>0</v>
      </c>
      <c r="F972" s="4">
        <v>0</v>
      </c>
      <c r="G972" s="5">
        <v>0</v>
      </c>
      <c r="H972" s="4">
        <v>0</v>
      </c>
    </row>
    <row r="973" spans="1:8" x14ac:dyDescent="0.2">
      <c r="A973" s="2" t="s">
        <v>88</v>
      </c>
      <c r="B973" s="4">
        <v>7</v>
      </c>
      <c r="C973" s="5">
        <v>11.67</v>
      </c>
      <c r="D973" s="4">
        <v>5</v>
      </c>
      <c r="E973" s="5">
        <v>12.2</v>
      </c>
      <c r="F973" s="4">
        <v>0</v>
      </c>
      <c r="G973" s="5">
        <v>0</v>
      </c>
      <c r="H973" s="4">
        <v>0</v>
      </c>
    </row>
    <row r="974" spans="1:8" x14ac:dyDescent="0.2">
      <c r="A974" s="2" t="s">
        <v>89</v>
      </c>
      <c r="B974" s="4">
        <v>7</v>
      </c>
      <c r="C974" s="5">
        <v>11.67</v>
      </c>
      <c r="D974" s="4">
        <v>6</v>
      </c>
      <c r="E974" s="5">
        <v>14.63</v>
      </c>
      <c r="F974" s="4">
        <v>1</v>
      </c>
      <c r="G974" s="5">
        <v>6.25</v>
      </c>
      <c r="H974" s="4">
        <v>0</v>
      </c>
    </row>
    <row r="975" spans="1:8" x14ac:dyDescent="0.2">
      <c r="A975" s="2" t="s">
        <v>90</v>
      </c>
      <c r="B975" s="4">
        <v>0</v>
      </c>
      <c r="C975" s="5">
        <v>0</v>
      </c>
      <c r="D975" s="4">
        <v>0</v>
      </c>
      <c r="E975" s="5">
        <v>0</v>
      </c>
      <c r="F975" s="4">
        <v>0</v>
      </c>
      <c r="G975" s="5">
        <v>0</v>
      </c>
      <c r="H975" s="4">
        <v>0</v>
      </c>
    </row>
    <row r="976" spans="1:8" x14ac:dyDescent="0.2">
      <c r="A976" s="2" t="s">
        <v>91</v>
      </c>
      <c r="B976" s="4">
        <v>1</v>
      </c>
      <c r="C976" s="5">
        <v>1.67</v>
      </c>
      <c r="D976" s="4">
        <v>1</v>
      </c>
      <c r="E976" s="5">
        <v>2.44</v>
      </c>
      <c r="F976" s="4">
        <v>0</v>
      </c>
      <c r="G976" s="5">
        <v>0</v>
      </c>
      <c r="H976" s="4">
        <v>0</v>
      </c>
    </row>
    <row r="977" spans="1:8" x14ac:dyDescent="0.2">
      <c r="A977" s="2" t="s">
        <v>92</v>
      </c>
      <c r="B977" s="4">
        <v>2</v>
      </c>
      <c r="C977" s="5">
        <v>3.33</v>
      </c>
      <c r="D977" s="4">
        <v>1</v>
      </c>
      <c r="E977" s="5">
        <v>2.44</v>
      </c>
      <c r="F977" s="4">
        <v>1</v>
      </c>
      <c r="G977" s="5">
        <v>6.25</v>
      </c>
      <c r="H977" s="4">
        <v>0</v>
      </c>
    </row>
    <row r="978" spans="1:8" x14ac:dyDescent="0.2">
      <c r="A978" s="1" t="s">
        <v>61</v>
      </c>
      <c r="B978" s="4">
        <v>205</v>
      </c>
      <c r="C978" s="5">
        <v>100.01</v>
      </c>
      <c r="D978" s="4">
        <v>111</v>
      </c>
      <c r="E978" s="5">
        <v>100</v>
      </c>
      <c r="F978" s="4">
        <v>91</v>
      </c>
      <c r="G978" s="5">
        <v>100.02</v>
      </c>
      <c r="H978" s="4">
        <v>0</v>
      </c>
    </row>
    <row r="979" spans="1:8" x14ac:dyDescent="0.2">
      <c r="A979" s="2" t="s">
        <v>78</v>
      </c>
      <c r="B979" s="4">
        <v>0</v>
      </c>
      <c r="C979" s="5">
        <v>0</v>
      </c>
      <c r="D979" s="4">
        <v>0</v>
      </c>
      <c r="E979" s="5">
        <v>0</v>
      </c>
      <c r="F979" s="4">
        <v>0</v>
      </c>
      <c r="G979" s="5">
        <v>0</v>
      </c>
      <c r="H979" s="4">
        <v>0</v>
      </c>
    </row>
    <row r="980" spans="1:8" x14ac:dyDescent="0.2">
      <c r="A980" s="2" t="s">
        <v>79</v>
      </c>
      <c r="B980" s="4">
        <v>61</v>
      </c>
      <c r="C980" s="5">
        <v>29.76</v>
      </c>
      <c r="D980" s="4">
        <v>30</v>
      </c>
      <c r="E980" s="5">
        <v>27.03</v>
      </c>
      <c r="F980" s="4">
        <v>31</v>
      </c>
      <c r="G980" s="5">
        <v>34.07</v>
      </c>
      <c r="H980" s="4">
        <v>0</v>
      </c>
    </row>
    <row r="981" spans="1:8" x14ac:dyDescent="0.2">
      <c r="A981" s="2" t="s">
        <v>80</v>
      </c>
      <c r="B981" s="4">
        <v>23</v>
      </c>
      <c r="C981" s="5">
        <v>11.22</v>
      </c>
      <c r="D981" s="4">
        <v>12</v>
      </c>
      <c r="E981" s="5">
        <v>10.81</v>
      </c>
      <c r="F981" s="4">
        <v>11</v>
      </c>
      <c r="G981" s="5">
        <v>12.09</v>
      </c>
      <c r="H981" s="4">
        <v>0</v>
      </c>
    </row>
    <row r="982" spans="1:8" x14ac:dyDescent="0.2">
      <c r="A982" s="2" t="s">
        <v>81</v>
      </c>
      <c r="B982" s="4">
        <v>4</v>
      </c>
      <c r="C982" s="5">
        <v>1.95</v>
      </c>
      <c r="D982" s="4">
        <v>0</v>
      </c>
      <c r="E982" s="5">
        <v>0</v>
      </c>
      <c r="F982" s="4">
        <v>3</v>
      </c>
      <c r="G982" s="5">
        <v>3.3</v>
      </c>
      <c r="H982" s="4">
        <v>0</v>
      </c>
    </row>
    <row r="983" spans="1:8" x14ac:dyDescent="0.2">
      <c r="A983" s="2" t="s">
        <v>82</v>
      </c>
      <c r="B983" s="4">
        <v>0</v>
      </c>
      <c r="C983" s="5">
        <v>0</v>
      </c>
      <c r="D983" s="4">
        <v>0</v>
      </c>
      <c r="E983" s="5">
        <v>0</v>
      </c>
      <c r="F983" s="4">
        <v>0</v>
      </c>
      <c r="G983" s="5">
        <v>0</v>
      </c>
      <c r="H983" s="4">
        <v>0</v>
      </c>
    </row>
    <row r="984" spans="1:8" x14ac:dyDescent="0.2">
      <c r="A984" s="2" t="s">
        <v>83</v>
      </c>
      <c r="B984" s="4">
        <v>4</v>
      </c>
      <c r="C984" s="5">
        <v>1.95</v>
      </c>
      <c r="D984" s="4">
        <v>1</v>
      </c>
      <c r="E984" s="5">
        <v>0.9</v>
      </c>
      <c r="F984" s="4">
        <v>3</v>
      </c>
      <c r="G984" s="5">
        <v>3.3</v>
      </c>
      <c r="H984" s="4">
        <v>0</v>
      </c>
    </row>
    <row r="985" spans="1:8" x14ac:dyDescent="0.2">
      <c r="A985" s="2" t="s">
        <v>84</v>
      </c>
      <c r="B985" s="4">
        <v>29</v>
      </c>
      <c r="C985" s="5">
        <v>14.15</v>
      </c>
      <c r="D985" s="4">
        <v>11</v>
      </c>
      <c r="E985" s="5">
        <v>9.91</v>
      </c>
      <c r="F985" s="4">
        <v>18</v>
      </c>
      <c r="G985" s="5">
        <v>19.78</v>
      </c>
      <c r="H985" s="4">
        <v>0</v>
      </c>
    </row>
    <row r="986" spans="1:8" x14ac:dyDescent="0.2">
      <c r="A986" s="2" t="s">
        <v>85</v>
      </c>
      <c r="B986" s="4">
        <v>0</v>
      </c>
      <c r="C986" s="5">
        <v>0</v>
      </c>
      <c r="D986" s="4">
        <v>0</v>
      </c>
      <c r="E986" s="5">
        <v>0</v>
      </c>
      <c r="F986" s="4">
        <v>0</v>
      </c>
      <c r="G986" s="5">
        <v>0</v>
      </c>
      <c r="H986" s="4">
        <v>0</v>
      </c>
    </row>
    <row r="987" spans="1:8" x14ac:dyDescent="0.2">
      <c r="A987" s="2" t="s">
        <v>86</v>
      </c>
      <c r="B987" s="4">
        <v>4</v>
      </c>
      <c r="C987" s="5">
        <v>1.95</v>
      </c>
      <c r="D987" s="4">
        <v>1</v>
      </c>
      <c r="E987" s="5">
        <v>0.9</v>
      </c>
      <c r="F987" s="4">
        <v>3</v>
      </c>
      <c r="G987" s="5">
        <v>3.3</v>
      </c>
      <c r="H987" s="4">
        <v>0</v>
      </c>
    </row>
    <row r="988" spans="1:8" x14ac:dyDescent="0.2">
      <c r="A988" s="2" t="s">
        <v>87</v>
      </c>
      <c r="B988" s="4">
        <v>5</v>
      </c>
      <c r="C988" s="5">
        <v>2.44</v>
      </c>
      <c r="D988" s="4">
        <v>3</v>
      </c>
      <c r="E988" s="5">
        <v>2.7</v>
      </c>
      <c r="F988" s="4">
        <v>2</v>
      </c>
      <c r="G988" s="5">
        <v>2.2000000000000002</v>
      </c>
      <c r="H988" s="4">
        <v>0</v>
      </c>
    </row>
    <row r="989" spans="1:8" x14ac:dyDescent="0.2">
      <c r="A989" s="2" t="s">
        <v>88</v>
      </c>
      <c r="B989" s="4">
        <v>21</v>
      </c>
      <c r="C989" s="5">
        <v>10.24</v>
      </c>
      <c r="D989" s="4">
        <v>18</v>
      </c>
      <c r="E989" s="5">
        <v>16.22</v>
      </c>
      <c r="F989" s="4">
        <v>3</v>
      </c>
      <c r="G989" s="5">
        <v>3.3</v>
      </c>
      <c r="H989" s="4">
        <v>0</v>
      </c>
    </row>
    <row r="990" spans="1:8" x14ac:dyDescent="0.2">
      <c r="A990" s="2" t="s">
        <v>89</v>
      </c>
      <c r="B990" s="4">
        <v>24</v>
      </c>
      <c r="C990" s="5">
        <v>11.71</v>
      </c>
      <c r="D990" s="4">
        <v>16</v>
      </c>
      <c r="E990" s="5">
        <v>14.41</v>
      </c>
      <c r="F990" s="4">
        <v>8</v>
      </c>
      <c r="G990" s="5">
        <v>8.7899999999999991</v>
      </c>
      <c r="H990" s="4">
        <v>0</v>
      </c>
    </row>
    <row r="991" spans="1:8" x14ac:dyDescent="0.2">
      <c r="A991" s="2" t="s">
        <v>90</v>
      </c>
      <c r="B991" s="4">
        <v>6</v>
      </c>
      <c r="C991" s="5">
        <v>2.93</v>
      </c>
      <c r="D991" s="4">
        <v>3</v>
      </c>
      <c r="E991" s="5">
        <v>2.7</v>
      </c>
      <c r="F991" s="4">
        <v>2</v>
      </c>
      <c r="G991" s="5">
        <v>2.2000000000000002</v>
      </c>
      <c r="H991" s="4">
        <v>0</v>
      </c>
    </row>
    <row r="992" spans="1:8" x14ac:dyDescent="0.2">
      <c r="A992" s="2" t="s">
        <v>91</v>
      </c>
      <c r="B992" s="4">
        <v>10</v>
      </c>
      <c r="C992" s="5">
        <v>4.88</v>
      </c>
      <c r="D992" s="4">
        <v>7</v>
      </c>
      <c r="E992" s="5">
        <v>6.31</v>
      </c>
      <c r="F992" s="4">
        <v>2</v>
      </c>
      <c r="G992" s="5">
        <v>2.2000000000000002</v>
      </c>
      <c r="H992" s="4">
        <v>0</v>
      </c>
    </row>
    <row r="993" spans="1:8" x14ac:dyDescent="0.2">
      <c r="A993" s="2" t="s">
        <v>92</v>
      </c>
      <c r="B993" s="4">
        <v>14</v>
      </c>
      <c r="C993" s="5">
        <v>6.83</v>
      </c>
      <c r="D993" s="4">
        <v>9</v>
      </c>
      <c r="E993" s="5">
        <v>8.11</v>
      </c>
      <c r="F993" s="4">
        <v>5</v>
      </c>
      <c r="G993" s="5">
        <v>5.49</v>
      </c>
      <c r="H993" s="4">
        <v>0</v>
      </c>
    </row>
    <row r="994" spans="1:8" x14ac:dyDescent="0.2">
      <c r="A994" s="1" t="s">
        <v>62</v>
      </c>
      <c r="B994" s="4">
        <v>80</v>
      </c>
      <c r="C994" s="5">
        <v>100</v>
      </c>
      <c r="D994" s="4">
        <v>52</v>
      </c>
      <c r="E994" s="5">
        <v>100.00999999999999</v>
      </c>
      <c r="F994" s="4">
        <v>25</v>
      </c>
      <c r="G994" s="5">
        <v>100</v>
      </c>
      <c r="H994" s="4">
        <v>0</v>
      </c>
    </row>
    <row r="995" spans="1:8" x14ac:dyDescent="0.2">
      <c r="A995" s="2" t="s">
        <v>78</v>
      </c>
      <c r="B995" s="4">
        <v>0</v>
      </c>
      <c r="C995" s="5">
        <v>0</v>
      </c>
      <c r="D995" s="4">
        <v>0</v>
      </c>
      <c r="E995" s="5">
        <v>0</v>
      </c>
      <c r="F995" s="4">
        <v>0</v>
      </c>
      <c r="G995" s="5">
        <v>0</v>
      </c>
      <c r="H995" s="4">
        <v>0</v>
      </c>
    </row>
    <row r="996" spans="1:8" x14ac:dyDescent="0.2">
      <c r="A996" s="2" t="s">
        <v>79</v>
      </c>
      <c r="B996" s="4">
        <v>13</v>
      </c>
      <c r="C996" s="5">
        <v>16.25</v>
      </c>
      <c r="D996" s="4">
        <v>10</v>
      </c>
      <c r="E996" s="5">
        <v>19.23</v>
      </c>
      <c r="F996" s="4">
        <v>3</v>
      </c>
      <c r="G996" s="5">
        <v>12</v>
      </c>
      <c r="H996" s="4">
        <v>0</v>
      </c>
    </row>
    <row r="997" spans="1:8" x14ac:dyDescent="0.2">
      <c r="A997" s="2" t="s">
        <v>80</v>
      </c>
      <c r="B997" s="4">
        <v>19</v>
      </c>
      <c r="C997" s="5">
        <v>23.75</v>
      </c>
      <c r="D997" s="4">
        <v>13</v>
      </c>
      <c r="E997" s="5">
        <v>25</v>
      </c>
      <c r="F997" s="4">
        <v>6</v>
      </c>
      <c r="G997" s="5">
        <v>24</v>
      </c>
      <c r="H997" s="4">
        <v>0</v>
      </c>
    </row>
    <row r="998" spans="1:8" x14ac:dyDescent="0.2">
      <c r="A998" s="2" t="s">
        <v>81</v>
      </c>
      <c r="B998" s="4">
        <v>1</v>
      </c>
      <c r="C998" s="5">
        <v>1.25</v>
      </c>
      <c r="D998" s="4">
        <v>0</v>
      </c>
      <c r="E998" s="5">
        <v>0</v>
      </c>
      <c r="F998" s="4">
        <v>0</v>
      </c>
      <c r="G998" s="5">
        <v>0</v>
      </c>
      <c r="H998" s="4">
        <v>0</v>
      </c>
    </row>
    <row r="999" spans="1:8" x14ac:dyDescent="0.2">
      <c r="A999" s="2" t="s">
        <v>82</v>
      </c>
      <c r="B999" s="4">
        <v>0</v>
      </c>
      <c r="C999" s="5">
        <v>0</v>
      </c>
      <c r="D999" s="4">
        <v>0</v>
      </c>
      <c r="E999" s="5">
        <v>0</v>
      </c>
      <c r="F999" s="4">
        <v>0</v>
      </c>
      <c r="G999" s="5">
        <v>0</v>
      </c>
      <c r="H999" s="4">
        <v>0</v>
      </c>
    </row>
    <row r="1000" spans="1:8" x14ac:dyDescent="0.2">
      <c r="A1000" s="2" t="s">
        <v>83</v>
      </c>
      <c r="B1000" s="4">
        <v>3</v>
      </c>
      <c r="C1000" s="5">
        <v>3.75</v>
      </c>
      <c r="D1000" s="4">
        <v>1</v>
      </c>
      <c r="E1000" s="5">
        <v>1.92</v>
      </c>
      <c r="F1000" s="4">
        <v>2</v>
      </c>
      <c r="G1000" s="5">
        <v>8</v>
      </c>
      <c r="H1000" s="4">
        <v>0</v>
      </c>
    </row>
    <row r="1001" spans="1:8" x14ac:dyDescent="0.2">
      <c r="A1001" s="2" t="s">
        <v>84</v>
      </c>
      <c r="B1001" s="4">
        <v>18</v>
      </c>
      <c r="C1001" s="5">
        <v>22.5</v>
      </c>
      <c r="D1001" s="4">
        <v>9</v>
      </c>
      <c r="E1001" s="5">
        <v>17.309999999999999</v>
      </c>
      <c r="F1001" s="4">
        <v>9</v>
      </c>
      <c r="G1001" s="5">
        <v>36</v>
      </c>
      <c r="H1001" s="4">
        <v>0</v>
      </c>
    </row>
    <row r="1002" spans="1:8" x14ac:dyDescent="0.2">
      <c r="A1002" s="2" t="s">
        <v>85</v>
      </c>
      <c r="B1002" s="4">
        <v>0</v>
      </c>
      <c r="C1002" s="5">
        <v>0</v>
      </c>
      <c r="D1002" s="4">
        <v>0</v>
      </c>
      <c r="E1002" s="5">
        <v>0</v>
      </c>
      <c r="F1002" s="4">
        <v>0</v>
      </c>
      <c r="G1002" s="5">
        <v>0</v>
      </c>
      <c r="H1002" s="4">
        <v>0</v>
      </c>
    </row>
    <row r="1003" spans="1:8" x14ac:dyDescent="0.2">
      <c r="A1003" s="2" t="s">
        <v>86</v>
      </c>
      <c r="B1003" s="4">
        <v>1</v>
      </c>
      <c r="C1003" s="5">
        <v>1.25</v>
      </c>
      <c r="D1003" s="4">
        <v>0</v>
      </c>
      <c r="E1003" s="5">
        <v>0</v>
      </c>
      <c r="F1003" s="4">
        <v>1</v>
      </c>
      <c r="G1003" s="5">
        <v>4</v>
      </c>
      <c r="H1003" s="4">
        <v>0</v>
      </c>
    </row>
    <row r="1004" spans="1:8" x14ac:dyDescent="0.2">
      <c r="A1004" s="2" t="s">
        <v>87</v>
      </c>
      <c r="B1004" s="4">
        <v>3</v>
      </c>
      <c r="C1004" s="5">
        <v>3.75</v>
      </c>
      <c r="D1004" s="4">
        <v>3</v>
      </c>
      <c r="E1004" s="5">
        <v>5.77</v>
      </c>
      <c r="F1004" s="4">
        <v>0</v>
      </c>
      <c r="G1004" s="5">
        <v>0</v>
      </c>
      <c r="H1004" s="4">
        <v>0</v>
      </c>
    </row>
    <row r="1005" spans="1:8" x14ac:dyDescent="0.2">
      <c r="A1005" s="2" t="s">
        <v>88</v>
      </c>
      <c r="B1005" s="4">
        <v>8</v>
      </c>
      <c r="C1005" s="5">
        <v>10</v>
      </c>
      <c r="D1005" s="4">
        <v>5</v>
      </c>
      <c r="E1005" s="5">
        <v>9.6199999999999992</v>
      </c>
      <c r="F1005" s="4">
        <v>3</v>
      </c>
      <c r="G1005" s="5">
        <v>12</v>
      </c>
      <c r="H1005" s="4">
        <v>0</v>
      </c>
    </row>
    <row r="1006" spans="1:8" x14ac:dyDescent="0.2">
      <c r="A1006" s="2" t="s">
        <v>89</v>
      </c>
      <c r="B1006" s="4">
        <v>3</v>
      </c>
      <c r="C1006" s="5">
        <v>3.75</v>
      </c>
      <c r="D1006" s="4">
        <v>3</v>
      </c>
      <c r="E1006" s="5">
        <v>5.77</v>
      </c>
      <c r="F1006" s="4">
        <v>0</v>
      </c>
      <c r="G1006" s="5">
        <v>0</v>
      </c>
      <c r="H1006" s="4">
        <v>0</v>
      </c>
    </row>
    <row r="1007" spans="1:8" x14ac:dyDescent="0.2">
      <c r="A1007" s="2" t="s">
        <v>90</v>
      </c>
      <c r="B1007" s="4">
        <v>6</v>
      </c>
      <c r="C1007" s="5">
        <v>7.5</v>
      </c>
      <c r="D1007" s="4">
        <v>3</v>
      </c>
      <c r="E1007" s="5">
        <v>5.77</v>
      </c>
      <c r="F1007" s="4">
        <v>1</v>
      </c>
      <c r="G1007" s="5">
        <v>4</v>
      </c>
      <c r="H1007" s="4">
        <v>0</v>
      </c>
    </row>
    <row r="1008" spans="1:8" x14ac:dyDescent="0.2">
      <c r="A1008" s="2" t="s">
        <v>91</v>
      </c>
      <c r="B1008" s="4">
        <v>3</v>
      </c>
      <c r="C1008" s="5">
        <v>3.75</v>
      </c>
      <c r="D1008" s="4">
        <v>3</v>
      </c>
      <c r="E1008" s="5">
        <v>5.77</v>
      </c>
      <c r="F1008" s="4">
        <v>0</v>
      </c>
      <c r="G1008" s="5">
        <v>0</v>
      </c>
      <c r="H1008" s="4">
        <v>0</v>
      </c>
    </row>
    <row r="1009" spans="1:8" x14ac:dyDescent="0.2">
      <c r="A1009" s="2" t="s">
        <v>92</v>
      </c>
      <c r="B1009" s="4">
        <v>2</v>
      </c>
      <c r="C1009" s="5">
        <v>2.5</v>
      </c>
      <c r="D1009" s="4">
        <v>2</v>
      </c>
      <c r="E1009" s="5">
        <v>3.85</v>
      </c>
      <c r="F1009" s="4">
        <v>0</v>
      </c>
      <c r="G1009" s="5">
        <v>0</v>
      </c>
      <c r="H1009" s="4">
        <v>0</v>
      </c>
    </row>
    <row r="1010" spans="1:8" x14ac:dyDescent="0.2">
      <c r="A1010" s="1" t="s">
        <v>63</v>
      </c>
      <c r="B1010" s="4">
        <v>127</v>
      </c>
      <c r="C1010" s="5">
        <v>99.97999999999999</v>
      </c>
      <c r="D1010" s="4">
        <v>90</v>
      </c>
      <c r="E1010" s="5">
        <v>99.98</v>
      </c>
      <c r="F1010" s="4">
        <v>30</v>
      </c>
      <c r="G1010" s="5">
        <v>99.99</v>
      </c>
      <c r="H1010" s="4">
        <v>0</v>
      </c>
    </row>
    <row r="1011" spans="1:8" x14ac:dyDescent="0.2">
      <c r="A1011" s="2" t="s">
        <v>78</v>
      </c>
      <c r="B1011" s="4">
        <v>0</v>
      </c>
      <c r="C1011" s="5">
        <v>0</v>
      </c>
      <c r="D1011" s="4">
        <v>0</v>
      </c>
      <c r="E1011" s="5">
        <v>0</v>
      </c>
      <c r="F1011" s="4">
        <v>0</v>
      </c>
      <c r="G1011" s="5">
        <v>0</v>
      </c>
      <c r="H1011" s="4">
        <v>0</v>
      </c>
    </row>
    <row r="1012" spans="1:8" x14ac:dyDescent="0.2">
      <c r="A1012" s="2" t="s">
        <v>79</v>
      </c>
      <c r="B1012" s="4">
        <v>34</v>
      </c>
      <c r="C1012" s="5">
        <v>26.77</v>
      </c>
      <c r="D1012" s="4">
        <v>24</v>
      </c>
      <c r="E1012" s="5">
        <v>26.67</v>
      </c>
      <c r="F1012" s="4">
        <v>10</v>
      </c>
      <c r="G1012" s="5">
        <v>33.33</v>
      </c>
      <c r="H1012" s="4">
        <v>0</v>
      </c>
    </row>
    <row r="1013" spans="1:8" x14ac:dyDescent="0.2">
      <c r="A1013" s="2" t="s">
        <v>80</v>
      </c>
      <c r="B1013" s="4">
        <v>6</v>
      </c>
      <c r="C1013" s="5">
        <v>4.72</v>
      </c>
      <c r="D1013" s="4">
        <v>4</v>
      </c>
      <c r="E1013" s="5">
        <v>4.4400000000000004</v>
      </c>
      <c r="F1013" s="4">
        <v>2</v>
      </c>
      <c r="G1013" s="5">
        <v>6.67</v>
      </c>
      <c r="H1013" s="4">
        <v>0</v>
      </c>
    </row>
    <row r="1014" spans="1:8" x14ac:dyDescent="0.2">
      <c r="A1014" s="2" t="s">
        <v>81</v>
      </c>
      <c r="B1014" s="4">
        <v>0</v>
      </c>
      <c r="C1014" s="5">
        <v>0</v>
      </c>
      <c r="D1014" s="4">
        <v>0</v>
      </c>
      <c r="E1014" s="5">
        <v>0</v>
      </c>
      <c r="F1014" s="4">
        <v>0</v>
      </c>
      <c r="G1014" s="5">
        <v>0</v>
      </c>
      <c r="H1014" s="4">
        <v>0</v>
      </c>
    </row>
    <row r="1015" spans="1:8" x14ac:dyDescent="0.2">
      <c r="A1015" s="2" t="s">
        <v>82</v>
      </c>
      <c r="B1015" s="4">
        <v>0</v>
      </c>
      <c r="C1015" s="5">
        <v>0</v>
      </c>
      <c r="D1015" s="4">
        <v>0</v>
      </c>
      <c r="E1015" s="5">
        <v>0</v>
      </c>
      <c r="F1015" s="4">
        <v>0</v>
      </c>
      <c r="G1015" s="5">
        <v>0</v>
      </c>
      <c r="H1015" s="4">
        <v>0</v>
      </c>
    </row>
    <row r="1016" spans="1:8" x14ac:dyDescent="0.2">
      <c r="A1016" s="2" t="s">
        <v>83</v>
      </c>
      <c r="B1016" s="4">
        <v>8</v>
      </c>
      <c r="C1016" s="5">
        <v>6.3</v>
      </c>
      <c r="D1016" s="4">
        <v>4</v>
      </c>
      <c r="E1016" s="5">
        <v>4.4400000000000004</v>
      </c>
      <c r="F1016" s="4">
        <v>1</v>
      </c>
      <c r="G1016" s="5">
        <v>3.33</v>
      </c>
      <c r="H1016" s="4">
        <v>0</v>
      </c>
    </row>
    <row r="1017" spans="1:8" x14ac:dyDescent="0.2">
      <c r="A1017" s="2" t="s">
        <v>84</v>
      </c>
      <c r="B1017" s="4">
        <v>42</v>
      </c>
      <c r="C1017" s="5">
        <v>33.07</v>
      </c>
      <c r="D1017" s="4">
        <v>31</v>
      </c>
      <c r="E1017" s="5">
        <v>34.44</v>
      </c>
      <c r="F1017" s="4">
        <v>11</v>
      </c>
      <c r="G1017" s="5">
        <v>36.67</v>
      </c>
      <c r="H1017" s="4">
        <v>0</v>
      </c>
    </row>
    <row r="1018" spans="1:8" x14ac:dyDescent="0.2">
      <c r="A1018" s="2" t="s">
        <v>85</v>
      </c>
      <c r="B1018" s="4">
        <v>0</v>
      </c>
      <c r="C1018" s="5">
        <v>0</v>
      </c>
      <c r="D1018" s="4">
        <v>0</v>
      </c>
      <c r="E1018" s="5">
        <v>0</v>
      </c>
      <c r="F1018" s="4">
        <v>0</v>
      </c>
      <c r="G1018" s="5">
        <v>0</v>
      </c>
      <c r="H1018" s="4">
        <v>0</v>
      </c>
    </row>
    <row r="1019" spans="1:8" x14ac:dyDescent="0.2">
      <c r="A1019" s="2" t="s">
        <v>86</v>
      </c>
      <c r="B1019" s="4">
        <v>2</v>
      </c>
      <c r="C1019" s="5">
        <v>1.57</v>
      </c>
      <c r="D1019" s="4">
        <v>2</v>
      </c>
      <c r="E1019" s="5">
        <v>2.2200000000000002</v>
      </c>
      <c r="F1019" s="4">
        <v>0</v>
      </c>
      <c r="G1019" s="5">
        <v>0</v>
      </c>
      <c r="H1019" s="4">
        <v>0</v>
      </c>
    </row>
    <row r="1020" spans="1:8" x14ac:dyDescent="0.2">
      <c r="A1020" s="2" t="s">
        <v>87</v>
      </c>
      <c r="B1020" s="4">
        <v>3</v>
      </c>
      <c r="C1020" s="5">
        <v>2.36</v>
      </c>
      <c r="D1020" s="4">
        <v>1</v>
      </c>
      <c r="E1020" s="5">
        <v>1.1100000000000001</v>
      </c>
      <c r="F1020" s="4">
        <v>2</v>
      </c>
      <c r="G1020" s="5">
        <v>6.67</v>
      </c>
      <c r="H1020" s="4">
        <v>0</v>
      </c>
    </row>
    <row r="1021" spans="1:8" x14ac:dyDescent="0.2">
      <c r="A1021" s="2" t="s">
        <v>88</v>
      </c>
      <c r="B1021" s="4">
        <v>10</v>
      </c>
      <c r="C1021" s="5">
        <v>7.87</v>
      </c>
      <c r="D1021" s="4">
        <v>9</v>
      </c>
      <c r="E1021" s="5">
        <v>10</v>
      </c>
      <c r="F1021" s="4">
        <v>1</v>
      </c>
      <c r="G1021" s="5">
        <v>3.33</v>
      </c>
      <c r="H1021" s="4">
        <v>0</v>
      </c>
    </row>
    <row r="1022" spans="1:8" x14ac:dyDescent="0.2">
      <c r="A1022" s="2" t="s">
        <v>89</v>
      </c>
      <c r="B1022" s="4">
        <v>12</v>
      </c>
      <c r="C1022" s="5">
        <v>9.4499999999999993</v>
      </c>
      <c r="D1022" s="4">
        <v>11</v>
      </c>
      <c r="E1022" s="5">
        <v>12.22</v>
      </c>
      <c r="F1022" s="4">
        <v>0</v>
      </c>
      <c r="G1022" s="5">
        <v>0</v>
      </c>
      <c r="H1022" s="4">
        <v>0</v>
      </c>
    </row>
    <row r="1023" spans="1:8" x14ac:dyDescent="0.2">
      <c r="A1023" s="2" t="s">
        <v>90</v>
      </c>
      <c r="B1023" s="4">
        <v>2</v>
      </c>
      <c r="C1023" s="5">
        <v>1.57</v>
      </c>
      <c r="D1023" s="4">
        <v>0</v>
      </c>
      <c r="E1023" s="5">
        <v>0</v>
      </c>
      <c r="F1023" s="4">
        <v>1</v>
      </c>
      <c r="G1023" s="5">
        <v>3.33</v>
      </c>
      <c r="H1023" s="4">
        <v>0</v>
      </c>
    </row>
    <row r="1024" spans="1:8" x14ac:dyDescent="0.2">
      <c r="A1024" s="2" t="s">
        <v>91</v>
      </c>
      <c r="B1024" s="4">
        <v>5</v>
      </c>
      <c r="C1024" s="5">
        <v>3.94</v>
      </c>
      <c r="D1024" s="4">
        <v>2</v>
      </c>
      <c r="E1024" s="5">
        <v>2.2200000000000002</v>
      </c>
      <c r="F1024" s="4">
        <v>1</v>
      </c>
      <c r="G1024" s="5">
        <v>3.33</v>
      </c>
      <c r="H1024" s="4">
        <v>0</v>
      </c>
    </row>
    <row r="1025" spans="1:8" x14ac:dyDescent="0.2">
      <c r="A1025" s="2" t="s">
        <v>92</v>
      </c>
      <c r="B1025" s="4">
        <v>3</v>
      </c>
      <c r="C1025" s="5">
        <v>2.36</v>
      </c>
      <c r="D1025" s="4">
        <v>2</v>
      </c>
      <c r="E1025" s="5">
        <v>2.2200000000000002</v>
      </c>
      <c r="F1025" s="4">
        <v>1</v>
      </c>
      <c r="G1025" s="5">
        <v>3.33</v>
      </c>
      <c r="H1025" s="4">
        <v>0</v>
      </c>
    </row>
    <row r="1026" spans="1:8" x14ac:dyDescent="0.2">
      <c r="A1026" s="1" t="s">
        <v>64</v>
      </c>
      <c r="B1026" s="4">
        <v>329</v>
      </c>
      <c r="C1026" s="5">
        <v>99.99</v>
      </c>
      <c r="D1026" s="4">
        <v>219</v>
      </c>
      <c r="E1026" s="5">
        <v>100.00000000000001</v>
      </c>
      <c r="F1026" s="4">
        <v>102</v>
      </c>
      <c r="G1026" s="5">
        <v>99.98</v>
      </c>
      <c r="H1026" s="4">
        <v>3</v>
      </c>
    </row>
    <row r="1027" spans="1:8" x14ac:dyDescent="0.2">
      <c r="A1027" s="2" t="s">
        <v>78</v>
      </c>
      <c r="B1027" s="4">
        <v>1</v>
      </c>
      <c r="C1027" s="5">
        <v>0.3</v>
      </c>
      <c r="D1027" s="4">
        <v>1</v>
      </c>
      <c r="E1027" s="5">
        <v>0.46</v>
      </c>
      <c r="F1027" s="4">
        <v>0</v>
      </c>
      <c r="G1027" s="5">
        <v>0</v>
      </c>
      <c r="H1027" s="4">
        <v>0</v>
      </c>
    </row>
    <row r="1028" spans="1:8" x14ac:dyDescent="0.2">
      <c r="A1028" s="2" t="s">
        <v>79</v>
      </c>
      <c r="B1028" s="4">
        <v>72</v>
      </c>
      <c r="C1028" s="5">
        <v>21.88</v>
      </c>
      <c r="D1028" s="4">
        <v>43</v>
      </c>
      <c r="E1028" s="5">
        <v>19.63</v>
      </c>
      <c r="F1028" s="4">
        <v>29</v>
      </c>
      <c r="G1028" s="5">
        <v>28.43</v>
      </c>
      <c r="H1028" s="4">
        <v>0</v>
      </c>
    </row>
    <row r="1029" spans="1:8" x14ac:dyDescent="0.2">
      <c r="A1029" s="2" t="s">
        <v>80</v>
      </c>
      <c r="B1029" s="4">
        <v>26</v>
      </c>
      <c r="C1029" s="5">
        <v>7.9</v>
      </c>
      <c r="D1029" s="4">
        <v>17</v>
      </c>
      <c r="E1029" s="5">
        <v>7.76</v>
      </c>
      <c r="F1029" s="4">
        <v>9</v>
      </c>
      <c r="G1029" s="5">
        <v>8.82</v>
      </c>
      <c r="H1029" s="4">
        <v>0</v>
      </c>
    </row>
    <row r="1030" spans="1:8" x14ac:dyDescent="0.2">
      <c r="A1030" s="2" t="s">
        <v>81</v>
      </c>
      <c r="B1030" s="4">
        <v>2</v>
      </c>
      <c r="C1030" s="5">
        <v>0.61</v>
      </c>
      <c r="D1030" s="4">
        <v>1</v>
      </c>
      <c r="E1030" s="5">
        <v>0.46</v>
      </c>
      <c r="F1030" s="4">
        <v>1</v>
      </c>
      <c r="G1030" s="5">
        <v>0.98</v>
      </c>
      <c r="H1030" s="4">
        <v>0</v>
      </c>
    </row>
    <row r="1031" spans="1:8" x14ac:dyDescent="0.2">
      <c r="A1031" s="2" t="s">
        <v>82</v>
      </c>
      <c r="B1031" s="4">
        <v>3</v>
      </c>
      <c r="C1031" s="5">
        <v>0.91</v>
      </c>
      <c r="D1031" s="4">
        <v>2</v>
      </c>
      <c r="E1031" s="5">
        <v>0.91</v>
      </c>
      <c r="F1031" s="4">
        <v>1</v>
      </c>
      <c r="G1031" s="5">
        <v>0.98</v>
      </c>
      <c r="H1031" s="4">
        <v>0</v>
      </c>
    </row>
    <row r="1032" spans="1:8" x14ac:dyDescent="0.2">
      <c r="A1032" s="2" t="s">
        <v>83</v>
      </c>
      <c r="B1032" s="4">
        <v>7</v>
      </c>
      <c r="C1032" s="5">
        <v>2.13</v>
      </c>
      <c r="D1032" s="4">
        <v>5</v>
      </c>
      <c r="E1032" s="5">
        <v>2.2799999999999998</v>
      </c>
      <c r="F1032" s="4">
        <v>1</v>
      </c>
      <c r="G1032" s="5">
        <v>0.98</v>
      </c>
      <c r="H1032" s="4">
        <v>1</v>
      </c>
    </row>
    <row r="1033" spans="1:8" x14ac:dyDescent="0.2">
      <c r="A1033" s="2" t="s">
        <v>84</v>
      </c>
      <c r="B1033" s="4">
        <v>71</v>
      </c>
      <c r="C1033" s="5">
        <v>21.58</v>
      </c>
      <c r="D1033" s="4">
        <v>44</v>
      </c>
      <c r="E1033" s="5">
        <v>20.09</v>
      </c>
      <c r="F1033" s="4">
        <v>27</v>
      </c>
      <c r="G1033" s="5">
        <v>26.47</v>
      </c>
      <c r="H1033" s="4">
        <v>0</v>
      </c>
    </row>
    <row r="1034" spans="1:8" x14ac:dyDescent="0.2">
      <c r="A1034" s="2" t="s">
        <v>85</v>
      </c>
      <c r="B1034" s="4">
        <v>3</v>
      </c>
      <c r="C1034" s="5">
        <v>0.91</v>
      </c>
      <c r="D1034" s="4">
        <v>1</v>
      </c>
      <c r="E1034" s="5">
        <v>0.46</v>
      </c>
      <c r="F1034" s="4">
        <v>1</v>
      </c>
      <c r="G1034" s="5">
        <v>0.98</v>
      </c>
      <c r="H1034" s="4">
        <v>0</v>
      </c>
    </row>
    <row r="1035" spans="1:8" x14ac:dyDescent="0.2">
      <c r="A1035" s="2" t="s">
        <v>86</v>
      </c>
      <c r="B1035" s="4">
        <v>10</v>
      </c>
      <c r="C1035" s="5">
        <v>3.04</v>
      </c>
      <c r="D1035" s="4">
        <v>3</v>
      </c>
      <c r="E1035" s="5">
        <v>1.37</v>
      </c>
      <c r="F1035" s="4">
        <v>7</v>
      </c>
      <c r="G1035" s="5">
        <v>6.86</v>
      </c>
      <c r="H1035" s="4">
        <v>0</v>
      </c>
    </row>
    <row r="1036" spans="1:8" x14ac:dyDescent="0.2">
      <c r="A1036" s="2" t="s">
        <v>87</v>
      </c>
      <c r="B1036" s="4">
        <v>19</v>
      </c>
      <c r="C1036" s="5">
        <v>5.78</v>
      </c>
      <c r="D1036" s="4">
        <v>12</v>
      </c>
      <c r="E1036" s="5">
        <v>5.48</v>
      </c>
      <c r="F1036" s="4">
        <v>6</v>
      </c>
      <c r="G1036" s="5">
        <v>5.88</v>
      </c>
      <c r="H1036" s="4">
        <v>1</v>
      </c>
    </row>
    <row r="1037" spans="1:8" x14ac:dyDescent="0.2">
      <c r="A1037" s="2" t="s">
        <v>88</v>
      </c>
      <c r="B1037" s="4">
        <v>25</v>
      </c>
      <c r="C1037" s="5">
        <v>7.6</v>
      </c>
      <c r="D1037" s="4">
        <v>24</v>
      </c>
      <c r="E1037" s="5">
        <v>10.96</v>
      </c>
      <c r="F1037" s="4">
        <v>1</v>
      </c>
      <c r="G1037" s="5">
        <v>0.98</v>
      </c>
      <c r="H1037" s="4">
        <v>0</v>
      </c>
    </row>
    <row r="1038" spans="1:8" x14ac:dyDescent="0.2">
      <c r="A1038" s="2" t="s">
        <v>89</v>
      </c>
      <c r="B1038" s="4">
        <v>44</v>
      </c>
      <c r="C1038" s="5">
        <v>13.37</v>
      </c>
      <c r="D1038" s="4">
        <v>34</v>
      </c>
      <c r="E1038" s="5">
        <v>15.53</v>
      </c>
      <c r="F1038" s="4">
        <v>8</v>
      </c>
      <c r="G1038" s="5">
        <v>7.84</v>
      </c>
      <c r="H1038" s="4">
        <v>1</v>
      </c>
    </row>
    <row r="1039" spans="1:8" x14ac:dyDescent="0.2">
      <c r="A1039" s="2" t="s">
        <v>90</v>
      </c>
      <c r="B1039" s="4">
        <v>18</v>
      </c>
      <c r="C1039" s="5">
        <v>5.47</v>
      </c>
      <c r="D1039" s="4">
        <v>14</v>
      </c>
      <c r="E1039" s="5">
        <v>6.39</v>
      </c>
      <c r="F1039" s="4">
        <v>2</v>
      </c>
      <c r="G1039" s="5">
        <v>1.96</v>
      </c>
      <c r="H1039" s="4">
        <v>0</v>
      </c>
    </row>
    <row r="1040" spans="1:8" x14ac:dyDescent="0.2">
      <c r="A1040" s="2" t="s">
        <v>91</v>
      </c>
      <c r="B1040" s="4">
        <v>17</v>
      </c>
      <c r="C1040" s="5">
        <v>5.17</v>
      </c>
      <c r="D1040" s="4">
        <v>12</v>
      </c>
      <c r="E1040" s="5">
        <v>5.48</v>
      </c>
      <c r="F1040" s="4">
        <v>5</v>
      </c>
      <c r="G1040" s="5">
        <v>4.9000000000000004</v>
      </c>
      <c r="H1040" s="4">
        <v>0</v>
      </c>
    </row>
    <row r="1041" spans="1:8" x14ac:dyDescent="0.2">
      <c r="A1041" s="2" t="s">
        <v>92</v>
      </c>
      <c r="B1041" s="4">
        <v>11</v>
      </c>
      <c r="C1041" s="5">
        <v>3.34</v>
      </c>
      <c r="D1041" s="4">
        <v>6</v>
      </c>
      <c r="E1041" s="5">
        <v>2.74</v>
      </c>
      <c r="F1041" s="4">
        <v>4</v>
      </c>
      <c r="G1041" s="5">
        <v>3.92</v>
      </c>
      <c r="H1041" s="4">
        <v>0</v>
      </c>
    </row>
    <row r="1042" spans="1:8" x14ac:dyDescent="0.2">
      <c r="A1042" s="1" t="s">
        <v>65</v>
      </c>
      <c r="B1042" s="4">
        <v>291</v>
      </c>
      <c r="C1042" s="5">
        <v>100</v>
      </c>
      <c r="D1042" s="4">
        <v>190</v>
      </c>
      <c r="E1042" s="5">
        <v>100</v>
      </c>
      <c r="F1042" s="4">
        <v>97</v>
      </c>
      <c r="G1042" s="5">
        <v>100</v>
      </c>
      <c r="H1042" s="4">
        <v>3</v>
      </c>
    </row>
    <row r="1043" spans="1:8" x14ac:dyDescent="0.2">
      <c r="A1043" s="2" t="s">
        <v>78</v>
      </c>
      <c r="B1043" s="4">
        <v>1</v>
      </c>
      <c r="C1043" s="5">
        <v>0.34</v>
      </c>
      <c r="D1043" s="4">
        <v>1</v>
      </c>
      <c r="E1043" s="5">
        <v>0.53</v>
      </c>
      <c r="F1043" s="4">
        <v>0</v>
      </c>
      <c r="G1043" s="5">
        <v>0</v>
      </c>
      <c r="H1043" s="4">
        <v>0</v>
      </c>
    </row>
    <row r="1044" spans="1:8" x14ac:dyDescent="0.2">
      <c r="A1044" s="2" t="s">
        <v>79</v>
      </c>
      <c r="B1044" s="4">
        <v>66</v>
      </c>
      <c r="C1044" s="5">
        <v>22.68</v>
      </c>
      <c r="D1044" s="4">
        <v>36</v>
      </c>
      <c r="E1044" s="5">
        <v>18.95</v>
      </c>
      <c r="F1044" s="4">
        <v>30</v>
      </c>
      <c r="G1044" s="5">
        <v>30.93</v>
      </c>
      <c r="H1044" s="4">
        <v>0</v>
      </c>
    </row>
    <row r="1045" spans="1:8" x14ac:dyDescent="0.2">
      <c r="A1045" s="2" t="s">
        <v>80</v>
      </c>
      <c r="B1045" s="4">
        <v>35</v>
      </c>
      <c r="C1045" s="5">
        <v>12.03</v>
      </c>
      <c r="D1045" s="4">
        <v>14</v>
      </c>
      <c r="E1045" s="5">
        <v>7.37</v>
      </c>
      <c r="F1045" s="4">
        <v>19</v>
      </c>
      <c r="G1045" s="5">
        <v>19.59</v>
      </c>
      <c r="H1045" s="4">
        <v>2</v>
      </c>
    </row>
    <row r="1046" spans="1:8" x14ac:dyDescent="0.2">
      <c r="A1046" s="2" t="s">
        <v>81</v>
      </c>
      <c r="B1046" s="4">
        <v>2</v>
      </c>
      <c r="C1046" s="5">
        <v>0.69</v>
      </c>
      <c r="D1046" s="4">
        <v>0</v>
      </c>
      <c r="E1046" s="5">
        <v>0</v>
      </c>
      <c r="F1046" s="4">
        <v>1</v>
      </c>
      <c r="G1046" s="5">
        <v>1.03</v>
      </c>
      <c r="H1046" s="4">
        <v>0</v>
      </c>
    </row>
    <row r="1047" spans="1:8" x14ac:dyDescent="0.2">
      <c r="A1047" s="2" t="s">
        <v>82</v>
      </c>
      <c r="B1047" s="4">
        <v>3</v>
      </c>
      <c r="C1047" s="5">
        <v>1.03</v>
      </c>
      <c r="D1047" s="4">
        <v>2</v>
      </c>
      <c r="E1047" s="5">
        <v>1.05</v>
      </c>
      <c r="F1047" s="4">
        <v>1</v>
      </c>
      <c r="G1047" s="5">
        <v>1.03</v>
      </c>
      <c r="H1047" s="4">
        <v>0</v>
      </c>
    </row>
    <row r="1048" spans="1:8" x14ac:dyDescent="0.2">
      <c r="A1048" s="2" t="s">
        <v>83</v>
      </c>
      <c r="B1048" s="4">
        <v>3</v>
      </c>
      <c r="C1048" s="5">
        <v>1.03</v>
      </c>
      <c r="D1048" s="4">
        <v>1</v>
      </c>
      <c r="E1048" s="5">
        <v>0.53</v>
      </c>
      <c r="F1048" s="4">
        <v>1</v>
      </c>
      <c r="G1048" s="5">
        <v>1.03</v>
      </c>
      <c r="H1048" s="4">
        <v>1</v>
      </c>
    </row>
    <row r="1049" spans="1:8" x14ac:dyDescent="0.2">
      <c r="A1049" s="2" t="s">
        <v>84</v>
      </c>
      <c r="B1049" s="4">
        <v>61</v>
      </c>
      <c r="C1049" s="5">
        <v>20.96</v>
      </c>
      <c r="D1049" s="4">
        <v>40</v>
      </c>
      <c r="E1049" s="5">
        <v>21.05</v>
      </c>
      <c r="F1049" s="4">
        <v>21</v>
      </c>
      <c r="G1049" s="5">
        <v>21.65</v>
      </c>
      <c r="H1049" s="4">
        <v>0</v>
      </c>
    </row>
    <row r="1050" spans="1:8" x14ac:dyDescent="0.2">
      <c r="A1050" s="2" t="s">
        <v>85</v>
      </c>
      <c r="B1050" s="4">
        <v>3</v>
      </c>
      <c r="C1050" s="5">
        <v>1.03</v>
      </c>
      <c r="D1050" s="4">
        <v>2</v>
      </c>
      <c r="E1050" s="5">
        <v>1.05</v>
      </c>
      <c r="F1050" s="4">
        <v>1</v>
      </c>
      <c r="G1050" s="5">
        <v>1.03</v>
      </c>
      <c r="H1050" s="4">
        <v>0</v>
      </c>
    </row>
    <row r="1051" spans="1:8" x14ac:dyDescent="0.2">
      <c r="A1051" s="2" t="s">
        <v>86</v>
      </c>
      <c r="B1051" s="4">
        <v>5</v>
      </c>
      <c r="C1051" s="5">
        <v>1.72</v>
      </c>
      <c r="D1051" s="4">
        <v>2</v>
      </c>
      <c r="E1051" s="5">
        <v>1.05</v>
      </c>
      <c r="F1051" s="4">
        <v>3</v>
      </c>
      <c r="G1051" s="5">
        <v>3.09</v>
      </c>
      <c r="H1051" s="4">
        <v>0</v>
      </c>
    </row>
    <row r="1052" spans="1:8" x14ac:dyDescent="0.2">
      <c r="A1052" s="2" t="s">
        <v>87</v>
      </c>
      <c r="B1052" s="4">
        <v>16</v>
      </c>
      <c r="C1052" s="5">
        <v>5.5</v>
      </c>
      <c r="D1052" s="4">
        <v>14</v>
      </c>
      <c r="E1052" s="5">
        <v>7.37</v>
      </c>
      <c r="F1052" s="4">
        <v>2</v>
      </c>
      <c r="G1052" s="5">
        <v>2.06</v>
      </c>
      <c r="H1052" s="4">
        <v>0</v>
      </c>
    </row>
    <row r="1053" spans="1:8" x14ac:dyDescent="0.2">
      <c r="A1053" s="2" t="s">
        <v>88</v>
      </c>
      <c r="B1053" s="4">
        <v>33</v>
      </c>
      <c r="C1053" s="5">
        <v>11.34</v>
      </c>
      <c r="D1053" s="4">
        <v>32</v>
      </c>
      <c r="E1053" s="5">
        <v>16.84</v>
      </c>
      <c r="F1053" s="4">
        <v>1</v>
      </c>
      <c r="G1053" s="5">
        <v>1.03</v>
      </c>
      <c r="H1053" s="4">
        <v>0</v>
      </c>
    </row>
    <row r="1054" spans="1:8" x14ac:dyDescent="0.2">
      <c r="A1054" s="2" t="s">
        <v>89</v>
      </c>
      <c r="B1054" s="4">
        <v>30</v>
      </c>
      <c r="C1054" s="5">
        <v>10.31</v>
      </c>
      <c r="D1054" s="4">
        <v>24</v>
      </c>
      <c r="E1054" s="5">
        <v>12.63</v>
      </c>
      <c r="F1054" s="4">
        <v>6</v>
      </c>
      <c r="G1054" s="5">
        <v>6.19</v>
      </c>
      <c r="H1054" s="4">
        <v>0</v>
      </c>
    </row>
    <row r="1055" spans="1:8" x14ac:dyDescent="0.2">
      <c r="A1055" s="2" t="s">
        <v>90</v>
      </c>
      <c r="B1055" s="4">
        <v>9</v>
      </c>
      <c r="C1055" s="5">
        <v>3.09</v>
      </c>
      <c r="D1055" s="4">
        <v>7</v>
      </c>
      <c r="E1055" s="5">
        <v>3.68</v>
      </c>
      <c r="F1055" s="4">
        <v>2</v>
      </c>
      <c r="G1055" s="5">
        <v>2.06</v>
      </c>
      <c r="H1055" s="4">
        <v>0</v>
      </c>
    </row>
    <row r="1056" spans="1:8" x14ac:dyDescent="0.2">
      <c r="A1056" s="2" t="s">
        <v>91</v>
      </c>
      <c r="B1056" s="4">
        <v>17</v>
      </c>
      <c r="C1056" s="5">
        <v>5.84</v>
      </c>
      <c r="D1056" s="4">
        <v>11</v>
      </c>
      <c r="E1056" s="5">
        <v>5.79</v>
      </c>
      <c r="F1056" s="4">
        <v>6</v>
      </c>
      <c r="G1056" s="5">
        <v>6.19</v>
      </c>
      <c r="H1056" s="4">
        <v>0</v>
      </c>
    </row>
    <row r="1057" spans="1:8" x14ac:dyDescent="0.2">
      <c r="A1057" s="2" t="s">
        <v>92</v>
      </c>
      <c r="B1057" s="4">
        <v>7</v>
      </c>
      <c r="C1057" s="5">
        <v>2.41</v>
      </c>
      <c r="D1057" s="4">
        <v>4</v>
      </c>
      <c r="E1057" s="5">
        <v>2.11</v>
      </c>
      <c r="F1057" s="4">
        <v>3</v>
      </c>
      <c r="G1057" s="5">
        <v>3.09</v>
      </c>
      <c r="H1057" s="4">
        <v>0</v>
      </c>
    </row>
    <row r="1058" spans="1:8" x14ac:dyDescent="0.2">
      <c r="A1058" s="1" t="s">
        <v>66</v>
      </c>
      <c r="B1058" s="4">
        <v>796</v>
      </c>
      <c r="C1058" s="5">
        <v>100.01000000000002</v>
      </c>
      <c r="D1058" s="4">
        <v>536</v>
      </c>
      <c r="E1058" s="5">
        <v>99.999999999999986</v>
      </c>
      <c r="F1058" s="4">
        <v>252</v>
      </c>
      <c r="G1058" s="5">
        <v>100.01</v>
      </c>
      <c r="H1058" s="4">
        <v>1</v>
      </c>
    </row>
    <row r="1059" spans="1:8" x14ac:dyDescent="0.2">
      <c r="A1059" s="2" t="s">
        <v>78</v>
      </c>
      <c r="B1059" s="4">
        <v>0</v>
      </c>
      <c r="C1059" s="5">
        <v>0</v>
      </c>
      <c r="D1059" s="4">
        <v>0</v>
      </c>
      <c r="E1059" s="5">
        <v>0</v>
      </c>
      <c r="F1059" s="4">
        <v>0</v>
      </c>
      <c r="G1059" s="5">
        <v>0</v>
      </c>
      <c r="H1059" s="4">
        <v>0</v>
      </c>
    </row>
    <row r="1060" spans="1:8" x14ac:dyDescent="0.2">
      <c r="A1060" s="2" t="s">
        <v>79</v>
      </c>
      <c r="B1060" s="4">
        <v>55</v>
      </c>
      <c r="C1060" s="5">
        <v>6.91</v>
      </c>
      <c r="D1060" s="4">
        <v>20</v>
      </c>
      <c r="E1060" s="5">
        <v>3.73</v>
      </c>
      <c r="F1060" s="4">
        <v>35</v>
      </c>
      <c r="G1060" s="5">
        <v>13.89</v>
      </c>
      <c r="H1060" s="4">
        <v>0</v>
      </c>
    </row>
    <row r="1061" spans="1:8" x14ac:dyDescent="0.2">
      <c r="A1061" s="2" t="s">
        <v>80</v>
      </c>
      <c r="B1061" s="4">
        <v>12</v>
      </c>
      <c r="C1061" s="5">
        <v>1.51</v>
      </c>
      <c r="D1061" s="4">
        <v>5</v>
      </c>
      <c r="E1061" s="5">
        <v>0.93</v>
      </c>
      <c r="F1061" s="4">
        <v>7</v>
      </c>
      <c r="G1061" s="5">
        <v>2.78</v>
      </c>
      <c r="H1061" s="4">
        <v>0</v>
      </c>
    </row>
    <row r="1062" spans="1:8" x14ac:dyDescent="0.2">
      <c r="A1062" s="2" t="s">
        <v>81</v>
      </c>
      <c r="B1062" s="4">
        <v>0</v>
      </c>
      <c r="C1062" s="5">
        <v>0</v>
      </c>
      <c r="D1062" s="4">
        <v>0</v>
      </c>
      <c r="E1062" s="5">
        <v>0</v>
      </c>
      <c r="F1062" s="4">
        <v>0</v>
      </c>
      <c r="G1062" s="5">
        <v>0</v>
      </c>
      <c r="H1062" s="4">
        <v>0</v>
      </c>
    </row>
    <row r="1063" spans="1:8" x14ac:dyDescent="0.2">
      <c r="A1063" s="2" t="s">
        <v>82</v>
      </c>
      <c r="B1063" s="4">
        <v>5</v>
      </c>
      <c r="C1063" s="5">
        <v>0.63</v>
      </c>
      <c r="D1063" s="4">
        <v>1</v>
      </c>
      <c r="E1063" s="5">
        <v>0.19</v>
      </c>
      <c r="F1063" s="4">
        <v>4</v>
      </c>
      <c r="G1063" s="5">
        <v>1.59</v>
      </c>
      <c r="H1063" s="4">
        <v>0</v>
      </c>
    </row>
    <row r="1064" spans="1:8" x14ac:dyDescent="0.2">
      <c r="A1064" s="2" t="s">
        <v>83</v>
      </c>
      <c r="B1064" s="4">
        <v>1</v>
      </c>
      <c r="C1064" s="5">
        <v>0.13</v>
      </c>
      <c r="D1064" s="4">
        <v>0</v>
      </c>
      <c r="E1064" s="5">
        <v>0</v>
      </c>
      <c r="F1064" s="4">
        <v>0</v>
      </c>
      <c r="G1064" s="5">
        <v>0</v>
      </c>
      <c r="H1064" s="4">
        <v>1</v>
      </c>
    </row>
    <row r="1065" spans="1:8" x14ac:dyDescent="0.2">
      <c r="A1065" s="2" t="s">
        <v>84</v>
      </c>
      <c r="B1065" s="4">
        <v>75</v>
      </c>
      <c r="C1065" s="5">
        <v>9.42</v>
      </c>
      <c r="D1065" s="4">
        <v>37</v>
      </c>
      <c r="E1065" s="5">
        <v>6.9</v>
      </c>
      <c r="F1065" s="4">
        <v>38</v>
      </c>
      <c r="G1065" s="5">
        <v>15.08</v>
      </c>
      <c r="H1065" s="4">
        <v>0</v>
      </c>
    </row>
    <row r="1066" spans="1:8" x14ac:dyDescent="0.2">
      <c r="A1066" s="2" t="s">
        <v>85</v>
      </c>
      <c r="B1066" s="4">
        <v>0</v>
      </c>
      <c r="C1066" s="5">
        <v>0</v>
      </c>
      <c r="D1066" s="4">
        <v>0</v>
      </c>
      <c r="E1066" s="5">
        <v>0</v>
      </c>
      <c r="F1066" s="4">
        <v>0</v>
      </c>
      <c r="G1066" s="5">
        <v>0</v>
      </c>
      <c r="H1066" s="4">
        <v>0</v>
      </c>
    </row>
    <row r="1067" spans="1:8" x14ac:dyDescent="0.2">
      <c r="A1067" s="2" t="s">
        <v>86</v>
      </c>
      <c r="B1067" s="4">
        <v>58</v>
      </c>
      <c r="C1067" s="5">
        <v>7.29</v>
      </c>
      <c r="D1067" s="4">
        <v>32</v>
      </c>
      <c r="E1067" s="5">
        <v>5.97</v>
      </c>
      <c r="F1067" s="4">
        <v>26</v>
      </c>
      <c r="G1067" s="5">
        <v>10.32</v>
      </c>
      <c r="H1067" s="4">
        <v>0</v>
      </c>
    </row>
    <row r="1068" spans="1:8" x14ac:dyDescent="0.2">
      <c r="A1068" s="2" t="s">
        <v>87</v>
      </c>
      <c r="B1068" s="4">
        <v>16</v>
      </c>
      <c r="C1068" s="5">
        <v>2.0099999999999998</v>
      </c>
      <c r="D1068" s="4">
        <v>7</v>
      </c>
      <c r="E1068" s="5">
        <v>1.31</v>
      </c>
      <c r="F1068" s="4">
        <v>6</v>
      </c>
      <c r="G1068" s="5">
        <v>2.38</v>
      </c>
      <c r="H1068" s="4">
        <v>0</v>
      </c>
    </row>
    <row r="1069" spans="1:8" x14ac:dyDescent="0.2">
      <c r="A1069" s="2" t="s">
        <v>88</v>
      </c>
      <c r="B1069" s="4">
        <v>498</v>
      </c>
      <c r="C1069" s="5">
        <v>62.56</v>
      </c>
      <c r="D1069" s="4">
        <v>397</v>
      </c>
      <c r="E1069" s="5">
        <v>74.069999999999993</v>
      </c>
      <c r="F1069" s="4">
        <v>101</v>
      </c>
      <c r="G1069" s="5">
        <v>40.08</v>
      </c>
      <c r="H1069" s="4">
        <v>0</v>
      </c>
    </row>
    <row r="1070" spans="1:8" x14ac:dyDescent="0.2">
      <c r="A1070" s="2" t="s">
        <v>89</v>
      </c>
      <c r="B1070" s="4">
        <v>39</v>
      </c>
      <c r="C1070" s="5">
        <v>4.9000000000000004</v>
      </c>
      <c r="D1070" s="4">
        <v>22</v>
      </c>
      <c r="E1070" s="5">
        <v>4.0999999999999996</v>
      </c>
      <c r="F1070" s="4">
        <v>16</v>
      </c>
      <c r="G1070" s="5">
        <v>6.35</v>
      </c>
      <c r="H1070" s="4">
        <v>0</v>
      </c>
    </row>
    <row r="1071" spans="1:8" x14ac:dyDescent="0.2">
      <c r="A1071" s="2" t="s">
        <v>90</v>
      </c>
      <c r="B1071" s="4">
        <v>12</v>
      </c>
      <c r="C1071" s="5">
        <v>1.51</v>
      </c>
      <c r="D1071" s="4">
        <v>3</v>
      </c>
      <c r="E1071" s="5">
        <v>0.56000000000000005</v>
      </c>
      <c r="F1071" s="4">
        <v>8</v>
      </c>
      <c r="G1071" s="5">
        <v>3.17</v>
      </c>
      <c r="H1071" s="4">
        <v>0</v>
      </c>
    </row>
    <row r="1072" spans="1:8" x14ac:dyDescent="0.2">
      <c r="A1072" s="2" t="s">
        <v>91</v>
      </c>
      <c r="B1072" s="4">
        <v>16</v>
      </c>
      <c r="C1072" s="5">
        <v>2.0099999999999998</v>
      </c>
      <c r="D1072" s="4">
        <v>11</v>
      </c>
      <c r="E1072" s="5">
        <v>2.0499999999999998</v>
      </c>
      <c r="F1072" s="4">
        <v>4</v>
      </c>
      <c r="G1072" s="5">
        <v>1.59</v>
      </c>
      <c r="H1072" s="4">
        <v>0</v>
      </c>
    </row>
    <row r="1073" spans="1:8" x14ac:dyDescent="0.2">
      <c r="A1073" s="2" t="s">
        <v>92</v>
      </c>
      <c r="B1073" s="4">
        <v>9</v>
      </c>
      <c r="C1073" s="5">
        <v>1.1299999999999999</v>
      </c>
      <c r="D1073" s="4">
        <v>1</v>
      </c>
      <c r="E1073" s="5">
        <v>0.19</v>
      </c>
      <c r="F1073" s="4">
        <v>7</v>
      </c>
      <c r="G1073" s="5">
        <v>2.78</v>
      </c>
      <c r="H1073" s="4">
        <v>0</v>
      </c>
    </row>
    <row r="1074" spans="1:8" x14ac:dyDescent="0.2">
      <c r="A1074" s="1" t="s">
        <v>67</v>
      </c>
      <c r="B1074" s="4">
        <v>223</v>
      </c>
      <c r="C1074" s="5">
        <v>100.01000000000002</v>
      </c>
      <c r="D1074" s="4">
        <v>147</v>
      </c>
      <c r="E1074" s="5">
        <v>99.99</v>
      </c>
      <c r="F1074" s="4">
        <v>69</v>
      </c>
      <c r="G1074" s="5">
        <v>100.01000000000002</v>
      </c>
      <c r="H1074" s="4">
        <v>2</v>
      </c>
    </row>
    <row r="1075" spans="1:8" x14ac:dyDescent="0.2">
      <c r="A1075" s="2" t="s">
        <v>78</v>
      </c>
      <c r="B1075" s="4">
        <v>1</v>
      </c>
      <c r="C1075" s="5">
        <v>0.45</v>
      </c>
      <c r="D1075" s="4">
        <v>1</v>
      </c>
      <c r="E1075" s="5">
        <v>0.68</v>
      </c>
      <c r="F1075" s="4">
        <v>0</v>
      </c>
      <c r="G1075" s="5">
        <v>0</v>
      </c>
      <c r="H1075" s="4">
        <v>0</v>
      </c>
    </row>
    <row r="1076" spans="1:8" x14ac:dyDescent="0.2">
      <c r="A1076" s="2" t="s">
        <v>79</v>
      </c>
      <c r="B1076" s="4">
        <v>24</v>
      </c>
      <c r="C1076" s="5">
        <v>10.76</v>
      </c>
      <c r="D1076" s="4">
        <v>13</v>
      </c>
      <c r="E1076" s="5">
        <v>8.84</v>
      </c>
      <c r="F1076" s="4">
        <v>11</v>
      </c>
      <c r="G1076" s="5">
        <v>15.94</v>
      </c>
      <c r="H1076" s="4">
        <v>0</v>
      </c>
    </row>
    <row r="1077" spans="1:8" x14ac:dyDescent="0.2">
      <c r="A1077" s="2" t="s">
        <v>80</v>
      </c>
      <c r="B1077" s="4">
        <v>4</v>
      </c>
      <c r="C1077" s="5">
        <v>1.79</v>
      </c>
      <c r="D1077" s="4">
        <v>2</v>
      </c>
      <c r="E1077" s="5">
        <v>1.36</v>
      </c>
      <c r="F1077" s="4">
        <v>2</v>
      </c>
      <c r="G1077" s="5">
        <v>2.9</v>
      </c>
      <c r="H1077" s="4">
        <v>0</v>
      </c>
    </row>
    <row r="1078" spans="1:8" x14ac:dyDescent="0.2">
      <c r="A1078" s="2" t="s">
        <v>81</v>
      </c>
      <c r="B1078" s="4">
        <v>2</v>
      </c>
      <c r="C1078" s="5">
        <v>0.9</v>
      </c>
      <c r="D1078" s="4">
        <v>0</v>
      </c>
      <c r="E1078" s="5">
        <v>0</v>
      </c>
      <c r="F1078" s="4">
        <v>1</v>
      </c>
      <c r="G1078" s="5">
        <v>1.45</v>
      </c>
      <c r="H1078" s="4">
        <v>0</v>
      </c>
    </row>
    <row r="1079" spans="1:8" x14ac:dyDescent="0.2">
      <c r="A1079" s="2" t="s">
        <v>82</v>
      </c>
      <c r="B1079" s="4">
        <v>0</v>
      </c>
      <c r="C1079" s="5">
        <v>0</v>
      </c>
      <c r="D1079" s="4">
        <v>0</v>
      </c>
      <c r="E1079" s="5">
        <v>0</v>
      </c>
      <c r="F1079" s="4">
        <v>0</v>
      </c>
      <c r="G1079" s="5">
        <v>0</v>
      </c>
      <c r="H1079" s="4">
        <v>0</v>
      </c>
    </row>
    <row r="1080" spans="1:8" x14ac:dyDescent="0.2">
      <c r="A1080" s="2" t="s">
        <v>83</v>
      </c>
      <c r="B1080" s="4">
        <v>3</v>
      </c>
      <c r="C1080" s="5">
        <v>1.35</v>
      </c>
      <c r="D1080" s="4">
        <v>2</v>
      </c>
      <c r="E1080" s="5">
        <v>1.36</v>
      </c>
      <c r="F1080" s="4">
        <v>1</v>
      </c>
      <c r="G1080" s="5">
        <v>1.45</v>
      </c>
      <c r="H1080" s="4">
        <v>0</v>
      </c>
    </row>
    <row r="1081" spans="1:8" x14ac:dyDescent="0.2">
      <c r="A1081" s="2" t="s">
        <v>84</v>
      </c>
      <c r="B1081" s="4">
        <v>28</v>
      </c>
      <c r="C1081" s="5">
        <v>12.56</v>
      </c>
      <c r="D1081" s="4">
        <v>14</v>
      </c>
      <c r="E1081" s="5">
        <v>9.52</v>
      </c>
      <c r="F1081" s="4">
        <v>13</v>
      </c>
      <c r="G1081" s="5">
        <v>18.84</v>
      </c>
      <c r="H1081" s="4">
        <v>1</v>
      </c>
    </row>
    <row r="1082" spans="1:8" x14ac:dyDescent="0.2">
      <c r="A1082" s="2" t="s">
        <v>85</v>
      </c>
      <c r="B1082" s="4">
        <v>1</v>
      </c>
      <c r="C1082" s="5">
        <v>0.45</v>
      </c>
      <c r="D1082" s="4">
        <v>0</v>
      </c>
      <c r="E1082" s="5">
        <v>0</v>
      </c>
      <c r="F1082" s="4">
        <v>1</v>
      </c>
      <c r="G1082" s="5">
        <v>1.45</v>
      </c>
      <c r="H1082" s="4">
        <v>0</v>
      </c>
    </row>
    <row r="1083" spans="1:8" x14ac:dyDescent="0.2">
      <c r="A1083" s="2" t="s">
        <v>86</v>
      </c>
      <c r="B1083" s="4">
        <v>5</v>
      </c>
      <c r="C1083" s="5">
        <v>2.2400000000000002</v>
      </c>
      <c r="D1083" s="4">
        <v>2</v>
      </c>
      <c r="E1083" s="5">
        <v>1.36</v>
      </c>
      <c r="F1083" s="4">
        <v>3</v>
      </c>
      <c r="G1083" s="5">
        <v>4.3499999999999996</v>
      </c>
      <c r="H1083" s="4">
        <v>0</v>
      </c>
    </row>
    <row r="1084" spans="1:8" x14ac:dyDescent="0.2">
      <c r="A1084" s="2" t="s">
        <v>87</v>
      </c>
      <c r="B1084" s="4">
        <v>4</v>
      </c>
      <c r="C1084" s="5">
        <v>1.79</v>
      </c>
      <c r="D1084" s="4">
        <v>1</v>
      </c>
      <c r="E1084" s="5">
        <v>0.68</v>
      </c>
      <c r="F1084" s="4">
        <v>3</v>
      </c>
      <c r="G1084" s="5">
        <v>4.3499999999999996</v>
      </c>
      <c r="H1084" s="4">
        <v>0</v>
      </c>
    </row>
    <row r="1085" spans="1:8" x14ac:dyDescent="0.2">
      <c r="A1085" s="2" t="s">
        <v>88</v>
      </c>
      <c r="B1085" s="4">
        <v>124</v>
      </c>
      <c r="C1085" s="5">
        <v>55.61</v>
      </c>
      <c r="D1085" s="4">
        <v>96</v>
      </c>
      <c r="E1085" s="5">
        <v>65.31</v>
      </c>
      <c r="F1085" s="4">
        <v>27</v>
      </c>
      <c r="G1085" s="5">
        <v>39.130000000000003</v>
      </c>
      <c r="H1085" s="4">
        <v>1</v>
      </c>
    </row>
    <row r="1086" spans="1:8" x14ac:dyDescent="0.2">
      <c r="A1086" s="2" t="s">
        <v>89</v>
      </c>
      <c r="B1086" s="4">
        <v>14</v>
      </c>
      <c r="C1086" s="5">
        <v>6.28</v>
      </c>
      <c r="D1086" s="4">
        <v>10</v>
      </c>
      <c r="E1086" s="5">
        <v>6.8</v>
      </c>
      <c r="F1086" s="4">
        <v>4</v>
      </c>
      <c r="G1086" s="5">
        <v>5.8</v>
      </c>
      <c r="H1086" s="4">
        <v>0</v>
      </c>
    </row>
    <row r="1087" spans="1:8" x14ac:dyDescent="0.2">
      <c r="A1087" s="2" t="s">
        <v>90</v>
      </c>
      <c r="B1087" s="4">
        <v>7</v>
      </c>
      <c r="C1087" s="5">
        <v>3.14</v>
      </c>
      <c r="D1087" s="4">
        <v>2</v>
      </c>
      <c r="E1087" s="5">
        <v>1.36</v>
      </c>
      <c r="F1087" s="4">
        <v>2</v>
      </c>
      <c r="G1087" s="5">
        <v>2.9</v>
      </c>
      <c r="H1087" s="4">
        <v>0</v>
      </c>
    </row>
    <row r="1088" spans="1:8" x14ac:dyDescent="0.2">
      <c r="A1088" s="2" t="s">
        <v>91</v>
      </c>
      <c r="B1088" s="4">
        <v>2</v>
      </c>
      <c r="C1088" s="5">
        <v>0.9</v>
      </c>
      <c r="D1088" s="4">
        <v>2</v>
      </c>
      <c r="E1088" s="5">
        <v>1.36</v>
      </c>
      <c r="F1088" s="4">
        <v>0</v>
      </c>
      <c r="G1088" s="5">
        <v>0</v>
      </c>
      <c r="H1088" s="4">
        <v>0</v>
      </c>
    </row>
    <row r="1089" spans="1:8" x14ac:dyDescent="0.2">
      <c r="A1089" s="2" t="s">
        <v>92</v>
      </c>
      <c r="B1089" s="4">
        <v>4</v>
      </c>
      <c r="C1089" s="5">
        <v>1.79</v>
      </c>
      <c r="D1089" s="4">
        <v>2</v>
      </c>
      <c r="E1089" s="5">
        <v>1.36</v>
      </c>
      <c r="F1089" s="4">
        <v>1</v>
      </c>
      <c r="G1089" s="5">
        <v>1.45</v>
      </c>
      <c r="H1089" s="4">
        <v>0</v>
      </c>
    </row>
    <row r="1090" spans="1:8" x14ac:dyDescent="0.2">
      <c r="A1090" s="1" t="s">
        <v>68</v>
      </c>
      <c r="B1090" s="4">
        <v>407</v>
      </c>
      <c r="C1090" s="5">
        <v>100.02</v>
      </c>
      <c r="D1090" s="4">
        <v>217</v>
      </c>
      <c r="E1090" s="5">
        <v>99.990000000000009</v>
      </c>
      <c r="F1090" s="4">
        <v>185</v>
      </c>
      <c r="G1090" s="5">
        <v>99.98</v>
      </c>
      <c r="H1090" s="4">
        <v>0</v>
      </c>
    </row>
    <row r="1091" spans="1:8" x14ac:dyDescent="0.2">
      <c r="A1091" s="2" t="s">
        <v>78</v>
      </c>
      <c r="B1091" s="4">
        <v>0</v>
      </c>
      <c r="C1091" s="5">
        <v>0</v>
      </c>
      <c r="D1091" s="4">
        <v>0</v>
      </c>
      <c r="E1091" s="5">
        <v>0</v>
      </c>
      <c r="F1091" s="4">
        <v>0</v>
      </c>
      <c r="G1091" s="5">
        <v>0</v>
      </c>
      <c r="H1091" s="4">
        <v>0</v>
      </c>
    </row>
    <row r="1092" spans="1:8" x14ac:dyDescent="0.2">
      <c r="A1092" s="2" t="s">
        <v>79</v>
      </c>
      <c r="B1092" s="4">
        <v>66</v>
      </c>
      <c r="C1092" s="5">
        <v>16.22</v>
      </c>
      <c r="D1092" s="4">
        <v>31</v>
      </c>
      <c r="E1092" s="5">
        <v>14.29</v>
      </c>
      <c r="F1092" s="4">
        <v>35</v>
      </c>
      <c r="G1092" s="5">
        <v>18.920000000000002</v>
      </c>
      <c r="H1092" s="4">
        <v>0</v>
      </c>
    </row>
    <row r="1093" spans="1:8" x14ac:dyDescent="0.2">
      <c r="A1093" s="2" t="s">
        <v>80</v>
      </c>
      <c r="B1093" s="4">
        <v>130</v>
      </c>
      <c r="C1093" s="5">
        <v>31.94</v>
      </c>
      <c r="D1093" s="4">
        <v>54</v>
      </c>
      <c r="E1093" s="5">
        <v>24.88</v>
      </c>
      <c r="F1093" s="4">
        <v>76</v>
      </c>
      <c r="G1093" s="5">
        <v>41.08</v>
      </c>
      <c r="H1093" s="4">
        <v>0</v>
      </c>
    </row>
    <row r="1094" spans="1:8" x14ac:dyDescent="0.2">
      <c r="A1094" s="2" t="s">
        <v>81</v>
      </c>
      <c r="B1094" s="4">
        <v>1</v>
      </c>
      <c r="C1094" s="5">
        <v>0.25</v>
      </c>
      <c r="D1094" s="4">
        <v>0</v>
      </c>
      <c r="E1094" s="5">
        <v>0</v>
      </c>
      <c r="F1094" s="4">
        <v>1</v>
      </c>
      <c r="G1094" s="5">
        <v>0.54</v>
      </c>
      <c r="H1094" s="4">
        <v>0</v>
      </c>
    </row>
    <row r="1095" spans="1:8" x14ac:dyDescent="0.2">
      <c r="A1095" s="2" t="s">
        <v>82</v>
      </c>
      <c r="B1095" s="4">
        <v>1</v>
      </c>
      <c r="C1095" s="5">
        <v>0.25</v>
      </c>
      <c r="D1095" s="4">
        <v>0</v>
      </c>
      <c r="E1095" s="5">
        <v>0</v>
      </c>
      <c r="F1095" s="4">
        <v>1</v>
      </c>
      <c r="G1095" s="5">
        <v>0.54</v>
      </c>
      <c r="H1095" s="4">
        <v>0</v>
      </c>
    </row>
    <row r="1096" spans="1:8" x14ac:dyDescent="0.2">
      <c r="A1096" s="2" t="s">
        <v>83</v>
      </c>
      <c r="B1096" s="4">
        <v>2</v>
      </c>
      <c r="C1096" s="5">
        <v>0.49</v>
      </c>
      <c r="D1096" s="4">
        <v>0</v>
      </c>
      <c r="E1096" s="5">
        <v>0</v>
      </c>
      <c r="F1096" s="4">
        <v>2</v>
      </c>
      <c r="G1096" s="5">
        <v>1.08</v>
      </c>
      <c r="H1096" s="4">
        <v>0</v>
      </c>
    </row>
    <row r="1097" spans="1:8" x14ac:dyDescent="0.2">
      <c r="A1097" s="2" t="s">
        <v>84</v>
      </c>
      <c r="B1097" s="4">
        <v>68</v>
      </c>
      <c r="C1097" s="5">
        <v>16.71</v>
      </c>
      <c r="D1097" s="4">
        <v>31</v>
      </c>
      <c r="E1097" s="5">
        <v>14.29</v>
      </c>
      <c r="F1097" s="4">
        <v>37</v>
      </c>
      <c r="G1097" s="5">
        <v>20</v>
      </c>
      <c r="H1097" s="4">
        <v>0</v>
      </c>
    </row>
    <row r="1098" spans="1:8" x14ac:dyDescent="0.2">
      <c r="A1098" s="2" t="s">
        <v>85</v>
      </c>
      <c r="B1098" s="4">
        <v>2</v>
      </c>
      <c r="C1098" s="5">
        <v>0.49</v>
      </c>
      <c r="D1098" s="4">
        <v>1</v>
      </c>
      <c r="E1098" s="5">
        <v>0.46</v>
      </c>
      <c r="F1098" s="4">
        <v>1</v>
      </c>
      <c r="G1098" s="5">
        <v>0.54</v>
      </c>
      <c r="H1098" s="4">
        <v>0</v>
      </c>
    </row>
    <row r="1099" spans="1:8" x14ac:dyDescent="0.2">
      <c r="A1099" s="2" t="s">
        <v>86</v>
      </c>
      <c r="B1099" s="4">
        <v>11</v>
      </c>
      <c r="C1099" s="5">
        <v>2.7</v>
      </c>
      <c r="D1099" s="4">
        <v>6</v>
      </c>
      <c r="E1099" s="5">
        <v>2.76</v>
      </c>
      <c r="F1099" s="4">
        <v>5</v>
      </c>
      <c r="G1099" s="5">
        <v>2.7</v>
      </c>
      <c r="H1099" s="4">
        <v>0</v>
      </c>
    </row>
    <row r="1100" spans="1:8" x14ac:dyDescent="0.2">
      <c r="A1100" s="2" t="s">
        <v>87</v>
      </c>
      <c r="B1100" s="4">
        <v>19</v>
      </c>
      <c r="C1100" s="5">
        <v>4.67</v>
      </c>
      <c r="D1100" s="4">
        <v>12</v>
      </c>
      <c r="E1100" s="5">
        <v>5.53</v>
      </c>
      <c r="F1100" s="4">
        <v>6</v>
      </c>
      <c r="G1100" s="5">
        <v>3.24</v>
      </c>
      <c r="H1100" s="4">
        <v>0</v>
      </c>
    </row>
    <row r="1101" spans="1:8" x14ac:dyDescent="0.2">
      <c r="A1101" s="2" t="s">
        <v>88</v>
      </c>
      <c r="B1101" s="4">
        <v>35</v>
      </c>
      <c r="C1101" s="5">
        <v>8.6</v>
      </c>
      <c r="D1101" s="4">
        <v>28</v>
      </c>
      <c r="E1101" s="5">
        <v>12.9</v>
      </c>
      <c r="F1101" s="4">
        <v>6</v>
      </c>
      <c r="G1101" s="5">
        <v>3.24</v>
      </c>
      <c r="H1101" s="4">
        <v>0</v>
      </c>
    </row>
    <row r="1102" spans="1:8" x14ac:dyDescent="0.2">
      <c r="A1102" s="2" t="s">
        <v>89</v>
      </c>
      <c r="B1102" s="4">
        <v>38</v>
      </c>
      <c r="C1102" s="5">
        <v>9.34</v>
      </c>
      <c r="D1102" s="4">
        <v>30</v>
      </c>
      <c r="E1102" s="5">
        <v>13.82</v>
      </c>
      <c r="F1102" s="4">
        <v>8</v>
      </c>
      <c r="G1102" s="5">
        <v>4.32</v>
      </c>
      <c r="H1102" s="4">
        <v>0</v>
      </c>
    </row>
    <row r="1103" spans="1:8" x14ac:dyDescent="0.2">
      <c r="A1103" s="2" t="s">
        <v>90</v>
      </c>
      <c r="B1103" s="4">
        <v>12</v>
      </c>
      <c r="C1103" s="5">
        <v>2.95</v>
      </c>
      <c r="D1103" s="4">
        <v>10</v>
      </c>
      <c r="E1103" s="5">
        <v>4.6100000000000003</v>
      </c>
      <c r="F1103" s="4">
        <v>1</v>
      </c>
      <c r="G1103" s="5">
        <v>0.54</v>
      </c>
      <c r="H1103" s="4">
        <v>0</v>
      </c>
    </row>
    <row r="1104" spans="1:8" x14ac:dyDescent="0.2">
      <c r="A1104" s="2" t="s">
        <v>91</v>
      </c>
      <c r="B1104" s="4">
        <v>14</v>
      </c>
      <c r="C1104" s="5">
        <v>3.44</v>
      </c>
      <c r="D1104" s="4">
        <v>11</v>
      </c>
      <c r="E1104" s="5">
        <v>5.07</v>
      </c>
      <c r="F1104" s="4">
        <v>1</v>
      </c>
      <c r="G1104" s="5">
        <v>0.54</v>
      </c>
      <c r="H1104" s="4">
        <v>0</v>
      </c>
    </row>
    <row r="1105" spans="1:8" x14ac:dyDescent="0.2">
      <c r="A1105" s="2" t="s">
        <v>92</v>
      </c>
      <c r="B1105" s="4">
        <v>8</v>
      </c>
      <c r="C1105" s="5">
        <v>1.97</v>
      </c>
      <c r="D1105" s="4">
        <v>3</v>
      </c>
      <c r="E1105" s="5">
        <v>1.38</v>
      </c>
      <c r="F1105" s="4">
        <v>5</v>
      </c>
      <c r="G1105" s="5">
        <v>2.7</v>
      </c>
      <c r="H1105" s="4">
        <v>0</v>
      </c>
    </row>
    <row r="1106" spans="1:8" x14ac:dyDescent="0.2">
      <c r="A1106" s="1" t="s">
        <v>69</v>
      </c>
      <c r="B1106" s="4">
        <v>309</v>
      </c>
      <c r="C1106" s="5">
        <v>99.97999999999999</v>
      </c>
      <c r="D1106" s="4">
        <v>187</v>
      </c>
      <c r="E1106" s="5">
        <v>99.999999999999986</v>
      </c>
      <c r="F1106" s="4">
        <v>116</v>
      </c>
      <c r="G1106" s="5">
        <v>99.98</v>
      </c>
      <c r="H1106" s="4">
        <v>2</v>
      </c>
    </row>
    <row r="1107" spans="1:8" x14ac:dyDescent="0.2">
      <c r="A1107" s="2" t="s">
        <v>78</v>
      </c>
      <c r="B1107" s="4">
        <v>1</v>
      </c>
      <c r="C1107" s="5">
        <v>0.32</v>
      </c>
      <c r="D1107" s="4">
        <v>0</v>
      </c>
      <c r="E1107" s="5">
        <v>0</v>
      </c>
      <c r="F1107" s="4">
        <v>1</v>
      </c>
      <c r="G1107" s="5">
        <v>0.86</v>
      </c>
      <c r="H1107" s="4">
        <v>0</v>
      </c>
    </row>
    <row r="1108" spans="1:8" x14ac:dyDescent="0.2">
      <c r="A1108" s="2" t="s">
        <v>79</v>
      </c>
      <c r="B1108" s="4">
        <v>56</v>
      </c>
      <c r="C1108" s="5">
        <v>18.12</v>
      </c>
      <c r="D1108" s="4">
        <v>38</v>
      </c>
      <c r="E1108" s="5">
        <v>20.32</v>
      </c>
      <c r="F1108" s="4">
        <v>18</v>
      </c>
      <c r="G1108" s="5">
        <v>15.52</v>
      </c>
      <c r="H1108" s="4">
        <v>0</v>
      </c>
    </row>
    <row r="1109" spans="1:8" x14ac:dyDescent="0.2">
      <c r="A1109" s="2" t="s">
        <v>80</v>
      </c>
      <c r="B1109" s="4">
        <v>43</v>
      </c>
      <c r="C1109" s="5">
        <v>13.92</v>
      </c>
      <c r="D1109" s="4">
        <v>19</v>
      </c>
      <c r="E1109" s="5">
        <v>10.16</v>
      </c>
      <c r="F1109" s="4">
        <v>24</v>
      </c>
      <c r="G1109" s="5">
        <v>20.69</v>
      </c>
      <c r="H1109" s="4">
        <v>0</v>
      </c>
    </row>
    <row r="1110" spans="1:8" x14ac:dyDescent="0.2">
      <c r="A1110" s="2" t="s">
        <v>81</v>
      </c>
      <c r="B1110" s="4">
        <v>2</v>
      </c>
      <c r="C1110" s="5">
        <v>0.65</v>
      </c>
      <c r="D1110" s="4">
        <v>0</v>
      </c>
      <c r="E1110" s="5">
        <v>0</v>
      </c>
      <c r="F1110" s="4">
        <v>2</v>
      </c>
      <c r="G1110" s="5">
        <v>1.72</v>
      </c>
      <c r="H1110" s="4">
        <v>0</v>
      </c>
    </row>
    <row r="1111" spans="1:8" x14ac:dyDescent="0.2">
      <c r="A1111" s="2" t="s">
        <v>82</v>
      </c>
      <c r="B1111" s="4">
        <v>4</v>
      </c>
      <c r="C1111" s="5">
        <v>1.29</v>
      </c>
      <c r="D1111" s="4">
        <v>2</v>
      </c>
      <c r="E1111" s="5">
        <v>1.07</v>
      </c>
      <c r="F1111" s="4">
        <v>2</v>
      </c>
      <c r="G1111" s="5">
        <v>1.72</v>
      </c>
      <c r="H1111" s="4">
        <v>0</v>
      </c>
    </row>
    <row r="1112" spans="1:8" x14ac:dyDescent="0.2">
      <c r="A1112" s="2" t="s">
        <v>83</v>
      </c>
      <c r="B1112" s="4">
        <v>1</v>
      </c>
      <c r="C1112" s="5">
        <v>0.32</v>
      </c>
      <c r="D1112" s="4">
        <v>0</v>
      </c>
      <c r="E1112" s="5">
        <v>0</v>
      </c>
      <c r="F1112" s="4">
        <v>1</v>
      </c>
      <c r="G1112" s="5">
        <v>0.86</v>
      </c>
      <c r="H1112" s="4">
        <v>0</v>
      </c>
    </row>
    <row r="1113" spans="1:8" x14ac:dyDescent="0.2">
      <c r="A1113" s="2" t="s">
        <v>84</v>
      </c>
      <c r="B1113" s="4">
        <v>79</v>
      </c>
      <c r="C1113" s="5">
        <v>25.57</v>
      </c>
      <c r="D1113" s="4">
        <v>40</v>
      </c>
      <c r="E1113" s="5">
        <v>21.39</v>
      </c>
      <c r="F1113" s="4">
        <v>39</v>
      </c>
      <c r="G1113" s="5">
        <v>33.619999999999997</v>
      </c>
      <c r="H1113" s="4">
        <v>0</v>
      </c>
    </row>
    <row r="1114" spans="1:8" x14ac:dyDescent="0.2">
      <c r="A1114" s="2" t="s">
        <v>85</v>
      </c>
      <c r="B1114" s="4">
        <v>0</v>
      </c>
      <c r="C1114" s="5">
        <v>0</v>
      </c>
      <c r="D1114" s="4">
        <v>0</v>
      </c>
      <c r="E1114" s="5">
        <v>0</v>
      </c>
      <c r="F1114" s="4">
        <v>0</v>
      </c>
      <c r="G1114" s="5">
        <v>0</v>
      </c>
      <c r="H1114" s="4">
        <v>0</v>
      </c>
    </row>
    <row r="1115" spans="1:8" x14ac:dyDescent="0.2">
      <c r="A1115" s="2" t="s">
        <v>86</v>
      </c>
      <c r="B1115" s="4">
        <v>12</v>
      </c>
      <c r="C1115" s="5">
        <v>3.88</v>
      </c>
      <c r="D1115" s="4">
        <v>6</v>
      </c>
      <c r="E1115" s="5">
        <v>3.21</v>
      </c>
      <c r="F1115" s="4">
        <v>6</v>
      </c>
      <c r="G1115" s="5">
        <v>5.17</v>
      </c>
      <c r="H1115" s="4">
        <v>0</v>
      </c>
    </row>
    <row r="1116" spans="1:8" x14ac:dyDescent="0.2">
      <c r="A1116" s="2" t="s">
        <v>87</v>
      </c>
      <c r="B1116" s="4">
        <v>12</v>
      </c>
      <c r="C1116" s="5">
        <v>3.88</v>
      </c>
      <c r="D1116" s="4">
        <v>8</v>
      </c>
      <c r="E1116" s="5">
        <v>4.28</v>
      </c>
      <c r="F1116" s="4">
        <v>4</v>
      </c>
      <c r="G1116" s="5">
        <v>3.45</v>
      </c>
      <c r="H1116" s="4">
        <v>0</v>
      </c>
    </row>
    <row r="1117" spans="1:8" x14ac:dyDescent="0.2">
      <c r="A1117" s="2" t="s">
        <v>88</v>
      </c>
      <c r="B1117" s="4">
        <v>37</v>
      </c>
      <c r="C1117" s="5">
        <v>11.97</v>
      </c>
      <c r="D1117" s="4">
        <v>32</v>
      </c>
      <c r="E1117" s="5">
        <v>17.11</v>
      </c>
      <c r="F1117" s="4">
        <v>5</v>
      </c>
      <c r="G1117" s="5">
        <v>4.3099999999999996</v>
      </c>
      <c r="H1117" s="4">
        <v>0</v>
      </c>
    </row>
    <row r="1118" spans="1:8" x14ac:dyDescent="0.2">
      <c r="A1118" s="2" t="s">
        <v>89</v>
      </c>
      <c r="B1118" s="4">
        <v>31</v>
      </c>
      <c r="C1118" s="5">
        <v>10.029999999999999</v>
      </c>
      <c r="D1118" s="4">
        <v>26</v>
      </c>
      <c r="E1118" s="5">
        <v>13.9</v>
      </c>
      <c r="F1118" s="4">
        <v>5</v>
      </c>
      <c r="G1118" s="5">
        <v>4.3099999999999996</v>
      </c>
      <c r="H1118" s="4">
        <v>0</v>
      </c>
    </row>
    <row r="1119" spans="1:8" x14ac:dyDescent="0.2">
      <c r="A1119" s="2" t="s">
        <v>90</v>
      </c>
      <c r="B1119" s="4">
        <v>9</v>
      </c>
      <c r="C1119" s="5">
        <v>2.91</v>
      </c>
      <c r="D1119" s="4">
        <v>4</v>
      </c>
      <c r="E1119" s="5">
        <v>2.14</v>
      </c>
      <c r="F1119" s="4">
        <v>2</v>
      </c>
      <c r="G1119" s="5">
        <v>1.72</v>
      </c>
      <c r="H1119" s="4">
        <v>0</v>
      </c>
    </row>
    <row r="1120" spans="1:8" x14ac:dyDescent="0.2">
      <c r="A1120" s="2" t="s">
        <v>91</v>
      </c>
      <c r="B1120" s="4">
        <v>16</v>
      </c>
      <c r="C1120" s="5">
        <v>5.18</v>
      </c>
      <c r="D1120" s="4">
        <v>10</v>
      </c>
      <c r="E1120" s="5">
        <v>5.35</v>
      </c>
      <c r="F1120" s="4">
        <v>5</v>
      </c>
      <c r="G1120" s="5">
        <v>4.3099999999999996</v>
      </c>
      <c r="H1120" s="4">
        <v>0</v>
      </c>
    </row>
    <row r="1121" spans="1:8" x14ac:dyDescent="0.2">
      <c r="A1121" s="2" t="s">
        <v>92</v>
      </c>
      <c r="B1121" s="4">
        <v>6</v>
      </c>
      <c r="C1121" s="5">
        <v>1.94</v>
      </c>
      <c r="D1121" s="4">
        <v>2</v>
      </c>
      <c r="E1121" s="5">
        <v>1.07</v>
      </c>
      <c r="F1121" s="4">
        <v>2</v>
      </c>
      <c r="G1121" s="5">
        <v>1.72</v>
      </c>
      <c r="H1121" s="4">
        <v>2</v>
      </c>
    </row>
    <row r="1122" spans="1:8" x14ac:dyDescent="0.2">
      <c r="A1122" s="1" t="s">
        <v>70</v>
      </c>
      <c r="B1122" s="4">
        <v>195</v>
      </c>
      <c r="C1122" s="5">
        <v>99.990000000000009</v>
      </c>
      <c r="D1122" s="4">
        <v>108</v>
      </c>
      <c r="E1122" s="5">
        <v>100</v>
      </c>
      <c r="F1122" s="4">
        <v>79</v>
      </c>
      <c r="G1122" s="5">
        <v>100.02999999999999</v>
      </c>
      <c r="H1122" s="4">
        <v>3</v>
      </c>
    </row>
    <row r="1123" spans="1:8" x14ac:dyDescent="0.2">
      <c r="A1123" s="2" t="s">
        <v>78</v>
      </c>
      <c r="B1123" s="4">
        <v>0</v>
      </c>
      <c r="C1123" s="5">
        <v>0</v>
      </c>
      <c r="D1123" s="4">
        <v>0</v>
      </c>
      <c r="E1123" s="5">
        <v>0</v>
      </c>
      <c r="F1123" s="4">
        <v>0</v>
      </c>
      <c r="G1123" s="5">
        <v>0</v>
      </c>
      <c r="H1123" s="4">
        <v>0</v>
      </c>
    </row>
    <row r="1124" spans="1:8" x14ac:dyDescent="0.2">
      <c r="A1124" s="2" t="s">
        <v>79</v>
      </c>
      <c r="B1124" s="4">
        <v>54</v>
      </c>
      <c r="C1124" s="5">
        <v>27.69</v>
      </c>
      <c r="D1124" s="4">
        <v>31</v>
      </c>
      <c r="E1124" s="5">
        <v>28.7</v>
      </c>
      <c r="F1124" s="4">
        <v>23</v>
      </c>
      <c r="G1124" s="5">
        <v>29.11</v>
      </c>
      <c r="H1124" s="4">
        <v>0</v>
      </c>
    </row>
    <row r="1125" spans="1:8" x14ac:dyDescent="0.2">
      <c r="A1125" s="2" t="s">
        <v>80</v>
      </c>
      <c r="B1125" s="4">
        <v>49</v>
      </c>
      <c r="C1125" s="5">
        <v>25.13</v>
      </c>
      <c r="D1125" s="4">
        <v>24</v>
      </c>
      <c r="E1125" s="5">
        <v>22.22</v>
      </c>
      <c r="F1125" s="4">
        <v>24</v>
      </c>
      <c r="G1125" s="5">
        <v>30.38</v>
      </c>
      <c r="H1125" s="4">
        <v>0</v>
      </c>
    </row>
    <row r="1126" spans="1:8" x14ac:dyDescent="0.2">
      <c r="A1126" s="2" t="s">
        <v>81</v>
      </c>
      <c r="B1126" s="4">
        <v>1</v>
      </c>
      <c r="C1126" s="5">
        <v>0.51</v>
      </c>
      <c r="D1126" s="4">
        <v>0</v>
      </c>
      <c r="E1126" s="5">
        <v>0</v>
      </c>
      <c r="F1126" s="4">
        <v>0</v>
      </c>
      <c r="G1126" s="5">
        <v>0</v>
      </c>
      <c r="H1126" s="4">
        <v>0</v>
      </c>
    </row>
    <row r="1127" spans="1:8" x14ac:dyDescent="0.2">
      <c r="A1127" s="2" t="s">
        <v>82</v>
      </c>
      <c r="B1127" s="4">
        <v>2</v>
      </c>
      <c r="C1127" s="5">
        <v>1.03</v>
      </c>
      <c r="D1127" s="4">
        <v>1</v>
      </c>
      <c r="E1127" s="5">
        <v>0.93</v>
      </c>
      <c r="F1127" s="4">
        <v>1</v>
      </c>
      <c r="G1127" s="5">
        <v>1.27</v>
      </c>
      <c r="H1127" s="4">
        <v>0</v>
      </c>
    </row>
    <row r="1128" spans="1:8" x14ac:dyDescent="0.2">
      <c r="A1128" s="2" t="s">
        <v>83</v>
      </c>
      <c r="B1128" s="4">
        <v>3</v>
      </c>
      <c r="C1128" s="5">
        <v>1.54</v>
      </c>
      <c r="D1128" s="4">
        <v>1</v>
      </c>
      <c r="E1128" s="5">
        <v>0.93</v>
      </c>
      <c r="F1128" s="4">
        <v>1</v>
      </c>
      <c r="G1128" s="5">
        <v>1.27</v>
      </c>
      <c r="H1128" s="4">
        <v>1</v>
      </c>
    </row>
    <row r="1129" spans="1:8" x14ac:dyDescent="0.2">
      <c r="A1129" s="2" t="s">
        <v>84</v>
      </c>
      <c r="B1129" s="4">
        <v>28</v>
      </c>
      <c r="C1129" s="5">
        <v>14.36</v>
      </c>
      <c r="D1129" s="4">
        <v>13</v>
      </c>
      <c r="E1129" s="5">
        <v>12.04</v>
      </c>
      <c r="F1129" s="4">
        <v>13</v>
      </c>
      <c r="G1129" s="5">
        <v>16.46</v>
      </c>
      <c r="H1129" s="4">
        <v>2</v>
      </c>
    </row>
    <row r="1130" spans="1:8" x14ac:dyDescent="0.2">
      <c r="A1130" s="2" t="s">
        <v>85</v>
      </c>
      <c r="B1130" s="4">
        <v>1</v>
      </c>
      <c r="C1130" s="5">
        <v>0.51</v>
      </c>
      <c r="D1130" s="4">
        <v>0</v>
      </c>
      <c r="E1130" s="5">
        <v>0</v>
      </c>
      <c r="F1130" s="4">
        <v>1</v>
      </c>
      <c r="G1130" s="5">
        <v>1.27</v>
      </c>
      <c r="H1130" s="4">
        <v>0</v>
      </c>
    </row>
    <row r="1131" spans="1:8" x14ac:dyDescent="0.2">
      <c r="A1131" s="2" t="s">
        <v>86</v>
      </c>
      <c r="B1131" s="4">
        <v>1</v>
      </c>
      <c r="C1131" s="5">
        <v>0.51</v>
      </c>
      <c r="D1131" s="4">
        <v>0</v>
      </c>
      <c r="E1131" s="5">
        <v>0</v>
      </c>
      <c r="F1131" s="4">
        <v>1</v>
      </c>
      <c r="G1131" s="5">
        <v>1.27</v>
      </c>
      <c r="H1131" s="4">
        <v>0</v>
      </c>
    </row>
    <row r="1132" spans="1:8" x14ac:dyDescent="0.2">
      <c r="A1132" s="2" t="s">
        <v>87</v>
      </c>
      <c r="B1132" s="4">
        <v>5</v>
      </c>
      <c r="C1132" s="5">
        <v>2.56</v>
      </c>
      <c r="D1132" s="4">
        <v>4</v>
      </c>
      <c r="E1132" s="5">
        <v>3.7</v>
      </c>
      <c r="F1132" s="4">
        <v>1</v>
      </c>
      <c r="G1132" s="5">
        <v>1.27</v>
      </c>
      <c r="H1132" s="4">
        <v>0</v>
      </c>
    </row>
    <row r="1133" spans="1:8" x14ac:dyDescent="0.2">
      <c r="A1133" s="2" t="s">
        <v>88</v>
      </c>
      <c r="B1133" s="4">
        <v>22</v>
      </c>
      <c r="C1133" s="5">
        <v>11.28</v>
      </c>
      <c r="D1133" s="4">
        <v>12</v>
      </c>
      <c r="E1133" s="5">
        <v>11.11</v>
      </c>
      <c r="F1133" s="4">
        <v>10</v>
      </c>
      <c r="G1133" s="5">
        <v>12.66</v>
      </c>
      <c r="H1133" s="4">
        <v>0</v>
      </c>
    </row>
    <row r="1134" spans="1:8" x14ac:dyDescent="0.2">
      <c r="A1134" s="2" t="s">
        <v>89</v>
      </c>
      <c r="B1134" s="4">
        <v>15</v>
      </c>
      <c r="C1134" s="5">
        <v>7.69</v>
      </c>
      <c r="D1134" s="4">
        <v>14</v>
      </c>
      <c r="E1134" s="5">
        <v>12.96</v>
      </c>
      <c r="F1134" s="4">
        <v>1</v>
      </c>
      <c r="G1134" s="5">
        <v>1.27</v>
      </c>
      <c r="H1134" s="4">
        <v>0</v>
      </c>
    </row>
    <row r="1135" spans="1:8" x14ac:dyDescent="0.2">
      <c r="A1135" s="2" t="s">
        <v>90</v>
      </c>
      <c r="B1135" s="4">
        <v>6</v>
      </c>
      <c r="C1135" s="5">
        <v>3.08</v>
      </c>
      <c r="D1135" s="4">
        <v>5</v>
      </c>
      <c r="E1135" s="5">
        <v>4.63</v>
      </c>
      <c r="F1135" s="4">
        <v>0</v>
      </c>
      <c r="G1135" s="5">
        <v>0</v>
      </c>
      <c r="H1135" s="4">
        <v>0</v>
      </c>
    </row>
    <row r="1136" spans="1:8" x14ac:dyDescent="0.2">
      <c r="A1136" s="2" t="s">
        <v>91</v>
      </c>
      <c r="B1136" s="4">
        <v>5</v>
      </c>
      <c r="C1136" s="5">
        <v>2.56</v>
      </c>
      <c r="D1136" s="4">
        <v>2</v>
      </c>
      <c r="E1136" s="5">
        <v>1.85</v>
      </c>
      <c r="F1136" s="4">
        <v>1</v>
      </c>
      <c r="G1136" s="5">
        <v>1.27</v>
      </c>
      <c r="H1136" s="4">
        <v>0</v>
      </c>
    </row>
    <row r="1137" spans="1:8" x14ac:dyDescent="0.2">
      <c r="A1137" s="2" t="s">
        <v>92</v>
      </c>
      <c r="B1137" s="4">
        <v>3</v>
      </c>
      <c r="C1137" s="5">
        <v>1.54</v>
      </c>
      <c r="D1137" s="4">
        <v>1</v>
      </c>
      <c r="E1137" s="5">
        <v>0.93</v>
      </c>
      <c r="F1137" s="4">
        <v>2</v>
      </c>
      <c r="G1137" s="5">
        <v>2.5299999999999998</v>
      </c>
      <c r="H1137" s="4">
        <v>0</v>
      </c>
    </row>
    <row r="1138" spans="1:8" x14ac:dyDescent="0.2">
      <c r="A1138" s="1" t="s">
        <v>71</v>
      </c>
      <c r="B1138" s="4">
        <v>444</v>
      </c>
      <c r="C1138" s="5">
        <v>100.01</v>
      </c>
      <c r="D1138" s="4">
        <v>219</v>
      </c>
      <c r="E1138" s="5">
        <v>99.99</v>
      </c>
      <c r="F1138" s="4">
        <v>211</v>
      </c>
      <c r="G1138" s="5">
        <v>100.01</v>
      </c>
      <c r="H1138" s="4">
        <v>4</v>
      </c>
    </row>
    <row r="1139" spans="1:8" x14ac:dyDescent="0.2">
      <c r="A1139" s="2" t="s">
        <v>78</v>
      </c>
      <c r="B1139" s="4">
        <v>0</v>
      </c>
      <c r="C1139" s="5">
        <v>0</v>
      </c>
      <c r="D1139" s="4">
        <v>0</v>
      </c>
      <c r="E1139" s="5">
        <v>0</v>
      </c>
      <c r="F1139" s="4">
        <v>0</v>
      </c>
      <c r="G1139" s="5">
        <v>0</v>
      </c>
      <c r="H1139" s="4">
        <v>0</v>
      </c>
    </row>
    <row r="1140" spans="1:8" x14ac:dyDescent="0.2">
      <c r="A1140" s="2" t="s">
        <v>79</v>
      </c>
      <c r="B1140" s="4">
        <v>75</v>
      </c>
      <c r="C1140" s="5">
        <v>16.89</v>
      </c>
      <c r="D1140" s="4">
        <v>37</v>
      </c>
      <c r="E1140" s="5">
        <v>16.89</v>
      </c>
      <c r="F1140" s="4">
        <v>38</v>
      </c>
      <c r="G1140" s="5">
        <v>18.010000000000002</v>
      </c>
      <c r="H1140" s="4">
        <v>0</v>
      </c>
    </row>
    <row r="1141" spans="1:8" x14ac:dyDescent="0.2">
      <c r="A1141" s="2" t="s">
        <v>80</v>
      </c>
      <c r="B1141" s="4">
        <v>14</v>
      </c>
      <c r="C1141" s="5">
        <v>3.15</v>
      </c>
      <c r="D1141" s="4">
        <v>9</v>
      </c>
      <c r="E1141" s="5">
        <v>4.1100000000000003</v>
      </c>
      <c r="F1141" s="4">
        <v>5</v>
      </c>
      <c r="G1141" s="5">
        <v>2.37</v>
      </c>
      <c r="H1141" s="4">
        <v>0</v>
      </c>
    </row>
    <row r="1142" spans="1:8" x14ac:dyDescent="0.2">
      <c r="A1142" s="2" t="s">
        <v>81</v>
      </c>
      <c r="B1142" s="4">
        <v>3</v>
      </c>
      <c r="C1142" s="5">
        <v>0.68</v>
      </c>
      <c r="D1142" s="4">
        <v>0</v>
      </c>
      <c r="E1142" s="5">
        <v>0</v>
      </c>
      <c r="F1142" s="4">
        <v>3</v>
      </c>
      <c r="G1142" s="5">
        <v>1.42</v>
      </c>
      <c r="H1142" s="4">
        <v>0</v>
      </c>
    </row>
    <row r="1143" spans="1:8" x14ac:dyDescent="0.2">
      <c r="A1143" s="2" t="s">
        <v>82</v>
      </c>
      <c r="B1143" s="4">
        <v>0</v>
      </c>
      <c r="C1143" s="5">
        <v>0</v>
      </c>
      <c r="D1143" s="4">
        <v>0</v>
      </c>
      <c r="E1143" s="5">
        <v>0</v>
      </c>
      <c r="F1143" s="4">
        <v>0</v>
      </c>
      <c r="G1143" s="5">
        <v>0</v>
      </c>
      <c r="H1143" s="4">
        <v>0</v>
      </c>
    </row>
    <row r="1144" spans="1:8" x14ac:dyDescent="0.2">
      <c r="A1144" s="2" t="s">
        <v>83</v>
      </c>
      <c r="B1144" s="4">
        <v>4</v>
      </c>
      <c r="C1144" s="5">
        <v>0.9</v>
      </c>
      <c r="D1144" s="4">
        <v>0</v>
      </c>
      <c r="E1144" s="5">
        <v>0</v>
      </c>
      <c r="F1144" s="4">
        <v>4</v>
      </c>
      <c r="G1144" s="5">
        <v>1.9</v>
      </c>
      <c r="H1144" s="4">
        <v>0</v>
      </c>
    </row>
    <row r="1145" spans="1:8" x14ac:dyDescent="0.2">
      <c r="A1145" s="2" t="s">
        <v>84</v>
      </c>
      <c r="B1145" s="4">
        <v>86</v>
      </c>
      <c r="C1145" s="5">
        <v>19.37</v>
      </c>
      <c r="D1145" s="4">
        <v>42</v>
      </c>
      <c r="E1145" s="5">
        <v>19.18</v>
      </c>
      <c r="F1145" s="4">
        <v>44</v>
      </c>
      <c r="G1145" s="5">
        <v>20.85</v>
      </c>
      <c r="H1145" s="4">
        <v>0</v>
      </c>
    </row>
    <row r="1146" spans="1:8" x14ac:dyDescent="0.2">
      <c r="A1146" s="2" t="s">
        <v>85</v>
      </c>
      <c r="B1146" s="4">
        <v>0</v>
      </c>
      <c r="C1146" s="5">
        <v>0</v>
      </c>
      <c r="D1146" s="4">
        <v>0</v>
      </c>
      <c r="E1146" s="5">
        <v>0</v>
      </c>
      <c r="F1146" s="4">
        <v>0</v>
      </c>
      <c r="G1146" s="5">
        <v>0</v>
      </c>
      <c r="H1146" s="4">
        <v>0</v>
      </c>
    </row>
    <row r="1147" spans="1:8" x14ac:dyDescent="0.2">
      <c r="A1147" s="2" t="s">
        <v>86</v>
      </c>
      <c r="B1147" s="4">
        <v>21</v>
      </c>
      <c r="C1147" s="5">
        <v>4.7300000000000004</v>
      </c>
      <c r="D1147" s="4">
        <v>11</v>
      </c>
      <c r="E1147" s="5">
        <v>5.0199999999999996</v>
      </c>
      <c r="F1147" s="4">
        <v>9</v>
      </c>
      <c r="G1147" s="5">
        <v>4.2699999999999996</v>
      </c>
      <c r="H1147" s="4">
        <v>1</v>
      </c>
    </row>
    <row r="1148" spans="1:8" x14ac:dyDescent="0.2">
      <c r="A1148" s="2" t="s">
        <v>87</v>
      </c>
      <c r="B1148" s="4">
        <v>7</v>
      </c>
      <c r="C1148" s="5">
        <v>1.58</v>
      </c>
      <c r="D1148" s="4">
        <v>5</v>
      </c>
      <c r="E1148" s="5">
        <v>2.2799999999999998</v>
      </c>
      <c r="F1148" s="4">
        <v>2</v>
      </c>
      <c r="G1148" s="5">
        <v>0.95</v>
      </c>
      <c r="H1148" s="4">
        <v>0</v>
      </c>
    </row>
    <row r="1149" spans="1:8" x14ac:dyDescent="0.2">
      <c r="A1149" s="2" t="s">
        <v>88</v>
      </c>
      <c r="B1149" s="4">
        <v>153</v>
      </c>
      <c r="C1149" s="5">
        <v>34.46</v>
      </c>
      <c r="D1149" s="4">
        <v>70</v>
      </c>
      <c r="E1149" s="5">
        <v>31.96</v>
      </c>
      <c r="F1149" s="4">
        <v>82</v>
      </c>
      <c r="G1149" s="5">
        <v>38.86</v>
      </c>
      <c r="H1149" s="4">
        <v>1</v>
      </c>
    </row>
    <row r="1150" spans="1:8" x14ac:dyDescent="0.2">
      <c r="A1150" s="2" t="s">
        <v>89</v>
      </c>
      <c r="B1150" s="4">
        <v>48</v>
      </c>
      <c r="C1150" s="5">
        <v>10.81</v>
      </c>
      <c r="D1150" s="4">
        <v>34</v>
      </c>
      <c r="E1150" s="5">
        <v>15.53</v>
      </c>
      <c r="F1150" s="4">
        <v>12</v>
      </c>
      <c r="G1150" s="5">
        <v>5.69</v>
      </c>
      <c r="H1150" s="4">
        <v>1</v>
      </c>
    </row>
    <row r="1151" spans="1:8" x14ac:dyDescent="0.2">
      <c r="A1151" s="2" t="s">
        <v>90</v>
      </c>
      <c r="B1151" s="4">
        <v>11</v>
      </c>
      <c r="C1151" s="5">
        <v>2.48</v>
      </c>
      <c r="D1151" s="4">
        <v>2</v>
      </c>
      <c r="E1151" s="5">
        <v>0.91</v>
      </c>
      <c r="F1151" s="4">
        <v>3</v>
      </c>
      <c r="G1151" s="5">
        <v>1.42</v>
      </c>
      <c r="H1151" s="4">
        <v>0</v>
      </c>
    </row>
    <row r="1152" spans="1:8" x14ac:dyDescent="0.2">
      <c r="A1152" s="2" t="s">
        <v>91</v>
      </c>
      <c r="B1152" s="4">
        <v>9</v>
      </c>
      <c r="C1152" s="5">
        <v>2.0299999999999998</v>
      </c>
      <c r="D1152" s="4">
        <v>5</v>
      </c>
      <c r="E1152" s="5">
        <v>2.2799999999999998</v>
      </c>
      <c r="F1152" s="4">
        <v>2</v>
      </c>
      <c r="G1152" s="5">
        <v>0.95</v>
      </c>
      <c r="H1152" s="4">
        <v>0</v>
      </c>
    </row>
    <row r="1153" spans="1:8" x14ac:dyDescent="0.2">
      <c r="A1153" s="2" t="s">
        <v>92</v>
      </c>
      <c r="B1153" s="4">
        <v>13</v>
      </c>
      <c r="C1153" s="5">
        <v>2.93</v>
      </c>
      <c r="D1153" s="4">
        <v>4</v>
      </c>
      <c r="E1153" s="5">
        <v>1.83</v>
      </c>
      <c r="F1153" s="4">
        <v>7</v>
      </c>
      <c r="G1153" s="5">
        <v>3.32</v>
      </c>
      <c r="H1153" s="4">
        <v>1</v>
      </c>
    </row>
    <row r="1154" spans="1:8" x14ac:dyDescent="0.2">
      <c r="A1154" s="1" t="s">
        <v>72</v>
      </c>
      <c r="B1154" s="4">
        <v>134</v>
      </c>
      <c r="C1154" s="5">
        <v>100.02</v>
      </c>
      <c r="D1154" s="4">
        <v>76</v>
      </c>
      <c r="E1154" s="5">
        <v>100.00999999999999</v>
      </c>
      <c r="F1154" s="4">
        <v>53</v>
      </c>
      <c r="G1154" s="5">
        <v>100.00999999999999</v>
      </c>
      <c r="H1154" s="4">
        <v>1</v>
      </c>
    </row>
    <row r="1155" spans="1:8" x14ac:dyDescent="0.2">
      <c r="A1155" s="2" t="s">
        <v>78</v>
      </c>
      <c r="B1155" s="4">
        <v>0</v>
      </c>
      <c r="C1155" s="5">
        <v>0</v>
      </c>
      <c r="D1155" s="4">
        <v>0</v>
      </c>
      <c r="E1155" s="5">
        <v>0</v>
      </c>
      <c r="F1155" s="4">
        <v>0</v>
      </c>
      <c r="G1155" s="5">
        <v>0</v>
      </c>
      <c r="H1155" s="4">
        <v>0</v>
      </c>
    </row>
    <row r="1156" spans="1:8" x14ac:dyDescent="0.2">
      <c r="A1156" s="2" t="s">
        <v>79</v>
      </c>
      <c r="B1156" s="4">
        <v>32</v>
      </c>
      <c r="C1156" s="5">
        <v>23.88</v>
      </c>
      <c r="D1156" s="4">
        <v>11</v>
      </c>
      <c r="E1156" s="5">
        <v>14.47</v>
      </c>
      <c r="F1156" s="4">
        <v>21</v>
      </c>
      <c r="G1156" s="5">
        <v>39.619999999999997</v>
      </c>
      <c r="H1156" s="4">
        <v>0</v>
      </c>
    </row>
    <row r="1157" spans="1:8" x14ac:dyDescent="0.2">
      <c r="A1157" s="2" t="s">
        <v>80</v>
      </c>
      <c r="B1157" s="4">
        <v>6</v>
      </c>
      <c r="C1157" s="5">
        <v>4.4800000000000004</v>
      </c>
      <c r="D1157" s="4">
        <v>0</v>
      </c>
      <c r="E1157" s="5">
        <v>0</v>
      </c>
      <c r="F1157" s="4">
        <v>6</v>
      </c>
      <c r="G1157" s="5">
        <v>11.32</v>
      </c>
      <c r="H1157" s="4">
        <v>0</v>
      </c>
    </row>
    <row r="1158" spans="1:8" x14ac:dyDescent="0.2">
      <c r="A1158" s="2" t="s">
        <v>81</v>
      </c>
      <c r="B1158" s="4">
        <v>2</v>
      </c>
      <c r="C1158" s="5">
        <v>1.49</v>
      </c>
      <c r="D1158" s="4">
        <v>0</v>
      </c>
      <c r="E1158" s="5">
        <v>0</v>
      </c>
      <c r="F1158" s="4">
        <v>0</v>
      </c>
      <c r="G1158" s="5">
        <v>0</v>
      </c>
      <c r="H1158" s="4">
        <v>0</v>
      </c>
    </row>
    <row r="1159" spans="1:8" x14ac:dyDescent="0.2">
      <c r="A1159" s="2" t="s">
        <v>82</v>
      </c>
      <c r="B1159" s="4">
        <v>0</v>
      </c>
      <c r="C1159" s="5">
        <v>0</v>
      </c>
      <c r="D1159" s="4">
        <v>0</v>
      </c>
      <c r="E1159" s="5">
        <v>0</v>
      </c>
      <c r="F1159" s="4">
        <v>0</v>
      </c>
      <c r="G1159" s="5">
        <v>0</v>
      </c>
      <c r="H1159" s="4">
        <v>0</v>
      </c>
    </row>
    <row r="1160" spans="1:8" x14ac:dyDescent="0.2">
      <c r="A1160" s="2" t="s">
        <v>83</v>
      </c>
      <c r="B1160" s="4">
        <v>1</v>
      </c>
      <c r="C1160" s="5">
        <v>0.75</v>
      </c>
      <c r="D1160" s="4">
        <v>0</v>
      </c>
      <c r="E1160" s="5">
        <v>0</v>
      </c>
      <c r="F1160" s="4">
        <v>1</v>
      </c>
      <c r="G1160" s="5">
        <v>1.89</v>
      </c>
      <c r="H1160" s="4">
        <v>0</v>
      </c>
    </row>
    <row r="1161" spans="1:8" x14ac:dyDescent="0.2">
      <c r="A1161" s="2" t="s">
        <v>84</v>
      </c>
      <c r="B1161" s="4">
        <v>35</v>
      </c>
      <c r="C1161" s="5">
        <v>26.12</v>
      </c>
      <c r="D1161" s="4">
        <v>19</v>
      </c>
      <c r="E1161" s="5">
        <v>25</v>
      </c>
      <c r="F1161" s="4">
        <v>14</v>
      </c>
      <c r="G1161" s="5">
        <v>26.42</v>
      </c>
      <c r="H1161" s="4">
        <v>1</v>
      </c>
    </row>
    <row r="1162" spans="1:8" x14ac:dyDescent="0.2">
      <c r="A1162" s="2" t="s">
        <v>85</v>
      </c>
      <c r="B1162" s="4">
        <v>0</v>
      </c>
      <c r="C1162" s="5">
        <v>0</v>
      </c>
      <c r="D1162" s="4">
        <v>0</v>
      </c>
      <c r="E1162" s="5">
        <v>0</v>
      </c>
      <c r="F1162" s="4">
        <v>0</v>
      </c>
      <c r="G1162" s="5">
        <v>0</v>
      </c>
      <c r="H1162" s="4">
        <v>0</v>
      </c>
    </row>
    <row r="1163" spans="1:8" x14ac:dyDescent="0.2">
      <c r="A1163" s="2" t="s">
        <v>86</v>
      </c>
      <c r="B1163" s="4">
        <v>3</v>
      </c>
      <c r="C1163" s="5">
        <v>2.2400000000000002</v>
      </c>
      <c r="D1163" s="4">
        <v>1</v>
      </c>
      <c r="E1163" s="5">
        <v>1.32</v>
      </c>
      <c r="F1163" s="4">
        <v>2</v>
      </c>
      <c r="G1163" s="5">
        <v>3.77</v>
      </c>
      <c r="H1163" s="4">
        <v>0</v>
      </c>
    </row>
    <row r="1164" spans="1:8" x14ac:dyDescent="0.2">
      <c r="A1164" s="2" t="s">
        <v>87</v>
      </c>
      <c r="B1164" s="4">
        <v>4</v>
      </c>
      <c r="C1164" s="5">
        <v>2.99</v>
      </c>
      <c r="D1164" s="4">
        <v>3</v>
      </c>
      <c r="E1164" s="5">
        <v>3.95</v>
      </c>
      <c r="F1164" s="4">
        <v>1</v>
      </c>
      <c r="G1164" s="5">
        <v>1.89</v>
      </c>
      <c r="H1164" s="4">
        <v>0</v>
      </c>
    </row>
    <row r="1165" spans="1:8" x14ac:dyDescent="0.2">
      <c r="A1165" s="2" t="s">
        <v>88</v>
      </c>
      <c r="B1165" s="4">
        <v>35</v>
      </c>
      <c r="C1165" s="5">
        <v>26.12</v>
      </c>
      <c r="D1165" s="4">
        <v>29</v>
      </c>
      <c r="E1165" s="5">
        <v>38.159999999999997</v>
      </c>
      <c r="F1165" s="4">
        <v>6</v>
      </c>
      <c r="G1165" s="5">
        <v>11.32</v>
      </c>
      <c r="H1165" s="4">
        <v>0</v>
      </c>
    </row>
    <row r="1166" spans="1:8" x14ac:dyDescent="0.2">
      <c r="A1166" s="2" t="s">
        <v>89</v>
      </c>
      <c r="B1166" s="4">
        <v>11</v>
      </c>
      <c r="C1166" s="5">
        <v>8.2100000000000009</v>
      </c>
      <c r="D1166" s="4">
        <v>11</v>
      </c>
      <c r="E1166" s="5">
        <v>14.47</v>
      </c>
      <c r="F1166" s="4">
        <v>0</v>
      </c>
      <c r="G1166" s="5">
        <v>0</v>
      </c>
      <c r="H1166" s="4">
        <v>0</v>
      </c>
    </row>
    <row r="1167" spans="1:8" x14ac:dyDescent="0.2">
      <c r="A1167" s="2" t="s">
        <v>90</v>
      </c>
      <c r="B1167" s="4">
        <v>3</v>
      </c>
      <c r="C1167" s="5">
        <v>2.2400000000000002</v>
      </c>
      <c r="D1167" s="4">
        <v>1</v>
      </c>
      <c r="E1167" s="5">
        <v>1.32</v>
      </c>
      <c r="F1167" s="4">
        <v>1</v>
      </c>
      <c r="G1167" s="5">
        <v>1.89</v>
      </c>
      <c r="H1167" s="4">
        <v>0</v>
      </c>
    </row>
    <row r="1168" spans="1:8" x14ac:dyDescent="0.2">
      <c r="A1168" s="2" t="s">
        <v>91</v>
      </c>
      <c r="B1168" s="4">
        <v>1</v>
      </c>
      <c r="C1168" s="5">
        <v>0.75</v>
      </c>
      <c r="D1168" s="4">
        <v>1</v>
      </c>
      <c r="E1168" s="5">
        <v>1.32</v>
      </c>
      <c r="F1168" s="4">
        <v>0</v>
      </c>
      <c r="G1168" s="5">
        <v>0</v>
      </c>
      <c r="H1168" s="4">
        <v>0</v>
      </c>
    </row>
    <row r="1169" spans="1:8" x14ac:dyDescent="0.2">
      <c r="A1169" s="2" t="s">
        <v>92</v>
      </c>
      <c r="B1169" s="4">
        <v>1</v>
      </c>
      <c r="C1169" s="5">
        <v>0.75</v>
      </c>
      <c r="D1169" s="4">
        <v>0</v>
      </c>
      <c r="E1169" s="5">
        <v>0</v>
      </c>
      <c r="F1169" s="4">
        <v>1</v>
      </c>
      <c r="G1169" s="5">
        <v>1.89</v>
      </c>
      <c r="H1169" s="4">
        <v>0</v>
      </c>
    </row>
    <row r="1170" spans="1:8" x14ac:dyDescent="0.2">
      <c r="A1170" s="1" t="s">
        <v>73</v>
      </c>
      <c r="B1170" s="4">
        <v>322</v>
      </c>
      <c r="C1170" s="5">
        <v>100</v>
      </c>
      <c r="D1170" s="4">
        <v>221</v>
      </c>
      <c r="E1170" s="5">
        <v>99.980000000000018</v>
      </c>
      <c r="F1170" s="4">
        <v>91</v>
      </c>
      <c r="G1170" s="5">
        <v>100</v>
      </c>
      <c r="H1170" s="4">
        <v>2</v>
      </c>
    </row>
    <row r="1171" spans="1:8" x14ac:dyDescent="0.2">
      <c r="A1171" s="2" t="s">
        <v>78</v>
      </c>
      <c r="B1171" s="4">
        <v>0</v>
      </c>
      <c r="C1171" s="5">
        <v>0</v>
      </c>
      <c r="D1171" s="4">
        <v>0</v>
      </c>
      <c r="E1171" s="5">
        <v>0</v>
      </c>
      <c r="F1171" s="4">
        <v>0</v>
      </c>
      <c r="G1171" s="5">
        <v>0</v>
      </c>
      <c r="H1171" s="4">
        <v>0</v>
      </c>
    </row>
    <row r="1172" spans="1:8" x14ac:dyDescent="0.2">
      <c r="A1172" s="2" t="s">
        <v>79</v>
      </c>
      <c r="B1172" s="4">
        <v>21</v>
      </c>
      <c r="C1172" s="5">
        <v>6.52</v>
      </c>
      <c r="D1172" s="4">
        <v>9</v>
      </c>
      <c r="E1172" s="5">
        <v>4.07</v>
      </c>
      <c r="F1172" s="4">
        <v>12</v>
      </c>
      <c r="G1172" s="5">
        <v>13.19</v>
      </c>
      <c r="H1172" s="4">
        <v>0</v>
      </c>
    </row>
    <row r="1173" spans="1:8" x14ac:dyDescent="0.2">
      <c r="A1173" s="2" t="s">
        <v>80</v>
      </c>
      <c r="B1173" s="4">
        <v>9</v>
      </c>
      <c r="C1173" s="5">
        <v>2.8</v>
      </c>
      <c r="D1173" s="4">
        <v>3</v>
      </c>
      <c r="E1173" s="5">
        <v>1.36</v>
      </c>
      <c r="F1173" s="4">
        <v>5</v>
      </c>
      <c r="G1173" s="5">
        <v>5.49</v>
      </c>
      <c r="H1173" s="4">
        <v>1</v>
      </c>
    </row>
    <row r="1174" spans="1:8" x14ac:dyDescent="0.2">
      <c r="A1174" s="2" t="s">
        <v>81</v>
      </c>
      <c r="B1174" s="4">
        <v>2</v>
      </c>
      <c r="C1174" s="5">
        <v>0.62</v>
      </c>
      <c r="D1174" s="4">
        <v>0</v>
      </c>
      <c r="E1174" s="5">
        <v>0</v>
      </c>
      <c r="F1174" s="4">
        <v>0</v>
      </c>
      <c r="G1174" s="5">
        <v>0</v>
      </c>
      <c r="H1174" s="4">
        <v>0</v>
      </c>
    </row>
    <row r="1175" spans="1:8" x14ac:dyDescent="0.2">
      <c r="A1175" s="2" t="s">
        <v>82</v>
      </c>
      <c r="B1175" s="4">
        <v>1</v>
      </c>
      <c r="C1175" s="5">
        <v>0.31</v>
      </c>
      <c r="D1175" s="4">
        <v>0</v>
      </c>
      <c r="E1175" s="5">
        <v>0</v>
      </c>
      <c r="F1175" s="4">
        <v>0</v>
      </c>
      <c r="G1175" s="5">
        <v>0</v>
      </c>
      <c r="H1175" s="4">
        <v>0</v>
      </c>
    </row>
    <row r="1176" spans="1:8" x14ac:dyDescent="0.2">
      <c r="A1176" s="2" t="s">
        <v>83</v>
      </c>
      <c r="B1176" s="4">
        <v>2</v>
      </c>
      <c r="C1176" s="5">
        <v>0.62</v>
      </c>
      <c r="D1176" s="4">
        <v>0</v>
      </c>
      <c r="E1176" s="5">
        <v>0</v>
      </c>
      <c r="F1176" s="4">
        <v>2</v>
      </c>
      <c r="G1176" s="5">
        <v>2.2000000000000002</v>
      </c>
      <c r="H1176" s="4">
        <v>0</v>
      </c>
    </row>
    <row r="1177" spans="1:8" x14ac:dyDescent="0.2">
      <c r="A1177" s="2" t="s">
        <v>84</v>
      </c>
      <c r="B1177" s="4">
        <v>46</v>
      </c>
      <c r="C1177" s="5">
        <v>14.29</v>
      </c>
      <c r="D1177" s="4">
        <v>18</v>
      </c>
      <c r="E1177" s="5">
        <v>8.14</v>
      </c>
      <c r="F1177" s="4">
        <v>27</v>
      </c>
      <c r="G1177" s="5">
        <v>29.67</v>
      </c>
      <c r="H1177" s="4">
        <v>1</v>
      </c>
    </row>
    <row r="1178" spans="1:8" x14ac:dyDescent="0.2">
      <c r="A1178" s="2" t="s">
        <v>85</v>
      </c>
      <c r="B1178" s="4">
        <v>0</v>
      </c>
      <c r="C1178" s="5">
        <v>0</v>
      </c>
      <c r="D1178" s="4">
        <v>0</v>
      </c>
      <c r="E1178" s="5">
        <v>0</v>
      </c>
      <c r="F1178" s="4">
        <v>0</v>
      </c>
      <c r="G1178" s="5">
        <v>0</v>
      </c>
      <c r="H1178" s="4">
        <v>0</v>
      </c>
    </row>
    <row r="1179" spans="1:8" x14ac:dyDescent="0.2">
      <c r="A1179" s="2" t="s">
        <v>86</v>
      </c>
      <c r="B1179" s="4">
        <v>7</v>
      </c>
      <c r="C1179" s="5">
        <v>2.17</v>
      </c>
      <c r="D1179" s="4">
        <v>1</v>
      </c>
      <c r="E1179" s="5">
        <v>0.45</v>
      </c>
      <c r="F1179" s="4">
        <v>5</v>
      </c>
      <c r="G1179" s="5">
        <v>5.49</v>
      </c>
      <c r="H1179" s="4">
        <v>0</v>
      </c>
    </row>
    <row r="1180" spans="1:8" x14ac:dyDescent="0.2">
      <c r="A1180" s="2" t="s">
        <v>87</v>
      </c>
      <c r="B1180" s="4">
        <v>3</v>
      </c>
      <c r="C1180" s="5">
        <v>0.93</v>
      </c>
      <c r="D1180" s="4">
        <v>2</v>
      </c>
      <c r="E1180" s="5">
        <v>0.9</v>
      </c>
      <c r="F1180" s="4">
        <v>1</v>
      </c>
      <c r="G1180" s="5">
        <v>1.1000000000000001</v>
      </c>
      <c r="H1180" s="4">
        <v>0</v>
      </c>
    </row>
    <row r="1181" spans="1:8" x14ac:dyDescent="0.2">
      <c r="A1181" s="2" t="s">
        <v>88</v>
      </c>
      <c r="B1181" s="4">
        <v>206</v>
      </c>
      <c r="C1181" s="5">
        <v>63.98</v>
      </c>
      <c r="D1181" s="4">
        <v>173</v>
      </c>
      <c r="E1181" s="5">
        <v>78.28</v>
      </c>
      <c r="F1181" s="4">
        <v>32</v>
      </c>
      <c r="G1181" s="5">
        <v>35.159999999999997</v>
      </c>
      <c r="H1181" s="4">
        <v>0</v>
      </c>
    </row>
    <row r="1182" spans="1:8" x14ac:dyDescent="0.2">
      <c r="A1182" s="2" t="s">
        <v>89</v>
      </c>
      <c r="B1182" s="4">
        <v>12</v>
      </c>
      <c r="C1182" s="5">
        <v>3.73</v>
      </c>
      <c r="D1182" s="4">
        <v>11</v>
      </c>
      <c r="E1182" s="5">
        <v>4.9800000000000004</v>
      </c>
      <c r="F1182" s="4">
        <v>1</v>
      </c>
      <c r="G1182" s="5">
        <v>1.1000000000000001</v>
      </c>
      <c r="H1182" s="4">
        <v>0</v>
      </c>
    </row>
    <row r="1183" spans="1:8" x14ac:dyDescent="0.2">
      <c r="A1183" s="2" t="s">
        <v>90</v>
      </c>
      <c r="B1183" s="4">
        <v>6</v>
      </c>
      <c r="C1183" s="5">
        <v>1.86</v>
      </c>
      <c r="D1183" s="4">
        <v>2</v>
      </c>
      <c r="E1183" s="5">
        <v>0.9</v>
      </c>
      <c r="F1183" s="4">
        <v>2</v>
      </c>
      <c r="G1183" s="5">
        <v>2.2000000000000002</v>
      </c>
      <c r="H1183" s="4">
        <v>0</v>
      </c>
    </row>
    <row r="1184" spans="1:8" x14ac:dyDescent="0.2">
      <c r="A1184" s="2" t="s">
        <v>91</v>
      </c>
      <c r="B1184" s="4">
        <v>4</v>
      </c>
      <c r="C1184" s="5">
        <v>1.24</v>
      </c>
      <c r="D1184" s="4">
        <v>1</v>
      </c>
      <c r="E1184" s="5">
        <v>0.45</v>
      </c>
      <c r="F1184" s="4">
        <v>2</v>
      </c>
      <c r="G1184" s="5">
        <v>2.2000000000000002</v>
      </c>
      <c r="H1184" s="4">
        <v>0</v>
      </c>
    </row>
    <row r="1185" spans="1:8" x14ac:dyDescent="0.2">
      <c r="A1185" s="2" t="s">
        <v>92</v>
      </c>
      <c r="B1185" s="4">
        <v>3</v>
      </c>
      <c r="C1185" s="5">
        <v>0.93</v>
      </c>
      <c r="D1185" s="4">
        <v>1</v>
      </c>
      <c r="E1185" s="5">
        <v>0.45</v>
      </c>
      <c r="F1185" s="4">
        <v>2</v>
      </c>
      <c r="G1185" s="5">
        <v>2.2000000000000002</v>
      </c>
      <c r="H1185" s="4">
        <v>0</v>
      </c>
    </row>
    <row r="1186" spans="1:8" x14ac:dyDescent="0.2">
      <c r="A1186" s="1" t="s">
        <v>74</v>
      </c>
      <c r="B1186" s="4">
        <v>273</v>
      </c>
      <c r="C1186" s="5">
        <v>100.01</v>
      </c>
      <c r="D1186" s="4">
        <v>160</v>
      </c>
      <c r="E1186" s="5">
        <v>100.02000000000001</v>
      </c>
      <c r="F1186" s="4">
        <v>106</v>
      </c>
      <c r="G1186" s="5">
        <v>99.999999999999986</v>
      </c>
      <c r="H1186" s="4">
        <v>0</v>
      </c>
    </row>
    <row r="1187" spans="1:8" x14ac:dyDescent="0.2">
      <c r="A1187" s="2" t="s">
        <v>78</v>
      </c>
      <c r="B1187" s="4">
        <v>0</v>
      </c>
      <c r="C1187" s="5">
        <v>0</v>
      </c>
      <c r="D1187" s="4">
        <v>0</v>
      </c>
      <c r="E1187" s="5">
        <v>0</v>
      </c>
      <c r="F1187" s="4">
        <v>0</v>
      </c>
      <c r="G1187" s="5">
        <v>0</v>
      </c>
      <c r="H1187" s="4">
        <v>0</v>
      </c>
    </row>
    <row r="1188" spans="1:8" x14ac:dyDescent="0.2">
      <c r="A1188" s="2" t="s">
        <v>79</v>
      </c>
      <c r="B1188" s="4">
        <v>49</v>
      </c>
      <c r="C1188" s="5">
        <v>17.95</v>
      </c>
      <c r="D1188" s="4">
        <v>19</v>
      </c>
      <c r="E1188" s="5">
        <v>11.88</v>
      </c>
      <c r="F1188" s="4">
        <v>30</v>
      </c>
      <c r="G1188" s="5">
        <v>28.3</v>
      </c>
      <c r="H1188" s="4">
        <v>0</v>
      </c>
    </row>
    <row r="1189" spans="1:8" x14ac:dyDescent="0.2">
      <c r="A1189" s="2" t="s">
        <v>80</v>
      </c>
      <c r="B1189" s="4">
        <v>25</v>
      </c>
      <c r="C1189" s="5">
        <v>9.16</v>
      </c>
      <c r="D1189" s="4">
        <v>10</v>
      </c>
      <c r="E1189" s="5">
        <v>6.25</v>
      </c>
      <c r="F1189" s="4">
        <v>15</v>
      </c>
      <c r="G1189" s="5">
        <v>14.15</v>
      </c>
      <c r="H1189" s="4">
        <v>0</v>
      </c>
    </row>
    <row r="1190" spans="1:8" x14ac:dyDescent="0.2">
      <c r="A1190" s="2" t="s">
        <v>81</v>
      </c>
      <c r="B1190" s="4">
        <v>0</v>
      </c>
      <c r="C1190" s="5">
        <v>0</v>
      </c>
      <c r="D1190" s="4">
        <v>0</v>
      </c>
      <c r="E1190" s="5">
        <v>0</v>
      </c>
      <c r="F1190" s="4">
        <v>0</v>
      </c>
      <c r="G1190" s="5">
        <v>0</v>
      </c>
      <c r="H1190" s="4">
        <v>0</v>
      </c>
    </row>
    <row r="1191" spans="1:8" x14ac:dyDescent="0.2">
      <c r="A1191" s="2" t="s">
        <v>82</v>
      </c>
      <c r="B1191" s="4">
        <v>2</v>
      </c>
      <c r="C1191" s="5">
        <v>0.73</v>
      </c>
      <c r="D1191" s="4">
        <v>2</v>
      </c>
      <c r="E1191" s="5">
        <v>1.25</v>
      </c>
      <c r="F1191" s="4">
        <v>0</v>
      </c>
      <c r="G1191" s="5">
        <v>0</v>
      </c>
      <c r="H1191" s="4">
        <v>0</v>
      </c>
    </row>
    <row r="1192" spans="1:8" x14ac:dyDescent="0.2">
      <c r="A1192" s="2" t="s">
        <v>83</v>
      </c>
      <c r="B1192" s="4">
        <v>2</v>
      </c>
      <c r="C1192" s="5">
        <v>0.73</v>
      </c>
      <c r="D1192" s="4">
        <v>0</v>
      </c>
      <c r="E1192" s="5">
        <v>0</v>
      </c>
      <c r="F1192" s="4">
        <v>1</v>
      </c>
      <c r="G1192" s="5">
        <v>0.94</v>
      </c>
      <c r="H1192" s="4">
        <v>0</v>
      </c>
    </row>
    <row r="1193" spans="1:8" x14ac:dyDescent="0.2">
      <c r="A1193" s="2" t="s">
        <v>84</v>
      </c>
      <c r="B1193" s="4">
        <v>55</v>
      </c>
      <c r="C1193" s="5">
        <v>20.149999999999999</v>
      </c>
      <c r="D1193" s="4">
        <v>35</v>
      </c>
      <c r="E1193" s="5">
        <v>21.88</v>
      </c>
      <c r="F1193" s="4">
        <v>20</v>
      </c>
      <c r="G1193" s="5">
        <v>18.87</v>
      </c>
      <c r="H1193" s="4">
        <v>0</v>
      </c>
    </row>
    <row r="1194" spans="1:8" x14ac:dyDescent="0.2">
      <c r="A1194" s="2" t="s">
        <v>85</v>
      </c>
      <c r="B1194" s="4">
        <v>0</v>
      </c>
      <c r="C1194" s="5">
        <v>0</v>
      </c>
      <c r="D1194" s="4">
        <v>0</v>
      </c>
      <c r="E1194" s="5">
        <v>0</v>
      </c>
      <c r="F1194" s="4">
        <v>0</v>
      </c>
      <c r="G1194" s="5">
        <v>0</v>
      </c>
      <c r="H1194" s="4">
        <v>0</v>
      </c>
    </row>
    <row r="1195" spans="1:8" x14ac:dyDescent="0.2">
      <c r="A1195" s="2" t="s">
        <v>86</v>
      </c>
      <c r="B1195" s="4">
        <v>3</v>
      </c>
      <c r="C1195" s="5">
        <v>1.1000000000000001</v>
      </c>
      <c r="D1195" s="4">
        <v>0</v>
      </c>
      <c r="E1195" s="5">
        <v>0</v>
      </c>
      <c r="F1195" s="4">
        <v>3</v>
      </c>
      <c r="G1195" s="5">
        <v>2.83</v>
      </c>
      <c r="H1195" s="4">
        <v>0</v>
      </c>
    </row>
    <row r="1196" spans="1:8" x14ac:dyDescent="0.2">
      <c r="A1196" s="2" t="s">
        <v>87</v>
      </c>
      <c r="B1196" s="4">
        <v>14</v>
      </c>
      <c r="C1196" s="5">
        <v>5.13</v>
      </c>
      <c r="D1196" s="4">
        <v>7</v>
      </c>
      <c r="E1196" s="5">
        <v>4.38</v>
      </c>
      <c r="F1196" s="4">
        <v>7</v>
      </c>
      <c r="G1196" s="5">
        <v>6.6</v>
      </c>
      <c r="H1196" s="4">
        <v>0</v>
      </c>
    </row>
    <row r="1197" spans="1:8" x14ac:dyDescent="0.2">
      <c r="A1197" s="2" t="s">
        <v>88</v>
      </c>
      <c r="B1197" s="4">
        <v>77</v>
      </c>
      <c r="C1197" s="5">
        <v>28.21</v>
      </c>
      <c r="D1197" s="4">
        <v>60</v>
      </c>
      <c r="E1197" s="5">
        <v>37.5</v>
      </c>
      <c r="F1197" s="4">
        <v>17</v>
      </c>
      <c r="G1197" s="5">
        <v>16.04</v>
      </c>
      <c r="H1197" s="4">
        <v>0</v>
      </c>
    </row>
    <row r="1198" spans="1:8" x14ac:dyDescent="0.2">
      <c r="A1198" s="2" t="s">
        <v>89</v>
      </c>
      <c r="B1198" s="4">
        <v>23</v>
      </c>
      <c r="C1198" s="5">
        <v>8.42</v>
      </c>
      <c r="D1198" s="4">
        <v>16</v>
      </c>
      <c r="E1198" s="5">
        <v>10</v>
      </c>
      <c r="F1198" s="4">
        <v>7</v>
      </c>
      <c r="G1198" s="5">
        <v>6.6</v>
      </c>
      <c r="H1198" s="4">
        <v>0</v>
      </c>
    </row>
    <row r="1199" spans="1:8" x14ac:dyDescent="0.2">
      <c r="A1199" s="2" t="s">
        <v>90</v>
      </c>
      <c r="B1199" s="4">
        <v>9</v>
      </c>
      <c r="C1199" s="5">
        <v>3.3</v>
      </c>
      <c r="D1199" s="4">
        <v>4</v>
      </c>
      <c r="E1199" s="5">
        <v>2.5</v>
      </c>
      <c r="F1199" s="4">
        <v>2</v>
      </c>
      <c r="G1199" s="5">
        <v>1.89</v>
      </c>
      <c r="H1199" s="4">
        <v>0</v>
      </c>
    </row>
    <row r="1200" spans="1:8" x14ac:dyDescent="0.2">
      <c r="A1200" s="2" t="s">
        <v>91</v>
      </c>
      <c r="B1200" s="4">
        <v>8</v>
      </c>
      <c r="C1200" s="5">
        <v>2.93</v>
      </c>
      <c r="D1200" s="4">
        <v>4</v>
      </c>
      <c r="E1200" s="5">
        <v>2.5</v>
      </c>
      <c r="F1200" s="4">
        <v>2</v>
      </c>
      <c r="G1200" s="5">
        <v>1.89</v>
      </c>
      <c r="H1200" s="4">
        <v>0</v>
      </c>
    </row>
    <row r="1201" spans="1:8" x14ac:dyDescent="0.2">
      <c r="A1201" s="2" t="s">
        <v>92</v>
      </c>
      <c r="B1201" s="4">
        <v>6</v>
      </c>
      <c r="C1201" s="5">
        <v>2.2000000000000002</v>
      </c>
      <c r="D1201" s="4">
        <v>3</v>
      </c>
      <c r="E1201" s="5">
        <v>1.88</v>
      </c>
      <c r="F1201" s="4">
        <v>2</v>
      </c>
      <c r="G1201" s="5">
        <v>1.89</v>
      </c>
      <c r="H1201" s="4">
        <v>0</v>
      </c>
    </row>
    <row r="1202" spans="1:8" x14ac:dyDescent="0.2">
      <c r="A1202" s="1" t="s">
        <v>75</v>
      </c>
      <c r="B1202" s="4">
        <v>90</v>
      </c>
      <c r="C1202" s="5">
        <v>100</v>
      </c>
      <c r="D1202" s="4">
        <v>56</v>
      </c>
      <c r="E1202" s="5">
        <v>99.999999999999972</v>
      </c>
      <c r="F1202" s="4">
        <v>28</v>
      </c>
      <c r="G1202" s="5">
        <v>99.999999999999986</v>
      </c>
      <c r="H1202" s="4">
        <v>0</v>
      </c>
    </row>
    <row r="1203" spans="1:8" x14ac:dyDescent="0.2">
      <c r="A1203" s="2" t="s">
        <v>78</v>
      </c>
      <c r="B1203" s="4">
        <v>0</v>
      </c>
      <c r="C1203" s="5">
        <v>0</v>
      </c>
      <c r="D1203" s="4">
        <v>0</v>
      </c>
      <c r="E1203" s="5">
        <v>0</v>
      </c>
      <c r="F1203" s="4">
        <v>0</v>
      </c>
      <c r="G1203" s="5">
        <v>0</v>
      </c>
      <c r="H1203" s="4">
        <v>0</v>
      </c>
    </row>
    <row r="1204" spans="1:8" x14ac:dyDescent="0.2">
      <c r="A1204" s="2" t="s">
        <v>79</v>
      </c>
      <c r="B1204" s="4">
        <v>25</v>
      </c>
      <c r="C1204" s="5">
        <v>27.78</v>
      </c>
      <c r="D1204" s="4">
        <v>13</v>
      </c>
      <c r="E1204" s="5">
        <v>23.21</v>
      </c>
      <c r="F1204" s="4">
        <v>12</v>
      </c>
      <c r="G1204" s="5">
        <v>42.86</v>
      </c>
      <c r="H1204" s="4">
        <v>0</v>
      </c>
    </row>
    <row r="1205" spans="1:8" x14ac:dyDescent="0.2">
      <c r="A1205" s="2" t="s">
        <v>80</v>
      </c>
      <c r="B1205" s="4">
        <v>7</v>
      </c>
      <c r="C1205" s="5">
        <v>7.78</v>
      </c>
      <c r="D1205" s="4">
        <v>3</v>
      </c>
      <c r="E1205" s="5">
        <v>5.36</v>
      </c>
      <c r="F1205" s="4">
        <v>4</v>
      </c>
      <c r="G1205" s="5">
        <v>14.29</v>
      </c>
      <c r="H1205" s="4">
        <v>0</v>
      </c>
    </row>
    <row r="1206" spans="1:8" x14ac:dyDescent="0.2">
      <c r="A1206" s="2" t="s">
        <v>81</v>
      </c>
      <c r="B1206" s="4">
        <v>1</v>
      </c>
      <c r="C1206" s="5">
        <v>1.1100000000000001</v>
      </c>
      <c r="D1206" s="4">
        <v>0</v>
      </c>
      <c r="E1206" s="5">
        <v>0</v>
      </c>
      <c r="F1206" s="4">
        <v>0</v>
      </c>
      <c r="G1206" s="5">
        <v>0</v>
      </c>
      <c r="H1206" s="4">
        <v>0</v>
      </c>
    </row>
    <row r="1207" spans="1:8" x14ac:dyDescent="0.2">
      <c r="A1207" s="2" t="s">
        <v>82</v>
      </c>
      <c r="B1207" s="4">
        <v>0</v>
      </c>
      <c r="C1207" s="5">
        <v>0</v>
      </c>
      <c r="D1207" s="4">
        <v>0</v>
      </c>
      <c r="E1207" s="5">
        <v>0</v>
      </c>
      <c r="F1207" s="4">
        <v>0</v>
      </c>
      <c r="G1207" s="5">
        <v>0</v>
      </c>
      <c r="H1207" s="4">
        <v>0</v>
      </c>
    </row>
    <row r="1208" spans="1:8" x14ac:dyDescent="0.2">
      <c r="A1208" s="2" t="s">
        <v>83</v>
      </c>
      <c r="B1208" s="4">
        <v>1</v>
      </c>
      <c r="C1208" s="5">
        <v>1.1100000000000001</v>
      </c>
      <c r="D1208" s="4">
        <v>1</v>
      </c>
      <c r="E1208" s="5">
        <v>1.79</v>
      </c>
      <c r="F1208" s="4">
        <v>0</v>
      </c>
      <c r="G1208" s="5">
        <v>0</v>
      </c>
      <c r="H1208" s="4">
        <v>0</v>
      </c>
    </row>
    <row r="1209" spans="1:8" x14ac:dyDescent="0.2">
      <c r="A1209" s="2" t="s">
        <v>84</v>
      </c>
      <c r="B1209" s="4">
        <v>27</v>
      </c>
      <c r="C1209" s="5">
        <v>30</v>
      </c>
      <c r="D1209" s="4">
        <v>18</v>
      </c>
      <c r="E1209" s="5">
        <v>32.14</v>
      </c>
      <c r="F1209" s="4">
        <v>9</v>
      </c>
      <c r="G1209" s="5">
        <v>32.14</v>
      </c>
      <c r="H1209" s="4">
        <v>0</v>
      </c>
    </row>
    <row r="1210" spans="1:8" x14ac:dyDescent="0.2">
      <c r="A1210" s="2" t="s">
        <v>85</v>
      </c>
      <c r="B1210" s="4">
        <v>0</v>
      </c>
      <c r="C1210" s="5">
        <v>0</v>
      </c>
      <c r="D1210" s="4">
        <v>0</v>
      </c>
      <c r="E1210" s="5">
        <v>0</v>
      </c>
      <c r="F1210" s="4">
        <v>0</v>
      </c>
      <c r="G1210" s="5">
        <v>0</v>
      </c>
      <c r="H1210" s="4">
        <v>0</v>
      </c>
    </row>
    <row r="1211" spans="1:8" x14ac:dyDescent="0.2">
      <c r="A1211" s="2" t="s">
        <v>86</v>
      </c>
      <c r="B1211" s="4">
        <v>2</v>
      </c>
      <c r="C1211" s="5">
        <v>2.2200000000000002</v>
      </c>
      <c r="D1211" s="4">
        <v>0</v>
      </c>
      <c r="E1211" s="5">
        <v>0</v>
      </c>
      <c r="F1211" s="4">
        <v>2</v>
      </c>
      <c r="G1211" s="5">
        <v>7.14</v>
      </c>
      <c r="H1211" s="4">
        <v>0</v>
      </c>
    </row>
    <row r="1212" spans="1:8" x14ac:dyDescent="0.2">
      <c r="A1212" s="2" t="s">
        <v>87</v>
      </c>
      <c r="B1212" s="4">
        <v>3</v>
      </c>
      <c r="C1212" s="5">
        <v>3.33</v>
      </c>
      <c r="D1212" s="4">
        <v>3</v>
      </c>
      <c r="E1212" s="5">
        <v>5.36</v>
      </c>
      <c r="F1212" s="4">
        <v>0</v>
      </c>
      <c r="G1212" s="5">
        <v>0</v>
      </c>
      <c r="H1212" s="4">
        <v>0</v>
      </c>
    </row>
    <row r="1213" spans="1:8" x14ac:dyDescent="0.2">
      <c r="A1213" s="2" t="s">
        <v>88</v>
      </c>
      <c r="B1213" s="4">
        <v>8</v>
      </c>
      <c r="C1213" s="5">
        <v>8.89</v>
      </c>
      <c r="D1213" s="4">
        <v>6</v>
      </c>
      <c r="E1213" s="5">
        <v>10.71</v>
      </c>
      <c r="F1213" s="4">
        <v>1</v>
      </c>
      <c r="G1213" s="5">
        <v>3.57</v>
      </c>
      <c r="H1213" s="4">
        <v>0</v>
      </c>
    </row>
    <row r="1214" spans="1:8" x14ac:dyDescent="0.2">
      <c r="A1214" s="2" t="s">
        <v>89</v>
      </c>
      <c r="B1214" s="4">
        <v>8</v>
      </c>
      <c r="C1214" s="5">
        <v>8.89</v>
      </c>
      <c r="D1214" s="4">
        <v>8</v>
      </c>
      <c r="E1214" s="5">
        <v>14.29</v>
      </c>
      <c r="F1214" s="4">
        <v>0</v>
      </c>
      <c r="G1214" s="5">
        <v>0</v>
      </c>
      <c r="H1214" s="4">
        <v>0</v>
      </c>
    </row>
    <row r="1215" spans="1:8" x14ac:dyDescent="0.2">
      <c r="A1215" s="2" t="s">
        <v>90</v>
      </c>
      <c r="B1215" s="4">
        <v>1</v>
      </c>
      <c r="C1215" s="5">
        <v>1.1100000000000001</v>
      </c>
      <c r="D1215" s="4">
        <v>0</v>
      </c>
      <c r="E1215" s="5">
        <v>0</v>
      </c>
      <c r="F1215" s="4">
        <v>0</v>
      </c>
      <c r="G1215" s="5">
        <v>0</v>
      </c>
      <c r="H1215" s="4">
        <v>0</v>
      </c>
    </row>
    <row r="1216" spans="1:8" x14ac:dyDescent="0.2">
      <c r="A1216" s="2" t="s">
        <v>91</v>
      </c>
      <c r="B1216" s="4">
        <v>5</v>
      </c>
      <c r="C1216" s="5">
        <v>5.56</v>
      </c>
      <c r="D1216" s="4">
        <v>2</v>
      </c>
      <c r="E1216" s="5">
        <v>3.57</v>
      </c>
      <c r="F1216" s="4">
        <v>0</v>
      </c>
      <c r="G1216" s="5">
        <v>0</v>
      </c>
      <c r="H1216" s="4">
        <v>0</v>
      </c>
    </row>
    <row r="1217" spans="1:8" x14ac:dyDescent="0.2">
      <c r="A1217" s="2" t="s">
        <v>92</v>
      </c>
      <c r="B1217" s="4">
        <v>2</v>
      </c>
      <c r="C1217" s="5">
        <v>2.2200000000000002</v>
      </c>
      <c r="D1217" s="4">
        <v>2</v>
      </c>
      <c r="E1217" s="5">
        <v>3.57</v>
      </c>
      <c r="F1217" s="4">
        <v>0</v>
      </c>
      <c r="G1217" s="5">
        <v>0</v>
      </c>
      <c r="H1217" s="4">
        <v>0</v>
      </c>
    </row>
    <row r="1218" spans="1:8" x14ac:dyDescent="0.2">
      <c r="A1218" s="1" t="s">
        <v>76</v>
      </c>
      <c r="B1218" s="4">
        <v>231</v>
      </c>
      <c r="C1218" s="5">
        <v>100.00999999999998</v>
      </c>
      <c r="D1218" s="4">
        <v>136</v>
      </c>
      <c r="E1218" s="5">
        <v>100.01</v>
      </c>
      <c r="F1218" s="4">
        <v>87</v>
      </c>
      <c r="G1218" s="5">
        <v>100.00999999999999</v>
      </c>
      <c r="H1218" s="4">
        <v>0</v>
      </c>
    </row>
    <row r="1219" spans="1:8" x14ac:dyDescent="0.2">
      <c r="A1219" s="2" t="s">
        <v>78</v>
      </c>
      <c r="B1219" s="4">
        <v>0</v>
      </c>
      <c r="C1219" s="5">
        <v>0</v>
      </c>
      <c r="D1219" s="4">
        <v>0</v>
      </c>
      <c r="E1219" s="5">
        <v>0</v>
      </c>
      <c r="F1219" s="4">
        <v>0</v>
      </c>
      <c r="G1219" s="5">
        <v>0</v>
      </c>
      <c r="H1219" s="4">
        <v>0</v>
      </c>
    </row>
    <row r="1220" spans="1:8" x14ac:dyDescent="0.2">
      <c r="A1220" s="2" t="s">
        <v>79</v>
      </c>
      <c r="B1220" s="4">
        <v>58</v>
      </c>
      <c r="C1220" s="5">
        <v>25.11</v>
      </c>
      <c r="D1220" s="4">
        <v>31</v>
      </c>
      <c r="E1220" s="5">
        <v>22.79</v>
      </c>
      <c r="F1220" s="4">
        <v>27</v>
      </c>
      <c r="G1220" s="5">
        <v>31.03</v>
      </c>
      <c r="H1220" s="4">
        <v>0</v>
      </c>
    </row>
    <row r="1221" spans="1:8" x14ac:dyDescent="0.2">
      <c r="A1221" s="2" t="s">
        <v>80</v>
      </c>
      <c r="B1221" s="4">
        <v>22</v>
      </c>
      <c r="C1221" s="5">
        <v>9.52</v>
      </c>
      <c r="D1221" s="4">
        <v>12</v>
      </c>
      <c r="E1221" s="5">
        <v>8.82</v>
      </c>
      <c r="F1221" s="4">
        <v>10</v>
      </c>
      <c r="G1221" s="5">
        <v>11.49</v>
      </c>
      <c r="H1221" s="4">
        <v>0</v>
      </c>
    </row>
    <row r="1222" spans="1:8" x14ac:dyDescent="0.2">
      <c r="A1222" s="2" t="s">
        <v>81</v>
      </c>
      <c r="B1222" s="4">
        <v>2</v>
      </c>
      <c r="C1222" s="5">
        <v>0.87</v>
      </c>
      <c r="D1222" s="4">
        <v>0</v>
      </c>
      <c r="E1222" s="5">
        <v>0</v>
      </c>
      <c r="F1222" s="4">
        <v>0</v>
      </c>
      <c r="G1222" s="5">
        <v>0</v>
      </c>
      <c r="H1222" s="4">
        <v>0</v>
      </c>
    </row>
    <row r="1223" spans="1:8" x14ac:dyDescent="0.2">
      <c r="A1223" s="2" t="s">
        <v>82</v>
      </c>
      <c r="B1223" s="4">
        <v>2</v>
      </c>
      <c r="C1223" s="5">
        <v>0.87</v>
      </c>
      <c r="D1223" s="4">
        <v>0</v>
      </c>
      <c r="E1223" s="5">
        <v>0</v>
      </c>
      <c r="F1223" s="4">
        <v>2</v>
      </c>
      <c r="G1223" s="5">
        <v>2.2999999999999998</v>
      </c>
      <c r="H1223" s="4">
        <v>0</v>
      </c>
    </row>
    <row r="1224" spans="1:8" x14ac:dyDescent="0.2">
      <c r="A1224" s="2" t="s">
        <v>83</v>
      </c>
      <c r="B1224" s="4">
        <v>3</v>
      </c>
      <c r="C1224" s="5">
        <v>1.3</v>
      </c>
      <c r="D1224" s="4">
        <v>1</v>
      </c>
      <c r="E1224" s="5">
        <v>0.74</v>
      </c>
      <c r="F1224" s="4">
        <v>2</v>
      </c>
      <c r="G1224" s="5">
        <v>2.2999999999999998</v>
      </c>
      <c r="H1224" s="4">
        <v>0</v>
      </c>
    </row>
    <row r="1225" spans="1:8" x14ac:dyDescent="0.2">
      <c r="A1225" s="2" t="s">
        <v>84</v>
      </c>
      <c r="B1225" s="4">
        <v>47</v>
      </c>
      <c r="C1225" s="5">
        <v>20.350000000000001</v>
      </c>
      <c r="D1225" s="4">
        <v>25</v>
      </c>
      <c r="E1225" s="5">
        <v>18.38</v>
      </c>
      <c r="F1225" s="4">
        <v>22</v>
      </c>
      <c r="G1225" s="5">
        <v>25.29</v>
      </c>
      <c r="H1225" s="4">
        <v>0</v>
      </c>
    </row>
    <row r="1226" spans="1:8" x14ac:dyDescent="0.2">
      <c r="A1226" s="2" t="s">
        <v>85</v>
      </c>
      <c r="B1226" s="4">
        <v>0</v>
      </c>
      <c r="C1226" s="5">
        <v>0</v>
      </c>
      <c r="D1226" s="4">
        <v>0</v>
      </c>
      <c r="E1226" s="5">
        <v>0</v>
      </c>
      <c r="F1226" s="4">
        <v>0</v>
      </c>
      <c r="G1226" s="5">
        <v>0</v>
      </c>
      <c r="H1226" s="4">
        <v>0</v>
      </c>
    </row>
    <row r="1227" spans="1:8" x14ac:dyDescent="0.2">
      <c r="A1227" s="2" t="s">
        <v>86</v>
      </c>
      <c r="B1227" s="4">
        <v>3</v>
      </c>
      <c r="C1227" s="5">
        <v>1.3</v>
      </c>
      <c r="D1227" s="4">
        <v>1</v>
      </c>
      <c r="E1227" s="5">
        <v>0.74</v>
      </c>
      <c r="F1227" s="4">
        <v>2</v>
      </c>
      <c r="G1227" s="5">
        <v>2.2999999999999998</v>
      </c>
      <c r="H1227" s="4">
        <v>0</v>
      </c>
    </row>
    <row r="1228" spans="1:8" x14ac:dyDescent="0.2">
      <c r="A1228" s="2" t="s">
        <v>87</v>
      </c>
      <c r="B1228" s="4">
        <v>13</v>
      </c>
      <c r="C1228" s="5">
        <v>5.63</v>
      </c>
      <c r="D1228" s="4">
        <v>5</v>
      </c>
      <c r="E1228" s="5">
        <v>3.68</v>
      </c>
      <c r="F1228" s="4">
        <v>8</v>
      </c>
      <c r="G1228" s="5">
        <v>9.1999999999999993</v>
      </c>
      <c r="H1228" s="4">
        <v>0</v>
      </c>
    </row>
    <row r="1229" spans="1:8" x14ac:dyDescent="0.2">
      <c r="A1229" s="2" t="s">
        <v>88</v>
      </c>
      <c r="B1229" s="4">
        <v>29</v>
      </c>
      <c r="C1229" s="5">
        <v>12.55</v>
      </c>
      <c r="D1229" s="4">
        <v>25</v>
      </c>
      <c r="E1229" s="5">
        <v>18.38</v>
      </c>
      <c r="F1229" s="4">
        <v>4</v>
      </c>
      <c r="G1229" s="5">
        <v>4.5999999999999996</v>
      </c>
      <c r="H1229" s="4">
        <v>0</v>
      </c>
    </row>
    <row r="1230" spans="1:8" x14ac:dyDescent="0.2">
      <c r="A1230" s="2" t="s">
        <v>89</v>
      </c>
      <c r="B1230" s="4">
        <v>23</v>
      </c>
      <c r="C1230" s="5">
        <v>9.9600000000000009</v>
      </c>
      <c r="D1230" s="4">
        <v>20</v>
      </c>
      <c r="E1230" s="5">
        <v>14.71</v>
      </c>
      <c r="F1230" s="4">
        <v>2</v>
      </c>
      <c r="G1230" s="5">
        <v>2.2999999999999998</v>
      </c>
      <c r="H1230" s="4">
        <v>0</v>
      </c>
    </row>
    <row r="1231" spans="1:8" x14ac:dyDescent="0.2">
      <c r="A1231" s="2" t="s">
        <v>90</v>
      </c>
      <c r="B1231" s="4">
        <v>11</v>
      </c>
      <c r="C1231" s="5">
        <v>4.76</v>
      </c>
      <c r="D1231" s="4">
        <v>9</v>
      </c>
      <c r="E1231" s="5">
        <v>6.62</v>
      </c>
      <c r="F1231" s="4">
        <v>0</v>
      </c>
      <c r="G1231" s="5">
        <v>0</v>
      </c>
      <c r="H1231" s="4">
        <v>0</v>
      </c>
    </row>
    <row r="1232" spans="1:8" x14ac:dyDescent="0.2">
      <c r="A1232" s="2" t="s">
        <v>91</v>
      </c>
      <c r="B1232" s="4">
        <v>13</v>
      </c>
      <c r="C1232" s="5">
        <v>5.63</v>
      </c>
      <c r="D1232" s="4">
        <v>6</v>
      </c>
      <c r="E1232" s="5">
        <v>4.41</v>
      </c>
      <c r="F1232" s="4">
        <v>5</v>
      </c>
      <c r="G1232" s="5">
        <v>5.75</v>
      </c>
      <c r="H1232" s="4">
        <v>0</v>
      </c>
    </row>
    <row r="1233" spans="1:8" x14ac:dyDescent="0.2">
      <c r="A1233" s="2" t="s">
        <v>92</v>
      </c>
      <c r="B1233" s="4">
        <v>5</v>
      </c>
      <c r="C1233" s="5">
        <v>2.16</v>
      </c>
      <c r="D1233" s="4">
        <v>1</v>
      </c>
      <c r="E1233" s="5">
        <v>0.74</v>
      </c>
      <c r="F1233" s="4">
        <v>3</v>
      </c>
      <c r="G1233" s="5">
        <v>3.45</v>
      </c>
      <c r="H1233" s="4">
        <v>0</v>
      </c>
    </row>
    <row r="1234" spans="1:8" x14ac:dyDescent="0.2">
      <c r="A1234" s="1" t="s">
        <v>77</v>
      </c>
      <c r="B1234" s="4">
        <v>60</v>
      </c>
      <c r="C1234" s="5">
        <v>100</v>
      </c>
      <c r="D1234" s="4">
        <v>33</v>
      </c>
      <c r="E1234" s="5">
        <v>99.990000000000009</v>
      </c>
      <c r="F1234" s="4">
        <v>26</v>
      </c>
      <c r="G1234" s="5">
        <v>100</v>
      </c>
      <c r="H1234" s="4">
        <v>0</v>
      </c>
    </row>
    <row r="1235" spans="1:8" x14ac:dyDescent="0.2">
      <c r="A1235" s="2" t="s">
        <v>78</v>
      </c>
      <c r="B1235" s="4">
        <v>0</v>
      </c>
      <c r="C1235" s="5">
        <v>0</v>
      </c>
      <c r="D1235" s="4">
        <v>0</v>
      </c>
      <c r="E1235" s="5">
        <v>0</v>
      </c>
      <c r="F1235" s="4">
        <v>0</v>
      </c>
      <c r="G1235" s="5">
        <v>0</v>
      </c>
      <c r="H1235" s="4">
        <v>0</v>
      </c>
    </row>
    <row r="1236" spans="1:8" x14ac:dyDescent="0.2">
      <c r="A1236" s="2" t="s">
        <v>79</v>
      </c>
      <c r="B1236" s="4">
        <v>17</v>
      </c>
      <c r="C1236" s="5">
        <v>28.33</v>
      </c>
      <c r="D1236" s="4">
        <v>9</v>
      </c>
      <c r="E1236" s="5">
        <v>27.27</v>
      </c>
      <c r="F1236" s="4">
        <v>8</v>
      </c>
      <c r="G1236" s="5">
        <v>30.77</v>
      </c>
      <c r="H1236" s="4">
        <v>0</v>
      </c>
    </row>
    <row r="1237" spans="1:8" x14ac:dyDescent="0.2">
      <c r="A1237" s="2" t="s">
        <v>80</v>
      </c>
      <c r="B1237" s="4">
        <v>6</v>
      </c>
      <c r="C1237" s="5">
        <v>10</v>
      </c>
      <c r="D1237" s="4">
        <v>2</v>
      </c>
      <c r="E1237" s="5">
        <v>6.06</v>
      </c>
      <c r="F1237" s="4">
        <v>4</v>
      </c>
      <c r="G1237" s="5">
        <v>15.38</v>
      </c>
      <c r="H1237" s="4">
        <v>0</v>
      </c>
    </row>
    <row r="1238" spans="1:8" x14ac:dyDescent="0.2">
      <c r="A1238" s="2" t="s">
        <v>81</v>
      </c>
      <c r="B1238" s="4">
        <v>0</v>
      </c>
      <c r="C1238" s="5">
        <v>0</v>
      </c>
      <c r="D1238" s="4">
        <v>0</v>
      </c>
      <c r="E1238" s="5">
        <v>0</v>
      </c>
      <c r="F1238" s="4">
        <v>0</v>
      </c>
      <c r="G1238" s="5">
        <v>0</v>
      </c>
      <c r="H1238" s="4">
        <v>0</v>
      </c>
    </row>
    <row r="1239" spans="1:8" x14ac:dyDescent="0.2">
      <c r="A1239" s="2" t="s">
        <v>82</v>
      </c>
      <c r="B1239" s="4">
        <v>0</v>
      </c>
      <c r="C1239" s="5">
        <v>0</v>
      </c>
      <c r="D1239" s="4">
        <v>0</v>
      </c>
      <c r="E1239" s="5">
        <v>0</v>
      </c>
      <c r="F1239" s="4">
        <v>0</v>
      </c>
      <c r="G1239" s="5">
        <v>0</v>
      </c>
      <c r="H1239" s="4">
        <v>0</v>
      </c>
    </row>
    <row r="1240" spans="1:8" x14ac:dyDescent="0.2">
      <c r="A1240" s="2" t="s">
        <v>83</v>
      </c>
      <c r="B1240" s="4">
        <v>1</v>
      </c>
      <c r="C1240" s="5">
        <v>1.67</v>
      </c>
      <c r="D1240" s="4">
        <v>0</v>
      </c>
      <c r="E1240" s="5">
        <v>0</v>
      </c>
      <c r="F1240" s="4">
        <v>1</v>
      </c>
      <c r="G1240" s="5">
        <v>3.85</v>
      </c>
      <c r="H1240" s="4">
        <v>0</v>
      </c>
    </row>
    <row r="1241" spans="1:8" x14ac:dyDescent="0.2">
      <c r="A1241" s="2" t="s">
        <v>84</v>
      </c>
      <c r="B1241" s="4">
        <v>16</v>
      </c>
      <c r="C1241" s="5">
        <v>26.67</v>
      </c>
      <c r="D1241" s="4">
        <v>10</v>
      </c>
      <c r="E1241" s="5">
        <v>30.3</v>
      </c>
      <c r="F1241" s="4">
        <v>6</v>
      </c>
      <c r="G1241" s="5">
        <v>23.08</v>
      </c>
      <c r="H1241" s="4">
        <v>0</v>
      </c>
    </row>
    <row r="1242" spans="1:8" x14ac:dyDescent="0.2">
      <c r="A1242" s="2" t="s">
        <v>85</v>
      </c>
      <c r="B1242" s="4">
        <v>0</v>
      </c>
      <c r="C1242" s="5">
        <v>0</v>
      </c>
      <c r="D1242" s="4">
        <v>0</v>
      </c>
      <c r="E1242" s="5">
        <v>0</v>
      </c>
      <c r="F1242" s="4">
        <v>0</v>
      </c>
      <c r="G1242" s="5">
        <v>0</v>
      </c>
      <c r="H1242" s="4">
        <v>0</v>
      </c>
    </row>
    <row r="1243" spans="1:8" x14ac:dyDescent="0.2">
      <c r="A1243" s="2" t="s">
        <v>86</v>
      </c>
      <c r="B1243" s="4">
        <v>0</v>
      </c>
      <c r="C1243" s="5">
        <v>0</v>
      </c>
      <c r="D1243" s="4">
        <v>0</v>
      </c>
      <c r="E1243" s="5">
        <v>0</v>
      </c>
      <c r="F1243" s="4">
        <v>0</v>
      </c>
      <c r="G1243" s="5">
        <v>0</v>
      </c>
      <c r="H1243" s="4">
        <v>0</v>
      </c>
    </row>
    <row r="1244" spans="1:8" x14ac:dyDescent="0.2">
      <c r="A1244" s="2" t="s">
        <v>87</v>
      </c>
      <c r="B1244" s="4">
        <v>0</v>
      </c>
      <c r="C1244" s="5">
        <v>0</v>
      </c>
      <c r="D1244" s="4">
        <v>0</v>
      </c>
      <c r="E1244" s="5">
        <v>0</v>
      </c>
      <c r="F1244" s="4">
        <v>0</v>
      </c>
      <c r="G1244" s="5">
        <v>0</v>
      </c>
      <c r="H1244" s="4">
        <v>0</v>
      </c>
    </row>
    <row r="1245" spans="1:8" x14ac:dyDescent="0.2">
      <c r="A1245" s="2" t="s">
        <v>88</v>
      </c>
      <c r="B1245" s="4">
        <v>9</v>
      </c>
      <c r="C1245" s="5">
        <v>15</v>
      </c>
      <c r="D1245" s="4">
        <v>7</v>
      </c>
      <c r="E1245" s="5">
        <v>21.21</v>
      </c>
      <c r="F1245" s="4">
        <v>2</v>
      </c>
      <c r="G1245" s="5">
        <v>7.69</v>
      </c>
      <c r="H1245" s="4">
        <v>0</v>
      </c>
    </row>
    <row r="1246" spans="1:8" x14ac:dyDescent="0.2">
      <c r="A1246" s="2" t="s">
        <v>89</v>
      </c>
      <c r="B1246" s="4">
        <v>7</v>
      </c>
      <c r="C1246" s="5">
        <v>11.67</v>
      </c>
      <c r="D1246" s="4">
        <v>4</v>
      </c>
      <c r="E1246" s="5">
        <v>12.12</v>
      </c>
      <c r="F1246" s="4">
        <v>3</v>
      </c>
      <c r="G1246" s="5">
        <v>11.54</v>
      </c>
      <c r="H1246" s="4">
        <v>0</v>
      </c>
    </row>
    <row r="1247" spans="1:8" x14ac:dyDescent="0.2">
      <c r="A1247" s="2" t="s">
        <v>90</v>
      </c>
      <c r="B1247" s="4">
        <v>0</v>
      </c>
      <c r="C1247" s="5">
        <v>0</v>
      </c>
      <c r="D1247" s="4">
        <v>0</v>
      </c>
      <c r="E1247" s="5">
        <v>0</v>
      </c>
      <c r="F1247" s="4">
        <v>0</v>
      </c>
      <c r="G1247" s="5">
        <v>0</v>
      </c>
      <c r="H1247" s="4">
        <v>0</v>
      </c>
    </row>
    <row r="1248" spans="1:8" x14ac:dyDescent="0.2">
      <c r="A1248" s="2" t="s">
        <v>91</v>
      </c>
      <c r="B1248" s="4">
        <v>2</v>
      </c>
      <c r="C1248" s="5">
        <v>3.33</v>
      </c>
      <c r="D1248" s="4">
        <v>1</v>
      </c>
      <c r="E1248" s="5">
        <v>3.03</v>
      </c>
      <c r="F1248" s="4">
        <v>0</v>
      </c>
      <c r="G1248" s="5">
        <v>0</v>
      </c>
      <c r="H1248" s="4">
        <v>0</v>
      </c>
    </row>
    <row r="1249" spans="1:8" x14ac:dyDescent="0.2">
      <c r="A1249" s="2" t="s">
        <v>92</v>
      </c>
      <c r="B1249" s="4">
        <v>2</v>
      </c>
      <c r="C1249" s="5">
        <v>3.33</v>
      </c>
      <c r="D1249" s="4">
        <v>0</v>
      </c>
      <c r="E1249" s="5">
        <v>0</v>
      </c>
      <c r="F1249" s="4">
        <v>2</v>
      </c>
      <c r="G1249" s="5">
        <v>7.69</v>
      </c>
      <c r="H1249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C6F24-5E95-4D51-9022-FE28537C73CF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381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0.13</v>
      </c>
      <c r="I5" s="12">
        <v>0</v>
      </c>
    </row>
    <row r="6" spans="2:9" ht="15" customHeight="1" x14ac:dyDescent="0.2">
      <c r="B6" t="s">
        <v>79</v>
      </c>
      <c r="C6" s="12">
        <v>234</v>
      </c>
      <c r="D6" s="8">
        <v>13.53</v>
      </c>
      <c r="E6" s="12">
        <v>80</v>
      </c>
      <c r="F6" s="8">
        <v>8.9499999999999993</v>
      </c>
      <c r="G6" s="12">
        <v>154</v>
      </c>
      <c r="H6" s="8">
        <v>19.32</v>
      </c>
      <c r="I6" s="12">
        <v>0</v>
      </c>
    </row>
    <row r="7" spans="2:9" ht="15" customHeight="1" x14ac:dyDescent="0.2">
      <c r="B7" t="s">
        <v>80</v>
      </c>
      <c r="C7" s="12">
        <v>226</v>
      </c>
      <c r="D7" s="8">
        <v>13.07</v>
      </c>
      <c r="E7" s="12">
        <v>104</v>
      </c>
      <c r="F7" s="8">
        <v>11.63</v>
      </c>
      <c r="G7" s="12">
        <v>122</v>
      </c>
      <c r="H7" s="8">
        <v>15.31</v>
      </c>
      <c r="I7" s="12">
        <v>0</v>
      </c>
    </row>
    <row r="8" spans="2:9" ht="15" customHeight="1" x14ac:dyDescent="0.2">
      <c r="B8" t="s">
        <v>81</v>
      </c>
      <c r="C8" s="12">
        <v>4</v>
      </c>
      <c r="D8" s="8">
        <v>0.23</v>
      </c>
      <c r="E8" s="12">
        <v>0</v>
      </c>
      <c r="F8" s="8">
        <v>0</v>
      </c>
      <c r="G8" s="12">
        <v>2</v>
      </c>
      <c r="H8" s="8">
        <v>0.25</v>
      </c>
      <c r="I8" s="12">
        <v>1</v>
      </c>
    </row>
    <row r="9" spans="2:9" ht="15" customHeight="1" x14ac:dyDescent="0.2">
      <c r="B9" t="s">
        <v>82</v>
      </c>
      <c r="C9" s="12">
        <v>27</v>
      </c>
      <c r="D9" s="8">
        <v>1.56</v>
      </c>
      <c r="E9" s="12">
        <v>4</v>
      </c>
      <c r="F9" s="8">
        <v>0.45</v>
      </c>
      <c r="G9" s="12">
        <v>23</v>
      </c>
      <c r="H9" s="8">
        <v>2.89</v>
      </c>
      <c r="I9" s="12">
        <v>0</v>
      </c>
    </row>
    <row r="10" spans="2:9" ht="15" customHeight="1" x14ac:dyDescent="0.2">
      <c r="B10" t="s">
        <v>83</v>
      </c>
      <c r="C10" s="12">
        <v>17</v>
      </c>
      <c r="D10" s="8">
        <v>0.98</v>
      </c>
      <c r="E10" s="12">
        <v>2</v>
      </c>
      <c r="F10" s="8">
        <v>0.22</v>
      </c>
      <c r="G10" s="12">
        <v>15</v>
      </c>
      <c r="H10" s="8">
        <v>1.88</v>
      </c>
      <c r="I10" s="12">
        <v>0</v>
      </c>
    </row>
    <row r="11" spans="2:9" ht="15" customHeight="1" x14ac:dyDescent="0.2">
      <c r="B11" t="s">
        <v>84</v>
      </c>
      <c r="C11" s="12">
        <v>373</v>
      </c>
      <c r="D11" s="8">
        <v>21.57</v>
      </c>
      <c r="E11" s="12">
        <v>172</v>
      </c>
      <c r="F11" s="8">
        <v>19.239999999999998</v>
      </c>
      <c r="G11" s="12">
        <v>200</v>
      </c>
      <c r="H11" s="8">
        <v>25.09</v>
      </c>
      <c r="I11" s="12">
        <v>1</v>
      </c>
    </row>
    <row r="12" spans="2:9" ht="15" customHeight="1" x14ac:dyDescent="0.2">
      <c r="B12" t="s">
        <v>85</v>
      </c>
      <c r="C12" s="12">
        <v>9</v>
      </c>
      <c r="D12" s="8">
        <v>0.52</v>
      </c>
      <c r="E12" s="12">
        <v>2</v>
      </c>
      <c r="F12" s="8">
        <v>0.22</v>
      </c>
      <c r="G12" s="12">
        <v>7</v>
      </c>
      <c r="H12" s="8">
        <v>0.88</v>
      </c>
      <c r="I12" s="12">
        <v>0</v>
      </c>
    </row>
    <row r="13" spans="2:9" ht="15" customHeight="1" x14ac:dyDescent="0.2">
      <c r="B13" t="s">
        <v>86</v>
      </c>
      <c r="C13" s="12">
        <v>160</v>
      </c>
      <c r="D13" s="8">
        <v>9.25</v>
      </c>
      <c r="E13" s="12">
        <v>82</v>
      </c>
      <c r="F13" s="8">
        <v>9.17</v>
      </c>
      <c r="G13" s="12">
        <v>78</v>
      </c>
      <c r="H13" s="8">
        <v>9.7899999999999991</v>
      </c>
      <c r="I13" s="12">
        <v>0</v>
      </c>
    </row>
    <row r="14" spans="2:9" ht="15" customHeight="1" x14ac:dyDescent="0.2">
      <c r="B14" t="s">
        <v>87</v>
      </c>
      <c r="C14" s="12">
        <v>71</v>
      </c>
      <c r="D14" s="8">
        <v>4.1100000000000003</v>
      </c>
      <c r="E14" s="12">
        <v>38</v>
      </c>
      <c r="F14" s="8">
        <v>4.25</v>
      </c>
      <c r="G14" s="12">
        <v>33</v>
      </c>
      <c r="H14" s="8">
        <v>4.1399999999999997</v>
      </c>
      <c r="I14" s="12">
        <v>0</v>
      </c>
    </row>
    <row r="15" spans="2:9" ht="15" customHeight="1" x14ac:dyDescent="0.2">
      <c r="B15" t="s">
        <v>88</v>
      </c>
      <c r="C15" s="12">
        <v>183</v>
      </c>
      <c r="D15" s="8">
        <v>10.58</v>
      </c>
      <c r="E15" s="12">
        <v>135</v>
      </c>
      <c r="F15" s="8">
        <v>15.1</v>
      </c>
      <c r="G15" s="12">
        <v>47</v>
      </c>
      <c r="H15" s="8">
        <v>5.9</v>
      </c>
      <c r="I15" s="12">
        <v>0</v>
      </c>
    </row>
    <row r="16" spans="2:9" ht="15" customHeight="1" x14ac:dyDescent="0.2">
      <c r="B16" t="s">
        <v>89</v>
      </c>
      <c r="C16" s="12">
        <v>200</v>
      </c>
      <c r="D16" s="8">
        <v>11.57</v>
      </c>
      <c r="E16" s="12">
        <v>166</v>
      </c>
      <c r="F16" s="8">
        <v>18.57</v>
      </c>
      <c r="G16" s="12">
        <v>34</v>
      </c>
      <c r="H16" s="8">
        <v>4.2699999999999996</v>
      </c>
      <c r="I16" s="12">
        <v>0</v>
      </c>
    </row>
    <row r="17" spans="2:9" ht="15" customHeight="1" x14ac:dyDescent="0.2">
      <c r="B17" t="s">
        <v>90</v>
      </c>
      <c r="C17" s="12">
        <v>78</v>
      </c>
      <c r="D17" s="8">
        <v>4.51</v>
      </c>
      <c r="E17" s="12">
        <v>32</v>
      </c>
      <c r="F17" s="8">
        <v>3.58</v>
      </c>
      <c r="G17" s="12">
        <v>19</v>
      </c>
      <c r="H17" s="8">
        <v>2.38</v>
      </c>
      <c r="I17" s="12">
        <v>1</v>
      </c>
    </row>
    <row r="18" spans="2:9" ht="15" customHeight="1" x14ac:dyDescent="0.2">
      <c r="B18" t="s">
        <v>91</v>
      </c>
      <c r="C18" s="12">
        <v>87</v>
      </c>
      <c r="D18" s="8">
        <v>5.03</v>
      </c>
      <c r="E18" s="12">
        <v>57</v>
      </c>
      <c r="F18" s="8">
        <v>6.38</v>
      </c>
      <c r="G18" s="12">
        <v>25</v>
      </c>
      <c r="H18" s="8">
        <v>3.14</v>
      </c>
      <c r="I18" s="12">
        <v>1</v>
      </c>
    </row>
    <row r="19" spans="2:9" ht="15" customHeight="1" x14ac:dyDescent="0.2">
      <c r="B19" t="s">
        <v>92</v>
      </c>
      <c r="C19" s="12">
        <v>59</v>
      </c>
      <c r="D19" s="8">
        <v>3.41</v>
      </c>
      <c r="E19" s="12">
        <v>20</v>
      </c>
      <c r="F19" s="8">
        <v>2.2400000000000002</v>
      </c>
      <c r="G19" s="12">
        <v>37</v>
      </c>
      <c r="H19" s="8">
        <v>4.6399999999999997</v>
      </c>
      <c r="I19" s="12">
        <v>0</v>
      </c>
    </row>
    <row r="20" spans="2:9" ht="15" customHeight="1" x14ac:dyDescent="0.2">
      <c r="B20" s="9" t="s">
        <v>363</v>
      </c>
      <c r="C20" s="12">
        <f>SUM(LTBL_20215[総数／事業所数])</f>
        <v>1729</v>
      </c>
      <c r="E20" s="12">
        <f>SUBTOTAL(109,LTBL_20215[個人／事業所数])</f>
        <v>894</v>
      </c>
      <c r="G20" s="12">
        <f>SUBTOTAL(109,LTBL_20215[法人／事業所数])</f>
        <v>797</v>
      </c>
      <c r="I20" s="12">
        <f>SUBTOTAL(109,LTBL_20215[法人以外の団体／事業所数])</f>
        <v>4</v>
      </c>
    </row>
    <row r="21" spans="2:9" ht="15" customHeight="1" x14ac:dyDescent="0.2">
      <c r="E21" s="11">
        <f>LTBL_20215[[#Totals],[個人／事業所数]]/LTBL_20215[[#Totals],[総数／事業所数]]</f>
        <v>0.51706188548293808</v>
      </c>
      <c r="G21" s="11">
        <f>LTBL_20215[[#Totals],[法人／事業所数]]/LTBL_20215[[#Totals],[総数／事業所数]]</f>
        <v>0.46096009253903991</v>
      </c>
      <c r="I21" s="11">
        <f>LTBL_20215[[#Totals],[法人以外の団体／事業所数]]/LTBL_20215[[#Totals],[総数／事業所数]]</f>
        <v>2.3134759976865238E-3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116</v>
      </c>
      <c r="C24" s="12">
        <v>179</v>
      </c>
      <c r="D24" s="8">
        <v>10.35</v>
      </c>
      <c r="E24" s="12">
        <v>154</v>
      </c>
      <c r="F24" s="8">
        <v>17.23</v>
      </c>
      <c r="G24" s="12">
        <v>25</v>
      </c>
      <c r="H24" s="8">
        <v>3.14</v>
      </c>
      <c r="I24" s="12">
        <v>0</v>
      </c>
    </row>
    <row r="25" spans="2:9" ht="15" customHeight="1" x14ac:dyDescent="0.2">
      <c r="B25" t="s">
        <v>115</v>
      </c>
      <c r="C25" s="12">
        <v>154</v>
      </c>
      <c r="D25" s="8">
        <v>8.91</v>
      </c>
      <c r="E25" s="12">
        <v>124</v>
      </c>
      <c r="F25" s="8">
        <v>13.87</v>
      </c>
      <c r="G25" s="12">
        <v>30</v>
      </c>
      <c r="H25" s="8">
        <v>3.76</v>
      </c>
      <c r="I25" s="12">
        <v>0</v>
      </c>
    </row>
    <row r="26" spans="2:9" ht="15" customHeight="1" x14ac:dyDescent="0.2">
      <c r="B26" t="s">
        <v>110</v>
      </c>
      <c r="C26" s="12">
        <v>134</v>
      </c>
      <c r="D26" s="8">
        <v>7.75</v>
      </c>
      <c r="E26" s="12">
        <v>78</v>
      </c>
      <c r="F26" s="8">
        <v>8.7200000000000006</v>
      </c>
      <c r="G26" s="12">
        <v>56</v>
      </c>
      <c r="H26" s="8">
        <v>7.03</v>
      </c>
      <c r="I26" s="12">
        <v>0</v>
      </c>
    </row>
    <row r="27" spans="2:9" ht="15" customHeight="1" x14ac:dyDescent="0.2">
      <c r="B27" t="s">
        <v>111</v>
      </c>
      <c r="C27" s="12">
        <v>121</v>
      </c>
      <c r="D27" s="8">
        <v>7</v>
      </c>
      <c r="E27" s="12">
        <v>82</v>
      </c>
      <c r="F27" s="8">
        <v>9.17</v>
      </c>
      <c r="G27" s="12">
        <v>39</v>
      </c>
      <c r="H27" s="8">
        <v>4.8899999999999997</v>
      </c>
      <c r="I27" s="12">
        <v>0</v>
      </c>
    </row>
    <row r="28" spans="2:9" ht="15" customHeight="1" x14ac:dyDescent="0.2">
      <c r="B28" t="s">
        <v>101</v>
      </c>
      <c r="C28" s="12">
        <v>107</v>
      </c>
      <c r="D28" s="8">
        <v>6.19</v>
      </c>
      <c r="E28" s="12">
        <v>29</v>
      </c>
      <c r="F28" s="8">
        <v>3.24</v>
      </c>
      <c r="G28" s="12">
        <v>78</v>
      </c>
      <c r="H28" s="8">
        <v>9.7899999999999991</v>
      </c>
      <c r="I28" s="12">
        <v>0</v>
      </c>
    </row>
    <row r="29" spans="2:9" ht="15" customHeight="1" x14ac:dyDescent="0.2">
      <c r="B29" t="s">
        <v>117</v>
      </c>
      <c r="C29" s="12">
        <v>78</v>
      </c>
      <c r="D29" s="8">
        <v>4.51</v>
      </c>
      <c r="E29" s="12">
        <v>32</v>
      </c>
      <c r="F29" s="8">
        <v>3.58</v>
      </c>
      <c r="G29" s="12">
        <v>19</v>
      </c>
      <c r="H29" s="8">
        <v>2.38</v>
      </c>
      <c r="I29" s="12">
        <v>1</v>
      </c>
    </row>
    <row r="30" spans="2:9" ht="15" customHeight="1" x14ac:dyDescent="0.2">
      <c r="B30" t="s">
        <v>102</v>
      </c>
      <c r="C30" s="12">
        <v>74</v>
      </c>
      <c r="D30" s="8">
        <v>4.28</v>
      </c>
      <c r="E30" s="12">
        <v>40</v>
      </c>
      <c r="F30" s="8">
        <v>4.47</v>
      </c>
      <c r="G30" s="12">
        <v>34</v>
      </c>
      <c r="H30" s="8">
        <v>4.2699999999999996</v>
      </c>
      <c r="I30" s="12">
        <v>0</v>
      </c>
    </row>
    <row r="31" spans="2:9" ht="15" customHeight="1" x14ac:dyDescent="0.2">
      <c r="B31" t="s">
        <v>108</v>
      </c>
      <c r="C31" s="12">
        <v>62</v>
      </c>
      <c r="D31" s="8">
        <v>3.59</v>
      </c>
      <c r="E31" s="12">
        <v>43</v>
      </c>
      <c r="F31" s="8">
        <v>4.8099999999999996</v>
      </c>
      <c r="G31" s="12">
        <v>18</v>
      </c>
      <c r="H31" s="8">
        <v>2.2599999999999998</v>
      </c>
      <c r="I31" s="12">
        <v>1</v>
      </c>
    </row>
    <row r="32" spans="2:9" ht="15" customHeight="1" x14ac:dyDescent="0.2">
      <c r="B32" t="s">
        <v>118</v>
      </c>
      <c r="C32" s="12">
        <v>61</v>
      </c>
      <c r="D32" s="8">
        <v>3.53</v>
      </c>
      <c r="E32" s="12">
        <v>56</v>
      </c>
      <c r="F32" s="8">
        <v>6.26</v>
      </c>
      <c r="G32" s="12">
        <v>4</v>
      </c>
      <c r="H32" s="8">
        <v>0.5</v>
      </c>
      <c r="I32" s="12">
        <v>1</v>
      </c>
    </row>
    <row r="33" spans="2:9" ht="15" customHeight="1" x14ac:dyDescent="0.2">
      <c r="B33" t="s">
        <v>135</v>
      </c>
      <c r="C33" s="12">
        <v>60</v>
      </c>
      <c r="D33" s="8">
        <v>3.47</v>
      </c>
      <c r="E33" s="12">
        <v>42</v>
      </c>
      <c r="F33" s="8">
        <v>4.7</v>
      </c>
      <c r="G33" s="12">
        <v>18</v>
      </c>
      <c r="H33" s="8">
        <v>2.2599999999999998</v>
      </c>
      <c r="I33" s="12">
        <v>0</v>
      </c>
    </row>
    <row r="34" spans="2:9" ht="15" customHeight="1" x14ac:dyDescent="0.2">
      <c r="B34" t="s">
        <v>109</v>
      </c>
      <c r="C34" s="12">
        <v>56</v>
      </c>
      <c r="D34" s="8">
        <v>3.24</v>
      </c>
      <c r="E34" s="12">
        <v>28</v>
      </c>
      <c r="F34" s="8">
        <v>3.13</v>
      </c>
      <c r="G34" s="12">
        <v>28</v>
      </c>
      <c r="H34" s="8">
        <v>3.51</v>
      </c>
      <c r="I34" s="12">
        <v>0</v>
      </c>
    </row>
    <row r="35" spans="2:9" ht="15" customHeight="1" x14ac:dyDescent="0.2">
      <c r="B35" t="s">
        <v>103</v>
      </c>
      <c r="C35" s="12">
        <v>53</v>
      </c>
      <c r="D35" s="8">
        <v>3.07</v>
      </c>
      <c r="E35" s="12">
        <v>11</v>
      </c>
      <c r="F35" s="8">
        <v>1.23</v>
      </c>
      <c r="G35" s="12">
        <v>42</v>
      </c>
      <c r="H35" s="8">
        <v>5.27</v>
      </c>
      <c r="I35" s="12">
        <v>0</v>
      </c>
    </row>
    <row r="36" spans="2:9" ht="15" customHeight="1" x14ac:dyDescent="0.2">
      <c r="B36" t="s">
        <v>112</v>
      </c>
      <c r="C36" s="12">
        <v>37</v>
      </c>
      <c r="D36" s="8">
        <v>2.14</v>
      </c>
      <c r="E36" s="12">
        <v>27</v>
      </c>
      <c r="F36" s="8">
        <v>3.02</v>
      </c>
      <c r="G36" s="12">
        <v>10</v>
      </c>
      <c r="H36" s="8">
        <v>1.25</v>
      </c>
      <c r="I36" s="12">
        <v>0</v>
      </c>
    </row>
    <row r="37" spans="2:9" ht="15" customHeight="1" x14ac:dyDescent="0.2">
      <c r="B37" t="s">
        <v>120</v>
      </c>
      <c r="C37" s="12">
        <v>34</v>
      </c>
      <c r="D37" s="8">
        <v>1.97</v>
      </c>
      <c r="E37" s="12">
        <v>15</v>
      </c>
      <c r="F37" s="8">
        <v>1.68</v>
      </c>
      <c r="G37" s="12">
        <v>19</v>
      </c>
      <c r="H37" s="8">
        <v>2.38</v>
      </c>
      <c r="I37" s="12">
        <v>0</v>
      </c>
    </row>
    <row r="38" spans="2:9" ht="15" customHeight="1" x14ac:dyDescent="0.2">
      <c r="B38" t="s">
        <v>113</v>
      </c>
      <c r="C38" s="12">
        <v>32</v>
      </c>
      <c r="D38" s="8">
        <v>1.85</v>
      </c>
      <c r="E38" s="12">
        <v>11</v>
      </c>
      <c r="F38" s="8">
        <v>1.23</v>
      </c>
      <c r="G38" s="12">
        <v>21</v>
      </c>
      <c r="H38" s="8">
        <v>2.63</v>
      </c>
      <c r="I38" s="12">
        <v>0</v>
      </c>
    </row>
    <row r="39" spans="2:9" ht="15" customHeight="1" x14ac:dyDescent="0.2">
      <c r="B39" t="s">
        <v>105</v>
      </c>
      <c r="C39" s="12">
        <v>29</v>
      </c>
      <c r="D39" s="8">
        <v>1.68</v>
      </c>
      <c r="E39" s="12">
        <v>12</v>
      </c>
      <c r="F39" s="8">
        <v>1.34</v>
      </c>
      <c r="G39" s="12">
        <v>17</v>
      </c>
      <c r="H39" s="8">
        <v>2.13</v>
      </c>
      <c r="I39" s="12">
        <v>0</v>
      </c>
    </row>
    <row r="40" spans="2:9" ht="15" customHeight="1" x14ac:dyDescent="0.2">
      <c r="B40" t="s">
        <v>106</v>
      </c>
      <c r="C40" s="12">
        <v>28</v>
      </c>
      <c r="D40" s="8">
        <v>1.62</v>
      </c>
      <c r="E40" s="12">
        <v>1</v>
      </c>
      <c r="F40" s="8">
        <v>0.11</v>
      </c>
      <c r="G40" s="12">
        <v>27</v>
      </c>
      <c r="H40" s="8">
        <v>3.39</v>
      </c>
      <c r="I40" s="12">
        <v>0</v>
      </c>
    </row>
    <row r="41" spans="2:9" ht="15" customHeight="1" x14ac:dyDescent="0.2">
      <c r="B41" t="s">
        <v>123</v>
      </c>
      <c r="C41" s="12">
        <v>27</v>
      </c>
      <c r="D41" s="8">
        <v>1.56</v>
      </c>
      <c r="E41" s="12">
        <v>0</v>
      </c>
      <c r="F41" s="8">
        <v>0</v>
      </c>
      <c r="G41" s="12">
        <v>27</v>
      </c>
      <c r="H41" s="8">
        <v>3.39</v>
      </c>
      <c r="I41" s="12">
        <v>0</v>
      </c>
    </row>
    <row r="42" spans="2:9" ht="15" customHeight="1" x14ac:dyDescent="0.2">
      <c r="B42" t="s">
        <v>119</v>
      </c>
      <c r="C42" s="12">
        <v>26</v>
      </c>
      <c r="D42" s="8">
        <v>1.5</v>
      </c>
      <c r="E42" s="12">
        <v>1</v>
      </c>
      <c r="F42" s="8">
        <v>0.11</v>
      </c>
      <c r="G42" s="12">
        <v>21</v>
      </c>
      <c r="H42" s="8">
        <v>2.63</v>
      </c>
      <c r="I42" s="12">
        <v>0</v>
      </c>
    </row>
    <row r="43" spans="2:9" ht="15" customHeight="1" x14ac:dyDescent="0.2">
      <c r="B43" t="s">
        <v>130</v>
      </c>
      <c r="C43" s="12">
        <v>23</v>
      </c>
      <c r="D43" s="8">
        <v>1.33</v>
      </c>
      <c r="E43" s="12">
        <v>10</v>
      </c>
      <c r="F43" s="8">
        <v>1.1200000000000001</v>
      </c>
      <c r="G43" s="12">
        <v>13</v>
      </c>
      <c r="H43" s="8">
        <v>1.63</v>
      </c>
      <c r="I43" s="12">
        <v>0</v>
      </c>
    </row>
    <row r="44" spans="2:9" ht="15" customHeight="1" x14ac:dyDescent="0.2">
      <c r="B44" t="s">
        <v>122</v>
      </c>
      <c r="C44" s="12">
        <v>23</v>
      </c>
      <c r="D44" s="8">
        <v>1.33</v>
      </c>
      <c r="E44" s="12">
        <v>4</v>
      </c>
      <c r="F44" s="8">
        <v>0.45</v>
      </c>
      <c r="G44" s="12">
        <v>19</v>
      </c>
      <c r="H44" s="8">
        <v>2.38</v>
      </c>
      <c r="I44" s="12">
        <v>0</v>
      </c>
    </row>
    <row r="47" spans="2:9" ht="33" customHeight="1" x14ac:dyDescent="0.2">
      <c r="B47" t="s">
        <v>365</v>
      </c>
      <c r="C47" s="10" t="s">
        <v>94</v>
      </c>
      <c r="D47" s="10" t="s">
        <v>95</v>
      </c>
      <c r="E47" s="10" t="s">
        <v>96</v>
      </c>
      <c r="F47" s="10" t="s">
        <v>97</v>
      </c>
      <c r="G47" s="10" t="s">
        <v>98</v>
      </c>
      <c r="H47" s="10" t="s">
        <v>99</v>
      </c>
      <c r="I47" s="10" t="s">
        <v>100</v>
      </c>
    </row>
    <row r="48" spans="2:9" ht="15" customHeight="1" x14ac:dyDescent="0.2">
      <c r="B48" t="s">
        <v>191</v>
      </c>
      <c r="C48" s="12">
        <v>98</v>
      </c>
      <c r="D48" s="8">
        <v>5.67</v>
      </c>
      <c r="E48" s="12">
        <v>90</v>
      </c>
      <c r="F48" s="8">
        <v>10.07</v>
      </c>
      <c r="G48" s="12">
        <v>8</v>
      </c>
      <c r="H48" s="8">
        <v>1</v>
      </c>
      <c r="I48" s="12">
        <v>0</v>
      </c>
    </row>
    <row r="49" spans="2:9" ht="15" customHeight="1" x14ac:dyDescent="0.2">
      <c r="B49" t="s">
        <v>183</v>
      </c>
      <c r="C49" s="12">
        <v>94</v>
      </c>
      <c r="D49" s="8">
        <v>5.44</v>
      </c>
      <c r="E49" s="12">
        <v>78</v>
      </c>
      <c r="F49" s="8">
        <v>8.7200000000000006</v>
      </c>
      <c r="G49" s="12">
        <v>16</v>
      </c>
      <c r="H49" s="8">
        <v>2.0099999999999998</v>
      </c>
      <c r="I49" s="12">
        <v>0</v>
      </c>
    </row>
    <row r="50" spans="2:9" ht="15" customHeight="1" x14ac:dyDescent="0.2">
      <c r="B50" t="s">
        <v>221</v>
      </c>
      <c r="C50" s="12">
        <v>47</v>
      </c>
      <c r="D50" s="8">
        <v>2.72</v>
      </c>
      <c r="E50" s="12">
        <v>35</v>
      </c>
      <c r="F50" s="8">
        <v>3.91</v>
      </c>
      <c r="G50" s="12">
        <v>12</v>
      </c>
      <c r="H50" s="8">
        <v>1.51</v>
      </c>
      <c r="I50" s="12">
        <v>0</v>
      </c>
    </row>
    <row r="51" spans="2:9" ht="15" customHeight="1" x14ac:dyDescent="0.2">
      <c r="B51" t="s">
        <v>190</v>
      </c>
      <c r="C51" s="12">
        <v>45</v>
      </c>
      <c r="D51" s="8">
        <v>2.6</v>
      </c>
      <c r="E51" s="12">
        <v>41</v>
      </c>
      <c r="F51" s="8">
        <v>4.59</v>
      </c>
      <c r="G51" s="12">
        <v>4</v>
      </c>
      <c r="H51" s="8">
        <v>0.5</v>
      </c>
      <c r="I51" s="12">
        <v>0</v>
      </c>
    </row>
    <row r="52" spans="2:9" ht="15" customHeight="1" x14ac:dyDescent="0.2">
      <c r="B52" t="s">
        <v>187</v>
      </c>
      <c r="C52" s="12">
        <v>41</v>
      </c>
      <c r="D52" s="8">
        <v>2.37</v>
      </c>
      <c r="E52" s="12">
        <v>31</v>
      </c>
      <c r="F52" s="8">
        <v>3.47</v>
      </c>
      <c r="G52" s="12">
        <v>10</v>
      </c>
      <c r="H52" s="8">
        <v>1.25</v>
      </c>
      <c r="I52" s="12">
        <v>0</v>
      </c>
    </row>
    <row r="53" spans="2:9" ht="15" customHeight="1" x14ac:dyDescent="0.2">
      <c r="B53" t="s">
        <v>193</v>
      </c>
      <c r="C53" s="12">
        <v>37</v>
      </c>
      <c r="D53" s="8">
        <v>2.14</v>
      </c>
      <c r="E53" s="12">
        <v>35</v>
      </c>
      <c r="F53" s="8">
        <v>3.91</v>
      </c>
      <c r="G53" s="12">
        <v>1</v>
      </c>
      <c r="H53" s="8">
        <v>0.13</v>
      </c>
      <c r="I53" s="12">
        <v>1</v>
      </c>
    </row>
    <row r="54" spans="2:9" ht="15" customHeight="1" x14ac:dyDescent="0.2">
      <c r="B54" t="s">
        <v>181</v>
      </c>
      <c r="C54" s="12">
        <v>36</v>
      </c>
      <c r="D54" s="8">
        <v>2.08</v>
      </c>
      <c r="E54" s="12">
        <v>24</v>
      </c>
      <c r="F54" s="8">
        <v>2.68</v>
      </c>
      <c r="G54" s="12">
        <v>12</v>
      </c>
      <c r="H54" s="8">
        <v>1.51</v>
      </c>
      <c r="I54" s="12">
        <v>0</v>
      </c>
    </row>
    <row r="55" spans="2:9" ht="15" customHeight="1" x14ac:dyDescent="0.2">
      <c r="B55" t="s">
        <v>174</v>
      </c>
      <c r="C55" s="12">
        <v>34</v>
      </c>
      <c r="D55" s="8">
        <v>1.97</v>
      </c>
      <c r="E55" s="12">
        <v>7</v>
      </c>
      <c r="F55" s="8">
        <v>0.78</v>
      </c>
      <c r="G55" s="12">
        <v>27</v>
      </c>
      <c r="H55" s="8">
        <v>3.39</v>
      </c>
      <c r="I55" s="12">
        <v>0</v>
      </c>
    </row>
    <row r="56" spans="2:9" ht="15" customHeight="1" x14ac:dyDescent="0.2">
      <c r="B56" t="s">
        <v>192</v>
      </c>
      <c r="C56" s="12">
        <v>34</v>
      </c>
      <c r="D56" s="8">
        <v>1.97</v>
      </c>
      <c r="E56" s="12">
        <v>23</v>
      </c>
      <c r="F56" s="8">
        <v>2.57</v>
      </c>
      <c r="G56" s="12">
        <v>11</v>
      </c>
      <c r="H56" s="8">
        <v>1.38</v>
      </c>
      <c r="I56" s="12">
        <v>0</v>
      </c>
    </row>
    <row r="57" spans="2:9" ht="15" customHeight="1" x14ac:dyDescent="0.2">
      <c r="B57" t="s">
        <v>200</v>
      </c>
      <c r="C57" s="12">
        <v>34</v>
      </c>
      <c r="D57" s="8">
        <v>1.97</v>
      </c>
      <c r="E57" s="12">
        <v>15</v>
      </c>
      <c r="F57" s="8">
        <v>1.68</v>
      </c>
      <c r="G57" s="12">
        <v>19</v>
      </c>
      <c r="H57" s="8">
        <v>2.38</v>
      </c>
      <c r="I57" s="12">
        <v>0</v>
      </c>
    </row>
    <row r="58" spans="2:9" ht="15" customHeight="1" x14ac:dyDescent="0.2">
      <c r="B58" t="s">
        <v>180</v>
      </c>
      <c r="C58" s="12">
        <v>33</v>
      </c>
      <c r="D58" s="8">
        <v>1.91</v>
      </c>
      <c r="E58" s="12">
        <v>16</v>
      </c>
      <c r="F58" s="8">
        <v>1.79</v>
      </c>
      <c r="G58" s="12">
        <v>17</v>
      </c>
      <c r="H58" s="8">
        <v>2.13</v>
      </c>
      <c r="I58" s="12">
        <v>0</v>
      </c>
    </row>
    <row r="59" spans="2:9" ht="15" customHeight="1" x14ac:dyDescent="0.2">
      <c r="B59" t="s">
        <v>223</v>
      </c>
      <c r="C59" s="12">
        <v>30</v>
      </c>
      <c r="D59" s="8">
        <v>1.74</v>
      </c>
      <c r="E59" s="12">
        <v>1</v>
      </c>
      <c r="F59" s="8">
        <v>0.11</v>
      </c>
      <c r="G59" s="12">
        <v>3</v>
      </c>
      <c r="H59" s="8">
        <v>0.38</v>
      </c>
      <c r="I59" s="12">
        <v>0</v>
      </c>
    </row>
    <row r="60" spans="2:9" ht="15" customHeight="1" x14ac:dyDescent="0.2">
      <c r="B60" t="s">
        <v>222</v>
      </c>
      <c r="C60" s="12">
        <v>28</v>
      </c>
      <c r="D60" s="8">
        <v>1.62</v>
      </c>
      <c r="E60" s="12">
        <v>21</v>
      </c>
      <c r="F60" s="8">
        <v>2.35</v>
      </c>
      <c r="G60" s="12">
        <v>7</v>
      </c>
      <c r="H60" s="8">
        <v>0.88</v>
      </c>
      <c r="I60" s="12">
        <v>0</v>
      </c>
    </row>
    <row r="61" spans="2:9" ht="15" customHeight="1" x14ac:dyDescent="0.2">
      <c r="B61" t="s">
        <v>189</v>
      </c>
      <c r="C61" s="12">
        <v>28</v>
      </c>
      <c r="D61" s="8">
        <v>1.62</v>
      </c>
      <c r="E61" s="12">
        <v>27</v>
      </c>
      <c r="F61" s="8">
        <v>3.02</v>
      </c>
      <c r="G61" s="12">
        <v>1</v>
      </c>
      <c r="H61" s="8">
        <v>0.13</v>
      </c>
      <c r="I61" s="12">
        <v>0</v>
      </c>
    </row>
    <row r="62" spans="2:9" ht="15" customHeight="1" x14ac:dyDescent="0.2">
      <c r="B62" t="s">
        <v>175</v>
      </c>
      <c r="C62" s="12">
        <v>27</v>
      </c>
      <c r="D62" s="8">
        <v>1.56</v>
      </c>
      <c r="E62" s="12">
        <v>3</v>
      </c>
      <c r="F62" s="8">
        <v>0.34</v>
      </c>
      <c r="G62" s="12">
        <v>24</v>
      </c>
      <c r="H62" s="8">
        <v>3.01</v>
      </c>
      <c r="I62" s="12">
        <v>0</v>
      </c>
    </row>
    <row r="63" spans="2:9" ht="15" customHeight="1" x14ac:dyDescent="0.2">
      <c r="B63" t="s">
        <v>177</v>
      </c>
      <c r="C63" s="12">
        <v>26</v>
      </c>
      <c r="D63" s="8">
        <v>1.5</v>
      </c>
      <c r="E63" s="12">
        <v>6</v>
      </c>
      <c r="F63" s="8">
        <v>0.67</v>
      </c>
      <c r="G63" s="12">
        <v>20</v>
      </c>
      <c r="H63" s="8">
        <v>2.5099999999999998</v>
      </c>
      <c r="I63" s="12">
        <v>0</v>
      </c>
    </row>
    <row r="64" spans="2:9" ht="15" customHeight="1" x14ac:dyDescent="0.2">
      <c r="B64" t="s">
        <v>176</v>
      </c>
      <c r="C64" s="12">
        <v>23</v>
      </c>
      <c r="D64" s="8">
        <v>1.33</v>
      </c>
      <c r="E64" s="12">
        <v>13</v>
      </c>
      <c r="F64" s="8">
        <v>1.45</v>
      </c>
      <c r="G64" s="12">
        <v>10</v>
      </c>
      <c r="H64" s="8">
        <v>1.25</v>
      </c>
      <c r="I64" s="12">
        <v>0</v>
      </c>
    </row>
    <row r="65" spans="2:9" ht="15" customHeight="1" x14ac:dyDescent="0.2">
      <c r="B65" t="s">
        <v>197</v>
      </c>
      <c r="C65" s="12">
        <v>23</v>
      </c>
      <c r="D65" s="8">
        <v>1.33</v>
      </c>
      <c r="E65" s="12">
        <v>16</v>
      </c>
      <c r="F65" s="8">
        <v>1.79</v>
      </c>
      <c r="G65" s="12">
        <v>6</v>
      </c>
      <c r="H65" s="8">
        <v>0.75</v>
      </c>
      <c r="I65" s="12">
        <v>1</v>
      </c>
    </row>
    <row r="66" spans="2:9" ht="15" customHeight="1" x14ac:dyDescent="0.2">
      <c r="B66" t="s">
        <v>186</v>
      </c>
      <c r="C66" s="12">
        <v>23</v>
      </c>
      <c r="D66" s="8">
        <v>1.33</v>
      </c>
      <c r="E66" s="12">
        <v>17</v>
      </c>
      <c r="F66" s="8">
        <v>1.9</v>
      </c>
      <c r="G66" s="12">
        <v>6</v>
      </c>
      <c r="H66" s="8">
        <v>0.75</v>
      </c>
      <c r="I66" s="12">
        <v>0</v>
      </c>
    </row>
    <row r="67" spans="2:9" ht="15" customHeight="1" x14ac:dyDescent="0.2">
      <c r="B67" t="s">
        <v>194</v>
      </c>
      <c r="C67" s="12">
        <v>22</v>
      </c>
      <c r="D67" s="8">
        <v>1.27</v>
      </c>
      <c r="E67" s="12">
        <v>7</v>
      </c>
      <c r="F67" s="8">
        <v>0.78</v>
      </c>
      <c r="G67" s="12">
        <v>15</v>
      </c>
      <c r="H67" s="8">
        <v>1.88</v>
      </c>
      <c r="I67" s="12">
        <v>0</v>
      </c>
    </row>
    <row r="69" spans="2:9" ht="15" customHeight="1" x14ac:dyDescent="0.2">
      <c r="B69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FD9EA-8E30-482C-932B-DB8902908D4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382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458</v>
      </c>
      <c r="D6" s="8">
        <v>16.149999999999999</v>
      </c>
      <c r="E6" s="12">
        <v>209</v>
      </c>
      <c r="F6" s="8">
        <v>12.87</v>
      </c>
      <c r="G6" s="12">
        <v>249</v>
      </c>
      <c r="H6" s="8">
        <v>21.03</v>
      </c>
      <c r="I6" s="12">
        <v>0</v>
      </c>
    </row>
    <row r="7" spans="2:9" ht="15" customHeight="1" x14ac:dyDescent="0.2">
      <c r="B7" t="s">
        <v>80</v>
      </c>
      <c r="C7" s="12">
        <v>284</v>
      </c>
      <c r="D7" s="8">
        <v>10.01</v>
      </c>
      <c r="E7" s="12">
        <v>112</v>
      </c>
      <c r="F7" s="8">
        <v>6.9</v>
      </c>
      <c r="G7" s="12">
        <v>172</v>
      </c>
      <c r="H7" s="8">
        <v>14.53</v>
      </c>
      <c r="I7" s="12">
        <v>0</v>
      </c>
    </row>
    <row r="8" spans="2:9" ht="15" customHeight="1" x14ac:dyDescent="0.2">
      <c r="B8" t="s">
        <v>81</v>
      </c>
      <c r="C8" s="12">
        <v>6</v>
      </c>
      <c r="D8" s="8">
        <v>0.21</v>
      </c>
      <c r="E8" s="12">
        <v>0</v>
      </c>
      <c r="F8" s="8">
        <v>0</v>
      </c>
      <c r="G8" s="12">
        <v>5</v>
      </c>
      <c r="H8" s="8">
        <v>0.42</v>
      </c>
      <c r="I8" s="12">
        <v>1</v>
      </c>
    </row>
    <row r="9" spans="2:9" ht="15" customHeight="1" x14ac:dyDescent="0.2">
      <c r="B9" t="s">
        <v>82</v>
      </c>
      <c r="C9" s="12">
        <v>21</v>
      </c>
      <c r="D9" s="8">
        <v>0.74</v>
      </c>
      <c r="E9" s="12">
        <v>5</v>
      </c>
      <c r="F9" s="8">
        <v>0.31</v>
      </c>
      <c r="G9" s="12">
        <v>16</v>
      </c>
      <c r="H9" s="8">
        <v>1.35</v>
      </c>
      <c r="I9" s="12">
        <v>0</v>
      </c>
    </row>
    <row r="10" spans="2:9" ht="15" customHeight="1" x14ac:dyDescent="0.2">
      <c r="B10" t="s">
        <v>83</v>
      </c>
      <c r="C10" s="12">
        <v>20</v>
      </c>
      <c r="D10" s="8">
        <v>0.71</v>
      </c>
      <c r="E10" s="12">
        <v>6</v>
      </c>
      <c r="F10" s="8">
        <v>0.37</v>
      </c>
      <c r="G10" s="12">
        <v>14</v>
      </c>
      <c r="H10" s="8">
        <v>1.18</v>
      </c>
      <c r="I10" s="12">
        <v>0</v>
      </c>
    </row>
    <row r="11" spans="2:9" ht="15" customHeight="1" x14ac:dyDescent="0.2">
      <c r="B11" t="s">
        <v>84</v>
      </c>
      <c r="C11" s="12">
        <v>616</v>
      </c>
      <c r="D11" s="8">
        <v>21.72</v>
      </c>
      <c r="E11" s="12">
        <v>315</v>
      </c>
      <c r="F11" s="8">
        <v>19.399999999999999</v>
      </c>
      <c r="G11" s="12">
        <v>301</v>
      </c>
      <c r="H11" s="8">
        <v>25.42</v>
      </c>
      <c r="I11" s="12">
        <v>0</v>
      </c>
    </row>
    <row r="12" spans="2:9" ht="15" customHeight="1" x14ac:dyDescent="0.2">
      <c r="B12" t="s">
        <v>85</v>
      </c>
      <c r="C12" s="12">
        <v>16</v>
      </c>
      <c r="D12" s="8">
        <v>0.56000000000000005</v>
      </c>
      <c r="E12" s="12">
        <v>5</v>
      </c>
      <c r="F12" s="8">
        <v>0.31</v>
      </c>
      <c r="G12" s="12">
        <v>11</v>
      </c>
      <c r="H12" s="8">
        <v>0.93</v>
      </c>
      <c r="I12" s="12">
        <v>0</v>
      </c>
    </row>
    <row r="13" spans="2:9" ht="15" customHeight="1" x14ac:dyDescent="0.2">
      <c r="B13" t="s">
        <v>86</v>
      </c>
      <c r="C13" s="12">
        <v>168</v>
      </c>
      <c r="D13" s="8">
        <v>5.92</v>
      </c>
      <c r="E13" s="12">
        <v>54</v>
      </c>
      <c r="F13" s="8">
        <v>3.33</v>
      </c>
      <c r="G13" s="12">
        <v>114</v>
      </c>
      <c r="H13" s="8">
        <v>9.6300000000000008</v>
      </c>
      <c r="I13" s="12">
        <v>0</v>
      </c>
    </row>
    <row r="14" spans="2:9" ht="15" customHeight="1" x14ac:dyDescent="0.2">
      <c r="B14" t="s">
        <v>87</v>
      </c>
      <c r="C14" s="12">
        <v>172</v>
      </c>
      <c r="D14" s="8">
        <v>6.06</v>
      </c>
      <c r="E14" s="12">
        <v>105</v>
      </c>
      <c r="F14" s="8">
        <v>6.47</v>
      </c>
      <c r="G14" s="12">
        <v>66</v>
      </c>
      <c r="H14" s="8">
        <v>5.57</v>
      </c>
      <c r="I14" s="12">
        <v>0</v>
      </c>
    </row>
    <row r="15" spans="2:9" ht="15" customHeight="1" x14ac:dyDescent="0.2">
      <c r="B15" t="s">
        <v>88</v>
      </c>
      <c r="C15" s="12">
        <v>374</v>
      </c>
      <c r="D15" s="8">
        <v>13.19</v>
      </c>
      <c r="E15" s="12">
        <v>322</v>
      </c>
      <c r="F15" s="8">
        <v>19.829999999999998</v>
      </c>
      <c r="G15" s="12">
        <v>52</v>
      </c>
      <c r="H15" s="8">
        <v>4.3899999999999997</v>
      </c>
      <c r="I15" s="12">
        <v>0</v>
      </c>
    </row>
    <row r="16" spans="2:9" ht="15" customHeight="1" x14ac:dyDescent="0.2">
      <c r="B16" t="s">
        <v>89</v>
      </c>
      <c r="C16" s="12">
        <v>338</v>
      </c>
      <c r="D16" s="8">
        <v>11.92</v>
      </c>
      <c r="E16" s="12">
        <v>275</v>
      </c>
      <c r="F16" s="8">
        <v>16.93</v>
      </c>
      <c r="G16" s="12">
        <v>61</v>
      </c>
      <c r="H16" s="8">
        <v>5.15</v>
      </c>
      <c r="I16" s="12">
        <v>1</v>
      </c>
    </row>
    <row r="17" spans="2:9" ht="15" customHeight="1" x14ac:dyDescent="0.2">
      <c r="B17" t="s">
        <v>90</v>
      </c>
      <c r="C17" s="12">
        <v>87</v>
      </c>
      <c r="D17" s="8">
        <v>3.07</v>
      </c>
      <c r="E17" s="12">
        <v>45</v>
      </c>
      <c r="F17" s="8">
        <v>2.77</v>
      </c>
      <c r="G17" s="12">
        <v>28</v>
      </c>
      <c r="H17" s="8">
        <v>2.36</v>
      </c>
      <c r="I17" s="12">
        <v>0</v>
      </c>
    </row>
    <row r="18" spans="2:9" ht="15" customHeight="1" x14ac:dyDescent="0.2">
      <c r="B18" t="s">
        <v>91</v>
      </c>
      <c r="C18" s="12">
        <v>159</v>
      </c>
      <c r="D18" s="8">
        <v>5.61</v>
      </c>
      <c r="E18" s="12">
        <v>108</v>
      </c>
      <c r="F18" s="8">
        <v>6.65</v>
      </c>
      <c r="G18" s="12">
        <v>45</v>
      </c>
      <c r="H18" s="8">
        <v>3.8</v>
      </c>
      <c r="I18" s="12">
        <v>0</v>
      </c>
    </row>
    <row r="19" spans="2:9" ht="15" customHeight="1" x14ac:dyDescent="0.2">
      <c r="B19" t="s">
        <v>92</v>
      </c>
      <c r="C19" s="12">
        <v>117</v>
      </c>
      <c r="D19" s="8">
        <v>4.13</v>
      </c>
      <c r="E19" s="12">
        <v>63</v>
      </c>
      <c r="F19" s="8">
        <v>3.88</v>
      </c>
      <c r="G19" s="12">
        <v>50</v>
      </c>
      <c r="H19" s="8">
        <v>4.22</v>
      </c>
      <c r="I19" s="12">
        <v>2</v>
      </c>
    </row>
    <row r="20" spans="2:9" ht="15" customHeight="1" x14ac:dyDescent="0.2">
      <c r="B20" s="9" t="s">
        <v>363</v>
      </c>
      <c r="C20" s="12">
        <f>SUM(LTBL_20217[総数／事業所数])</f>
        <v>2836</v>
      </c>
      <c r="E20" s="12">
        <f>SUBTOTAL(109,LTBL_20217[個人／事業所数])</f>
        <v>1624</v>
      </c>
      <c r="G20" s="12">
        <f>SUBTOTAL(109,LTBL_20217[法人／事業所数])</f>
        <v>1184</v>
      </c>
      <c r="I20" s="12">
        <f>SUBTOTAL(109,LTBL_20217[法人以外の団体／事業所数])</f>
        <v>4</v>
      </c>
    </row>
    <row r="21" spans="2:9" ht="15" customHeight="1" x14ac:dyDescent="0.2">
      <c r="E21" s="11">
        <f>LTBL_20217[[#Totals],[個人／事業所数]]/LTBL_20217[[#Totals],[総数／事業所数]]</f>
        <v>0.57263751763046544</v>
      </c>
      <c r="G21" s="11">
        <f>LTBL_20217[[#Totals],[法人／事業所数]]/LTBL_20217[[#Totals],[総数／事業所数]]</f>
        <v>0.41748942172073344</v>
      </c>
      <c r="I21" s="11">
        <f>LTBL_20217[[#Totals],[法人以外の団体／事業所数]]/LTBL_20217[[#Totals],[総数／事業所数]]</f>
        <v>1.4104372355430183E-3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337</v>
      </c>
      <c r="D24" s="8">
        <v>11.88</v>
      </c>
      <c r="E24" s="12">
        <v>306</v>
      </c>
      <c r="F24" s="8">
        <v>18.84</v>
      </c>
      <c r="G24" s="12">
        <v>31</v>
      </c>
      <c r="H24" s="8">
        <v>2.62</v>
      </c>
      <c r="I24" s="12">
        <v>0</v>
      </c>
    </row>
    <row r="25" spans="2:9" ht="15" customHeight="1" x14ac:dyDescent="0.2">
      <c r="B25" t="s">
        <v>116</v>
      </c>
      <c r="C25" s="12">
        <v>293</v>
      </c>
      <c r="D25" s="8">
        <v>10.33</v>
      </c>
      <c r="E25" s="12">
        <v>257</v>
      </c>
      <c r="F25" s="8">
        <v>15.83</v>
      </c>
      <c r="G25" s="12">
        <v>36</v>
      </c>
      <c r="H25" s="8">
        <v>3.04</v>
      </c>
      <c r="I25" s="12">
        <v>0</v>
      </c>
    </row>
    <row r="26" spans="2:9" ht="15" customHeight="1" x14ac:dyDescent="0.2">
      <c r="B26" t="s">
        <v>101</v>
      </c>
      <c r="C26" s="12">
        <v>225</v>
      </c>
      <c r="D26" s="8">
        <v>7.93</v>
      </c>
      <c r="E26" s="12">
        <v>66</v>
      </c>
      <c r="F26" s="8">
        <v>4.0599999999999996</v>
      </c>
      <c r="G26" s="12">
        <v>159</v>
      </c>
      <c r="H26" s="8">
        <v>13.43</v>
      </c>
      <c r="I26" s="12">
        <v>0</v>
      </c>
    </row>
    <row r="27" spans="2:9" ht="15" customHeight="1" x14ac:dyDescent="0.2">
      <c r="B27" t="s">
        <v>110</v>
      </c>
      <c r="C27" s="12">
        <v>206</v>
      </c>
      <c r="D27" s="8">
        <v>7.26</v>
      </c>
      <c r="E27" s="12">
        <v>99</v>
      </c>
      <c r="F27" s="8">
        <v>6.1</v>
      </c>
      <c r="G27" s="12">
        <v>107</v>
      </c>
      <c r="H27" s="8">
        <v>9.0399999999999991</v>
      </c>
      <c r="I27" s="12">
        <v>0</v>
      </c>
    </row>
    <row r="28" spans="2:9" ht="15" customHeight="1" x14ac:dyDescent="0.2">
      <c r="B28" t="s">
        <v>102</v>
      </c>
      <c r="C28" s="12">
        <v>167</v>
      </c>
      <c r="D28" s="8">
        <v>5.89</v>
      </c>
      <c r="E28" s="12">
        <v>113</v>
      </c>
      <c r="F28" s="8">
        <v>6.96</v>
      </c>
      <c r="G28" s="12">
        <v>54</v>
      </c>
      <c r="H28" s="8">
        <v>4.5599999999999996</v>
      </c>
      <c r="I28" s="12">
        <v>0</v>
      </c>
    </row>
    <row r="29" spans="2:9" ht="15" customHeight="1" x14ac:dyDescent="0.2">
      <c r="B29" t="s">
        <v>108</v>
      </c>
      <c r="C29" s="12">
        <v>136</v>
      </c>
      <c r="D29" s="8">
        <v>4.8</v>
      </c>
      <c r="E29" s="12">
        <v>95</v>
      </c>
      <c r="F29" s="8">
        <v>5.85</v>
      </c>
      <c r="G29" s="12">
        <v>41</v>
      </c>
      <c r="H29" s="8">
        <v>3.46</v>
      </c>
      <c r="I29" s="12">
        <v>0</v>
      </c>
    </row>
    <row r="30" spans="2:9" ht="15" customHeight="1" x14ac:dyDescent="0.2">
      <c r="B30" t="s">
        <v>111</v>
      </c>
      <c r="C30" s="12">
        <v>123</v>
      </c>
      <c r="D30" s="8">
        <v>4.34</v>
      </c>
      <c r="E30" s="12">
        <v>49</v>
      </c>
      <c r="F30" s="8">
        <v>3.02</v>
      </c>
      <c r="G30" s="12">
        <v>74</v>
      </c>
      <c r="H30" s="8">
        <v>6.25</v>
      </c>
      <c r="I30" s="12">
        <v>0</v>
      </c>
    </row>
    <row r="31" spans="2:9" ht="15" customHeight="1" x14ac:dyDescent="0.2">
      <c r="B31" t="s">
        <v>118</v>
      </c>
      <c r="C31" s="12">
        <v>119</v>
      </c>
      <c r="D31" s="8">
        <v>4.2</v>
      </c>
      <c r="E31" s="12">
        <v>108</v>
      </c>
      <c r="F31" s="8">
        <v>6.65</v>
      </c>
      <c r="G31" s="12">
        <v>11</v>
      </c>
      <c r="H31" s="8">
        <v>0.93</v>
      </c>
      <c r="I31" s="12">
        <v>0</v>
      </c>
    </row>
    <row r="32" spans="2:9" ht="15" customHeight="1" x14ac:dyDescent="0.2">
      <c r="B32" t="s">
        <v>109</v>
      </c>
      <c r="C32" s="12">
        <v>109</v>
      </c>
      <c r="D32" s="8">
        <v>3.84</v>
      </c>
      <c r="E32" s="12">
        <v>59</v>
      </c>
      <c r="F32" s="8">
        <v>3.63</v>
      </c>
      <c r="G32" s="12">
        <v>50</v>
      </c>
      <c r="H32" s="8">
        <v>4.22</v>
      </c>
      <c r="I32" s="12">
        <v>0</v>
      </c>
    </row>
    <row r="33" spans="2:9" ht="15" customHeight="1" x14ac:dyDescent="0.2">
      <c r="B33" t="s">
        <v>117</v>
      </c>
      <c r="C33" s="12">
        <v>87</v>
      </c>
      <c r="D33" s="8">
        <v>3.07</v>
      </c>
      <c r="E33" s="12">
        <v>45</v>
      </c>
      <c r="F33" s="8">
        <v>2.77</v>
      </c>
      <c r="G33" s="12">
        <v>28</v>
      </c>
      <c r="H33" s="8">
        <v>2.36</v>
      </c>
      <c r="I33" s="12">
        <v>0</v>
      </c>
    </row>
    <row r="34" spans="2:9" ht="15" customHeight="1" x14ac:dyDescent="0.2">
      <c r="B34" t="s">
        <v>112</v>
      </c>
      <c r="C34" s="12">
        <v>81</v>
      </c>
      <c r="D34" s="8">
        <v>2.86</v>
      </c>
      <c r="E34" s="12">
        <v>69</v>
      </c>
      <c r="F34" s="8">
        <v>4.25</v>
      </c>
      <c r="G34" s="12">
        <v>12</v>
      </c>
      <c r="H34" s="8">
        <v>1.01</v>
      </c>
      <c r="I34" s="12">
        <v>0</v>
      </c>
    </row>
    <row r="35" spans="2:9" ht="15" customHeight="1" x14ac:dyDescent="0.2">
      <c r="B35" t="s">
        <v>113</v>
      </c>
      <c r="C35" s="12">
        <v>77</v>
      </c>
      <c r="D35" s="8">
        <v>2.72</v>
      </c>
      <c r="E35" s="12">
        <v>35</v>
      </c>
      <c r="F35" s="8">
        <v>2.16</v>
      </c>
      <c r="G35" s="12">
        <v>41</v>
      </c>
      <c r="H35" s="8">
        <v>3.46</v>
      </c>
      <c r="I35" s="12">
        <v>0</v>
      </c>
    </row>
    <row r="36" spans="2:9" ht="15" customHeight="1" x14ac:dyDescent="0.2">
      <c r="B36" t="s">
        <v>103</v>
      </c>
      <c r="C36" s="12">
        <v>66</v>
      </c>
      <c r="D36" s="8">
        <v>2.33</v>
      </c>
      <c r="E36" s="12">
        <v>30</v>
      </c>
      <c r="F36" s="8">
        <v>1.85</v>
      </c>
      <c r="G36" s="12">
        <v>36</v>
      </c>
      <c r="H36" s="8">
        <v>3.04</v>
      </c>
      <c r="I36" s="12">
        <v>0</v>
      </c>
    </row>
    <row r="37" spans="2:9" ht="15" customHeight="1" x14ac:dyDescent="0.2">
      <c r="B37" t="s">
        <v>107</v>
      </c>
      <c r="C37" s="12">
        <v>66</v>
      </c>
      <c r="D37" s="8">
        <v>2.33</v>
      </c>
      <c r="E37" s="12">
        <v>35</v>
      </c>
      <c r="F37" s="8">
        <v>2.16</v>
      </c>
      <c r="G37" s="12">
        <v>31</v>
      </c>
      <c r="H37" s="8">
        <v>2.62</v>
      </c>
      <c r="I37" s="12">
        <v>0</v>
      </c>
    </row>
    <row r="38" spans="2:9" ht="15" customHeight="1" x14ac:dyDescent="0.2">
      <c r="B38" t="s">
        <v>120</v>
      </c>
      <c r="C38" s="12">
        <v>54</v>
      </c>
      <c r="D38" s="8">
        <v>1.9</v>
      </c>
      <c r="E38" s="12">
        <v>46</v>
      </c>
      <c r="F38" s="8">
        <v>2.83</v>
      </c>
      <c r="G38" s="12">
        <v>8</v>
      </c>
      <c r="H38" s="8">
        <v>0.68</v>
      </c>
      <c r="I38" s="12">
        <v>0</v>
      </c>
    </row>
    <row r="39" spans="2:9" ht="15" customHeight="1" x14ac:dyDescent="0.2">
      <c r="B39" t="s">
        <v>105</v>
      </c>
      <c r="C39" s="12">
        <v>40</v>
      </c>
      <c r="D39" s="8">
        <v>1.41</v>
      </c>
      <c r="E39" s="12">
        <v>17</v>
      </c>
      <c r="F39" s="8">
        <v>1.05</v>
      </c>
      <c r="G39" s="12">
        <v>23</v>
      </c>
      <c r="H39" s="8">
        <v>1.94</v>
      </c>
      <c r="I39" s="12">
        <v>0</v>
      </c>
    </row>
    <row r="40" spans="2:9" ht="15" customHeight="1" x14ac:dyDescent="0.2">
      <c r="B40" t="s">
        <v>119</v>
      </c>
      <c r="C40" s="12">
        <v>40</v>
      </c>
      <c r="D40" s="8">
        <v>1.41</v>
      </c>
      <c r="E40" s="12">
        <v>0</v>
      </c>
      <c r="F40" s="8">
        <v>0</v>
      </c>
      <c r="G40" s="12">
        <v>34</v>
      </c>
      <c r="H40" s="8">
        <v>2.87</v>
      </c>
      <c r="I40" s="12">
        <v>0</v>
      </c>
    </row>
    <row r="41" spans="2:9" ht="15" customHeight="1" x14ac:dyDescent="0.2">
      <c r="B41" t="s">
        <v>127</v>
      </c>
      <c r="C41" s="12">
        <v>31</v>
      </c>
      <c r="D41" s="8">
        <v>1.0900000000000001</v>
      </c>
      <c r="E41" s="12">
        <v>15</v>
      </c>
      <c r="F41" s="8">
        <v>0.92</v>
      </c>
      <c r="G41" s="12">
        <v>16</v>
      </c>
      <c r="H41" s="8">
        <v>1.35</v>
      </c>
      <c r="I41" s="12">
        <v>0</v>
      </c>
    </row>
    <row r="42" spans="2:9" ht="15" customHeight="1" x14ac:dyDescent="0.2">
      <c r="B42" t="s">
        <v>123</v>
      </c>
      <c r="C42" s="12">
        <v>31</v>
      </c>
      <c r="D42" s="8">
        <v>1.0900000000000001</v>
      </c>
      <c r="E42" s="12">
        <v>5</v>
      </c>
      <c r="F42" s="8">
        <v>0.31</v>
      </c>
      <c r="G42" s="12">
        <v>26</v>
      </c>
      <c r="H42" s="8">
        <v>2.2000000000000002</v>
      </c>
      <c r="I42" s="12">
        <v>0</v>
      </c>
    </row>
    <row r="43" spans="2:9" ht="15" customHeight="1" x14ac:dyDescent="0.2">
      <c r="B43" t="s">
        <v>131</v>
      </c>
      <c r="C43" s="12">
        <v>31</v>
      </c>
      <c r="D43" s="8">
        <v>1.0900000000000001</v>
      </c>
      <c r="E43" s="12">
        <v>13</v>
      </c>
      <c r="F43" s="8">
        <v>0.8</v>
      </c>
      <c r="G43" s="12">
        <v>17</v>
      </c>
      <c r="H43" s="8">
        <v>1.44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191</v>
      </c>
      <c r="C47" s="12">
        <v>179</v>
      </c>
      <c r="D47" s="8">
        <v>6.31</v>
      </c>
      <c r="E47" s="12">
        <v>168</v>
      </c>
      <c r="F47" s="8">
        <v>10.34</v>
      </c>
      <c r="G47" s="12">
        <v>11</v>
      </c>
      <c r="H47" s="8">
        <v>0.93</v>
      </c>
      <c r="I47" s="12">
        <v>0</v>
      </c>
    </row>
    <row r="48" spans="2:9" ht="15" customHeight="1" x14ac:dyDescent="0.2">
      <c r="B48" t="s">
        <v>187</v>
      </c>
      <c r="C48" s="12">
        <v>96</v>
      </c>
      <c r="D48" s="8">
        <v>3.39</v>
      </c>
      <c r="E48" s="12">
        <v>82</v>
      </c>
      <c r="F48" s="8">
        <v>5.05</v>
      </c>
      <c r="G48" s="12">
        <v>14</v>
      </c>
      <c r="H48" s="8">
        <v>1.18</v>
      </c>
      <c r="I48" s="12">
        <v>0</v>
      </c>
    </row>
    <row r="49" spans="2:9" ht="15" customHeight="1" x14ac:dyDescent="0.2">
      <c r="B49" t="s">
        <v>183</v>
      </c>
      <c r="C49" s="12">
        <v>87</v>
      </c>
      <c r="D49" s="8">
        <v>3.07</v>
      </c>
      <c r="E49" s="12">
        <v>44</v>
      </c>
      <c r="F49" s="8">
        <v>2.71</v>
      </c>
      <c r="G49" s="12">
        <v>43</v>
      </c>
      <c r="H49" s="8">
        <v>3.63</v>
      </c>
      <c r="I49" s="12">
        <v>0</v>
      </c>
    </row>
    <row r="50" spans="2:9" ht="15" customHeight="1" x14ac:dyDescent="0.2">
      <c r="B50" t="s">
        <v>193</v>
      </c>
      <c r="C50" s="12">
        <v>87</v>
      </c>
      <c r="D50" s="8">
        <v>3.07</v>
      </c>
      <c r="E50" s="12">
        <v>81</v>
      </c>
      <c r="F50" s="8">
        <v>4.99</v>
      </c>
      <c r="G50" s="12">
        <v>6</v>
      </c>
      <c r="H50" s="8">
        <v>0.51</v>
      </c>
      <c r="I50" s="12">
        <v>0</v>
      </c>
    </row>
    <row r="51" spans="2:9" ht="15" customHeight="1" x14ac:dyDescent="0.2">
      <c r="B51" t="s">
        <v>189</v>
      </c>
      <c r="C51" s="12">
        <v>84</v>
      </c>
      <c r="D51" s="8">
        <v>2.96</v>
      </c>
      <c r="E51" s="12">
        <v>84</v>
      </c>
      <c r="F51" s="8">
        <v>5.17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175</v>
      </c>
      <c r="C52" s="12">
        <v>71</v>
      </c>
      <c r="D52" s="8">
        <v>2.5</v>
      </c>
      <c r="E52" s="12">
        <v>20</v>
      </c>
      <c r="F52" s="8">
        <v>1.23</v>
      </c>
      <c r="G52" s="12">
        <v>51</v>
      </c>
      <c r="H52" s="8">
        <v>4.3099999999999996</v>
      </c>
      <c r="I52" s="12">
        <v>0</v>
      </c>
    </row>
    <row r="53" spans="2:9" ht="15" customHeight="1" x14ac:dyDescent="0.2">
      <c r="B53" t="s">
        <v>180</v>
      </c>
      <c r="C53" s="12">
        <v>71</v>
      </c>
      <c r="D53" s="8">
        <v>2.5</v>
      </c>
      <c r="E53" s="12">
        <v>36</v>
      </c>
      <c r="F53" s="8">
        <v>2.2200000000000002</v>
      </c>
      <c r="G53" s="12">
        <v>35</v>
      </c>
      <c r="H53" s="8">
        <v>2.96</v>
      </c>
      <c r="I53" s="12">
        <v>0</v>
      </c>
    </row>
    <row r="54" spans="2:9" ht="15" customHeight="1" x14ac:dyDescent="0.2">
      <c r="B54" t="s">
        <v>174</v>
      </c>
      <c r="C54" s="12">
        <v>66</v>
      </c>
      <c r="D54" s="8">
        <v>2.33</v>
      </c>
      <c r="E54" s="12">
        <v>12</v>
      </c>
      <c r="F54" s="8">
        <v>0.74</v>
      </c>
      <c r="G54" s="12">
        <v>54</v>
      </c>
      <c r="H54" s="8">
        <v>4.5599999999999996</v>
      </c>
      <c r="I54" s="12">
        <v>0</v>
      </c>
    </row>
    <row r="55" spans="2:9" ht="15" customHeight="1" x14ac:dyDescent="0.2">
      <c r="B55" t="s">
        <v>190</v>
      </c>
      <c r="C55" s="12">
        <v>65</v>
      </c>
      <c r="D55" s="8">
        <v>2.29</v>
      </c>
      <c r="E55" s="12">
        <v>63</v>
      </c>
      <c r="F55" s="8">
        <v>3.88</v>
      </c>
      <c r="G55" s="12">
        <v>2</v>
      </c>
      <c r="H55" s="8">
        <v>0.17</v>
      </c>
      <c r="I55" s="12">
        <v>0</v>
      </c>
    </row>
    <row r="56" spans="2:9" ht="15" customHeight="1" x14ac:dyDescent="0.2">
      <c r="B56" t="s">
        <v>188</v>
      </c>
      <c r="C56" s="12">
        <v>60</v>
      </c>
      <c r="D56" s="8">
        <v>2.12</v>
      </c>
      <c r="E56" s="12">
        <v>59</v>
      </c>
      <c r="F56" s="8">
        <v>3.63</v>
      </c>
      <c r="G56" s="12">
        <v>1</v>
      </c>
      <c r="H56" s="8">
        <v>0.08</v>
      </c>
      <c r="I56" s="12">
        <v>0</v>
      </c>
    </row>
    <row r="57" spans="2:9" ht="15" customHeight="1" x14ac:dyDescent="0.2">
      <c r="B57" t="s">
        <v>176</v>
      </c>
      <c r="C57" s="12">
        <v>54</v>
      </c>
      <c r="D57" s="8">
        <v>1.9</v>
      </c>
      <c r="E57" s="12">
        <v>24</v>
      </c>
      <c r="F57" s="8">
        <v>1.48</v>
      </c>
      <c r="G57" s="12">
        <v>30</v>
      </c>
      <c r="H57" s="8">
        <v>2.5299999999999998</v>
      </c>
      <c r="I57" s="12">
        <v>0</v>
      </c>
    </row>
    <row r="58" spans="2:9" ht="15" customHeight="1" x14ac:dyDescent="0.2">
      <c r="B58" t="s">
        <v>200</v>
      </c>
      <c r="C58" s="12">
        <v>54</v>
      </c>
      <c r="D58" s="8">
        <v>1.9</v>
      </c>
      <c r="E58" s="12">
        <v>46</v>
      </c>
      <c r="F58" s="8">
        <v>2.83</v>
      </c>
      <c r="G58" s="12">
        <v>8</v>
      </c>
      <c r="H58" s="8">
        <v>0.68</v>
      </c>
      <c r="I58" s="12">
        <v>0</v>
      </c>
    </row>
    <row r="59" spans="2:9" ht="15" customHeight="1" x14ac:dyDescent="0.2">
      <c r="B59" t="s">
        <v>184</v>
      </c>
      <c r="C59" s="12">
        <v>50</v>
      </c>
      <c r="D59" s="8">
        <v>1.76</v>
      </c>
      <c r="E59" s="12">
        <v>20</v>
      </c>
      <c r="F59" s="8">
        <v>1.23</v>
      </c>
      <c r="G59" s="12">
        <v>29</v>
      </c>
      <c r="H59" s="8">
        <v>2.4500000000000002</v>
      </c>
      <c r="I59" s="12">
        <v>0</v>
      </c>
    </row>
    <row r="60" spans="2:9" ht="15" customHeight="1" x14ac:dyDescent="0.2">
      <c r="B60" t="s">
        <v>181</v>
      </c>
      <c r="C60" s="12">
        <v>48</v>
      </c>
      <c r="D60" s="8">
        <v>1.69</v>
      </c>
      <c r="E60" s="12">
        <v>32</v>
      </c>
      <c r="F60" s="8">
        <v>1.97</v>
      </c>
      <c r="G60" s="12">
        <v>16</v>
      </c>
      <c r="H60" s="8">
        <v>1.35</v>
      </c>
      <c r="I60" s="12">
        <v>0</v>
      </c>
    </row>
    <row r="61" spans="2:9" ht="15" customHeight="1" x14ac:dyDescent="0.2">
      <c r="B61" t="s">
        <v>194</v>
      </c>
      <c r="C61" s="12">
        <v>41</v>
      </c>
      <c r="D61" s="8">
        <v>1.45</v>
      </c>
      <c r="E61" s="12">
        <v>16</v>
      </c>
      <c r="F61" s="8">
        <v>0.99</v>
      </c>
      <c r="G61" s="12">
        <v>25</v>
      </c>
      <c r="H61" s="8">
        <v>2.11</v>
      </c>
      <c r="I61" s="12">
        <v>0</v>
      </c>
    </row>
    <row r="62" spans="2:9" ht="15" customHeight="1" x14ac:dyDescent="0.2">
      <c r="B62" t="s">
        <v>186</v>
      </c>
      <c r="C62" s="12">
        <v>40</v>
      </c>
      <c r="D62" s="8">
        <v>1.41</v>
      </c>
      <c r="E62" s="12">
        <v>32</v>
      </c>
      <c r="F62" s="8">
        <v>1.97</v>
      </c>
      <c r="G62" s="12">
        <v>8</v>
      </c>
      <c r="H62" s="8">
        <v>0.68</v>
      </c>
      <c r="I62" s="12">
        <v>0</v>
      </c>
    </row>
    <row r="63" spans="2:9" ht="15" customHeight="1" x14ac:dyDescent="0.2">
      <c r="B63" t="s">
        <v>192</v>
      </c>
      <c r="C63" s="12">
        <v>40</v>
      </c>
      <c r="D63" s="8">
        <v>1.41</v>
      </c>
      <c r="E63" s="12">
        <v>27</v>
      </c>
      <c r="F63" s="8">
        <v>1.66</v>
      </c>
      <c r="G63" s="12">
        <v>13</v>
      </c>
      <c r="H63" s="8">
        <v>1.1000000000000001</v>
      </c>
      <c r="I63" s="12">
        <v>0</v>
      </c>
    </row>
    <row r="64" spans="2:9" ht="15" customHeight="1" x14ac:dyDescent="0.2">
      <c r="B64" t="s">
        <v>214</v>
      </c>
      <c r="C64" s="12">
        <v>38</v>
      </c>
      <c r="D64" s="8">
        <v>1.34</v>
      </c>
      <c r="E64" s="12">
        <v>25</v>
      </c>
      <c r="F64" s="8">
        <v>1.54</v>
      </c>
      <c r="G64" s="12">
        <v>13</v>
      </c>
      <c r="H64" s="8">
        <v>1.1000000000000001</v>
      </c>
      <c r="I64" s="12">
        <v>0</v>
      </c>
    </row>
    <row r="65" spans="2:9" ht="15" customHeight="1" x14ac:dyDescent="0.2">
      <c r="B65" t="s">
        <v>196</v>
      </c>
      <c r="C65" s="12">
        <v>37</v>
      </c>
      <c r="D65" s="8">
        <v>1.3</v>
      </c>
      <c r="E65" s="12">
        <v>18</v>
      </c>
      <c r="F65" s="8">
        <v>1.1100000000000001</v>
      </c>
      <c r="G65" s="12">
        <v>19</v>
      </c>
      <c r="H65" s="8">
        <v>1.6</v>
      </c>
      <c r="I65" s="12">
        <v>0</v>
      </c>
    </row>
    <row r="66" spans="2:9" ht="15" customHeight="1" x14ac:dyDescent="0.2">
      <c r="B66" t="s">
        <v>179</v>
      </c>
      <c r="C66" s="12">
        <v>36</v>
      </c>
      <c r="D66" s="8">
        <v>1.27</v>
      </c>
      <c r="E66" s="12">
        <v>25</v>
      </c>
      <c r="F66" s="8">
        <v>1.54</v>
      </c>
      <c r="G66" s="12">
        <v>11</v>
      </c>
      <c r="H66" s="8">
        <v>0.93</v>
      </c>
      <c r="I66" s="12">
        <v>0</v>
      </c>
    </row>
    <row r="68" spans="2:9" ht="15" customHeight="1" x14ac:dyDescent="0.2">
      <c r="B68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026A-977E-491E-B8B3-8149C5015A87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383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0.14000000000000001</v>
      </c>
      <c r="I5" s="12">
        <v>0</v>
      </c>
    </row>
    <row r="6" spans="2:9" ht="15" customHeight="1" x14ac:dyDescent="0.2">
      <c r="B6" t="s">
        <v>79</v>
      </c>
      <c r="C6" s="12">
        <v>240</v>
      </c>
      <c r="D6" s="8">
        <v>14.66</v>
      </c>
      <c r="E6" s="12">
        <v>93</v>
      </c>
      <c r="F6" s="8">
        <v>10.28</v>
      </c>
      <c r="G6" s="12">
        <v>147</v>
      </c>
      <c r="H6" s="8">
        <v>20.82</v>
      </c>
      <c r="I6" s="12">
        <v>0</v>
      </c>
    </row>
    <row r="7" spans="2:9" ht="15" customHeight="1" x14ac:dyDescent="0.2">
      <c r="B7" t="s">
        <v>80</v>
      </c>
      <c r="C7" s="12">
        <v>223</v>
      </c>
      <c r="D7" s="8">
        <v>13.62</v>
      </c>
      <c r="E7" s="12">
        <v>68</v>
      </c>
      <c r="F7" s="8">
        <v>7.51</v>
      </c>
      <c r="G7" s="12">
        <v>155</v>
      </c>
      <c r="H7" s="8">
        <v>21.95</v>
      </c>
      <c r="I7" s="12">
        <v>0</v>
      </c>
    </row>
    <row r="8" spans="2:9" ht="15" customHeight="1" x14ac:dyDescent="0.2">
      <c r="B8" t="s">
        <v>81</v>
      </c>
      <c r="C8" s="12">
        <v>6</v>
      </c>
      <c r="D8" s="8">
        <v>0.37</v>
      </c>
      <c r="E8" s="12">
        <v>1</v>
      </c>
      <c r="F8" s="8">
        <v>0.11</v>
      </c>
      <c r="G8" s="12">
        <v>4</v>
      </c>
      <c r="H8" s="8">
        <v>0.56999999999999995</v>
      </c>
      <c r="I8" s="12">
        <v>0</v>
      </c>
    </row>
    <row r="9" spans="2:9" ht="15" customHeight="1" x14ac:dyDescent="0.2">
      <c r="B9" t="s">
        <v>82</v>
      </c>
      <c r="C9" s="12">
        <v>9</v>
      </c>
      <c r="D9" s="8">
        <v>0.55000000000000004</v>
      </c>
      <c r="E9" s="12">
        <v>0</v>
      </c>
      <c r="F9" s="8">
        <v>0</v>
      </c>
      <c r="G9" s="12">
        <v>9</v>
      </c>
      <c r="H9" s="8">
        <v>1.27</v>
      </c>
      <c r="I9" s="12">
        <v>0</v>
      </c>
    </row>
    <row r="10" spans="2:9" ht="15" customHeight="1" x14ac:dyDescent="0.2">
      <c r="B10" t="s">
        <v>83</v>
      </c>
      <c r="C10" s="12">
        <v>8</v>
      </c>
      <c r="D10" s="8">
        <v>0.49</v>
      </c>
      <c r="E10" s="12">
        <v>2</v>
      </c>
      <c r="F10" s="8">
        <v>0.22</v>
      </c>
      <c r="G10" s="12">
        <v>5</v>
      </c>
      <c r="H10" s="8">
        <v>0.71</v>
      </c>
      <c r="I10" s="12">
        <v>0</v>
      </c>
    </row>
    <row r="11" spans="2:9" ht="15" customHeight="1" x14ac:dyDescent="0.2">
      <c r="B11" t="s">
        <v>84</v>
      </c>
      <c r="C11" s="12">
        <v>335</v>
      </c>
      <c r="D11" s="8">
        <v>20.46</v>
      </c>
      <c r="E11" s="12">
        <v>137</v>
      </c>
      <c r="F11" s="8">
        <v>15.14</v>
      </c>
      <c r="G11" s="12">
        <v>198</v>
      </c>
      <c r="H11" s="8">
        <v>28.05</v>
      </c>
      <c r="I11" s="12">
        <v>0</v>
      </c>
    </row>
    <row r="12" spans="2:9" ht="15" customHeight="1" x14ac:dyDescent="0.2">
      <c r="B12" t="s">
        <v>85</v>
      </c>
      <c r="C12" s="12">
        <v>4</v>
      </c>
      <c r="D12" s="8">
        <v>0.24</v>
      </c>
      <c r="E12" s="12">
        <v>1</v>
      </c>
      <c r="F12" s="8">
        <v>0.11</v>
      </c>
      <c r="G12" s="12">
        <v>3</v>
      </c>
      <c r="H12" s="8">
        <v>0.42</v>
      </c>
      <c r="I12" s="12">
        <v>0</v>
      </c>
    </row>
    <row r="13" spans="2:9" ht="15" customHeight="1" x14ac:dyDescent="0.2">
      <c r="B13" t="s">
        <v>86</v>
      </c>
      <c r="C13" s="12">
        <v>184</v>
      </c>
      <c r="D13" s="8">
        <v>11.24</v>
      </c>
      <c r="E13" s="12">
        <v>145</v>
      </c>
      <c r="F13" s="8">
        <v>16.02</v>
      </c>
      <c r="G13" s="12">
        <v>39</v>
      </c>
      <c r="H13" s="8">
        <v>5.52</v>
      </c>
      <c r="I13" s="12">
        <v>0</v>
      </c>
    </row>
    <row r="14" spans="2:9" ht="15" customHeight="1" x14ac:dyDescent="0.2">
      <c r="B14" t="s">
        <v>87</v>
      </c>
      <c r="C14" s="12">
        <v>73</v>
      </c>
      <c r="D14" s="8">
        <v>4.46</v>
      </c>
      <c r="E14" s="12">
        <v>48</v>
      </c>
      <c r="F14" s="8">
        <v>5.3</v>
      </c>
      <c r="G14" s="12">
        <v>25</v>
      </c>
      <c r="H14" s="8">
        <v>3.54</v>
      </c>
      <c r="I14" s="12">
        <v>0</v>
      </c>
    </row>
    <row r="15" spans="2:9" ht="15" customHeight="1" x14ac:dyDescent="0.2">
      <c r="B15" t="s">
        <v>88</v>
      </c>
      <c r="C15" s="12">
        <v>183</v>
      </c>
      <c r="D15" s="8">
        <v>11.18</v>
      </c>
      <c r="E15" s="12">
        <v>148</v>
      </c>
      <c r="F15" s="8">
        <v>16.350000000000001</v>
      </c>
      <c r="G15" s="12">
        <v>35</v>
      </c>
      <c r="H15" s="8">
        <v>4.96</v>
      </c>
      <c r="I15" s="12">
        <v>0</v>
      </c>
    </row>
    <row r="16" spans="2:9" ht="15" customHeight="1" x14ac:dyDescent="0.2">
      <c r="B16" t="s">
        <v>89</v>
      </c>
      <c r="C16" s="12">
        <v>195</v>
      </c>
      <c r="D16" s="8">
        <v>11.91</v>
      </c>
      <c r="E16" s="12">
        <v>164</v>
      </c>
      <c r="F16" s="8">
        <v>18.12</v>
      </c>
      <c r="G16" s="12">
        <v>29</v>
      </c>
      <c r="H16" s="8">
        <v>4.1100000000000003</v>
      </c>
      <c r="I16" s="12">
        <v>0</v>
      </c>
    </row>
    <row r="17" spans="2:9" ht="15" customHeight="1" x14ac:dyDescent="0.2">
      <c r="B17" t="s">
        <v>90</v>
      </c>
      <c r="C17" s="12">
        <v>60</v>
      </c>
      <c r="D17" s="8">
        <v>3.67</v>
      </c>
      <c r="E17" s="12">
        <v>35</v>
      </c>
      <c r="F17" s="8">
        <v>3.87</v>
      </c>
      <c r="G17" s="12">
        <v>10</v>
      </c>
      <c r="H17" s="8">
        <v>1.42</v>
      </c>
      <c r="I17" s="12">
        <v>0</v>
      </c>
    </row>
    <row r="18" spans="2:9" ht="15" customHeight="1" x14ac:dyDescent="0.2">
      <c r="B18" t="s">
        <v>91</v>
      </c>
      <c r="C18" s="12">
        <v>70</v>
      </c>
      <c r="D18" s="8">
        <v>4.28</v>
      </c>
      <c r="E18" s="12">
        <v>42</v>
      </c>
      <c r="F18" s="8">
        <v>4.6399999999999997</v>
      </c>
      <c r="G18" s="12">
        <v>24</v>
      </c>
      <c r="H18" s="8">
        <v>3.4</v>
      </c>
      <c r="I18" s="12">
        <v>1</v>
      </c>
    </row>
    <row r="19" spans="2:9" ht="15" customHeight="1" x14ac:dyDescent="0.2">
      <c r="B19" t="s">
        <v>92</v>
      </c>
      <c r="C19" s="12">
        <v>46</v>
      </c>
      <c r="D19" s="8">
        <v>2.81</v>
      </c>
      <c r="E19" s="12">
        <v>21</v>
      </c>
      <c r="F19" s="8">
        <v>2.3199999999999998</v>
      </c>
      <c r="G19" s="12">
        <v>22</v>
      </c>
      <c r="H19" s="8">
        <v>3.12</v>
      </c>
      <c r="I19" s="12">
        <v>0</v>
      </c>
    </row>
    <row r="20" spans="2:9" ht="15" customHeight="1" x14ac:dyDescent="0.2">
      <c r="B20" s="9" t="s">
        <v>363</v>
      </c>
      <c r="C20" s="12">
        <f>SUM(LTBL_20218[総数／事業所数])</f>
        <v>1637</v>
      </c>
      <c r="E20" s="12">
        <f>SUBTOTAL(109,LTBL_20218[個人／事業所数])</f>
        <v>905</v>
      </c>
      <c r="G20" s="12">
        <f>SUBTOTAL(109,LTBL_20218[法人／事業所数])</f>
        <v>706</v>
      </c>
      <c r="I20" s="12">
        <f>SUBTOTAL(109,LTBL_20218[法人以外の団体／事業所数])</f>
        <v>1</v>
      </c>
    </row>
    <row r="21" spans="2:9" ht="15" customHeight="1" x14ac:dyDescent="0.2">
      <c r="E21" s="11">
        <f>LTBL_20218[[#Totals],[個人／事業所数]]/LTBL_20218[[#Totals],[総数／事業所数]]</f>
        <v>0.55284056200366527</v>
      </c>
      <c r="G21" s="11">
        <f>LTBL_20218[[#Totals],[法人／事業所数]]/LTBL_20218[[#Totals],[総数／事業所数]]</f>
        <v>0.43127672571777642</v>
      </c>
      <c r="I21" s="11">
        <f>LTBL_20218[[#Totals],[法人以外の団体／事業所数]]/LTBL_20218[[#Totals],[総数／事業所数]]</f>
        <v>6.1087354917532073E-4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111</v>
      </c>
      <c r="C24" s="12">
        <v>171</v>
      </c>
      <c r="D24" s="8">
        <v>10.45</v>
      </c>
      <c r="E24" s="12">
        <v>143</v>
      </c>
      <c r="F24" s="8">
        <v>15.8</v>
      </c>
      <c r="G24" s="12">
        <v>28</v>
      </c>
      <c r="H24" s="8">
        <v>3.97</v>
      </c>
      <c r="I24" s="12">
        <v>0</v>
      </c>
    </row>
    <row r="25" spans="2:9" ht="15" customHeight="1" x14ac:dyDescent="0.2">
      <c r="B25" t="s">
        <v>116</v>
      </c>
      <c r="C25" s="12">
        <v>170</v>
      </c>
      <c r="D25" s="8">
        <v>10.38</v>
      </c>
      <c r="E25" s="12">
        <v>153</v>
      </c>
      <c r="F25" s="8">
        <v>16.91</v>
      </c>
      <c r="G25" s="12">
        <v>17</v>
      </c>
      <c r="H25" s="8">
        <v>2.41</v>
      </c>
      <c r="I25" s="12">
        <v>0</v>
      </c>
    </row>
    <row r="26" spans="2:9" ht="15" customHeight="1" x14ac:dyDescent="0.2">
      <c r="B26" t="s">
        <v>115</v>
      </c>
      <c r="C26" s="12">
        <v>166</v>
      </c>
      <c r="D26" s="8">
        <v>10.14</v>
      </c>
      <c r="E26" s="12">
        <v>144</v>
      </c>
      <c r="F26" s="8">
        <v>15.91</v>
      </c>
      <c r="G26" s="12">
        <v>22</v>
      </c>
      <c r="H26" s="8">
        <v>3.12</v>
      </c>
      <c r="I26" s="12">
        <v>0</v>
      </c>
    </row>
    <row r="27" spans="2:9" ht="15" customHeight="1" x14ac:dyDescent="0.2">
      <c r="B27" t="s">
        <v>110</v>
      </c>
      <c r="C27" s="12">
        <v>114</v>
      </c>
      <c r="D27" s="8">
        <v>6.96</v>
      </c>
      <c r="E27" s="12">
        <v>56</v>
      </c>
      <c r="F27" s="8">
        <v>6.19</v>
      </c>
      <c r="G27" s="12">
        <v>58</v>
      </c>
      <c r="H27" s="8">
        <v>8.2200000000000006</v>
      </c>
      <c r="I27" s="12">
        <v>0</v>
      </c>
    </row>
    <row r="28" spans="2:9" ht="15" customHeight="1" x14ac:dyDescent="0.2">
      <c r="B28" t="s">
        <v>101</v>
      </c>
      <c r="C28" s="12">
        <v>102</v>
      </c>
      <c r="D28" s="8">
        <v>6.23</v>
      </c>
      <c r="E28" s="12">
        <v>27</v>
      </c>
      <c r="F28" s="8">
        <v>2.98</v>
      </c>
      <c r="G28" s="12">
        <v>75</v>
      </c>
      <c r="H28" s="8">
        <v>10.62</v>
      </c>
      <c r="I28" s="12">
        <v>0</v>
      </c>
    </row>
    <row r="29" spans="2:9" ht="15" customHeight="1" x14ac:dyDescent="0.2">
      <c r="B29" t="s">
        <v>102</v>
      </c>
      <c r="C29" s="12">
        <v>86</v>
      </c>
      <c r="D29" s="8">
        <v>5.25</v>
      </c>
      <c r="E29" s="12">
        <v>48</v>
      </c>
      <c r="F29" s="8">
        <v>5.3</v>
      </c>
      <c r="G29" s="12">
        <v>38</v>
      </c>
      <c r="H29" s="8">
        <v>5.38</v>
      </c>
      <c r="I29" s="12">
        <v>0</v>
      </c>
    </row>
    <row r="30" spans="2:9" ht="15" customHeight="1" x14ac:dyDescent="0.2">
      <c r="B30" t="s">
        <v>108</v>
      </c>
      <c r="C30" s="12">
        <v>60</v>
      </c>
      <c r="D30" s="8">
        <v>3.67</v>
      </c>
      <c r="E30" s="12">
        <v>34</v>
      </c>
      <c r="F30" s="8">
        <v>3.76</v>
      </c>
      <c r="G30" s="12">
        <v>26</v>
      </c>
      <c r="H30" s="8">
        <v>3.68</v>
      </c>
      <c r="I30" s="12">
        <v>0</v>
      </c>
    </row>
    <row r="31" spans="2:9" ht="15" customHeight="1" x14ac:dyDescent="0.2">
      <c r="B31" t="s">
        <v>117</v>
      </c>
      <c r="C31" s="12">
        <v>60</v>
      </c>
      <c r="D31" s="8">
        <v>3.67</v>
      </c>
      <c r="E31" s="12">
        <v>35</v>
      </c>
      <c r="F31" s="8">
        <v>3.87</v>
      </c>
      <c r="G31" s="12">
        <v>10</v>
      </c>
      <c r="H31" s="8">
        <v>1.42</v>
      </c>
      <c r="I31" s="12">
        <v>0</v>
      </c>
    </row>
    <row r="32" spans="2:9" ht="15" customHeight="1" x14ac:dyDescent="0.2">
      <c r="B32" t="s">
        <v>103</v>
      </c>
      <c r="C32" s="12">
        <v>52</v>
      </c>
      <c r="D32" s="8">
        <v>3.18</v>
      </c>
      <c r="E32" s="12">
        <v>18</v>
      </c>
      <c r="F32" s="8">
        <v>1.99</v>
      </c>
      <c r="G32" s="12">
        <v>34</v>
      </c>
      <c r="H32" s="8">
        <v>4.82</v>
      </c>
      <c r="I32" s="12">
        <v>0</v>
      </c>
    </row>
    <row r="33" spans="2:9" ht="15" customHeight="1" x14ac:dyDescent="0.2">
      <c r="B33" t="s">
        <v>109</v>
      </c>
      <c r="C33" s="12">
        <v>43</v>
      </c>
      <c r="D33" s="8">
        <v>2.63</v>
      </c>
      <c r="E33" s="12">
        <v>27</v>
      </c>
      <c r="F33" s="8">
        <v>2.98</v>
      </c>
      <c r="G33" s="12">
        <v>16</v>
      </c>
      <c r="H33" s="8">
        <v>2.27</v>
      </c>
      <c r="I33" s="12">
        <v>0</v>
      </c>
    </row>
    <row r="34" spans="2:9" ht="15" customHeight="1" x14ac:dyDescent="0.2">
      <c r="B34" t="s">
        <v>112</v>
      </c>
      <c r="C34" s="12">
        <v>42</v>
      </c>
      <c r="D34" s="8">
        <v>2.57</v>
      </c>
      <c r="E34" s="12">
        <v>30</v>
      </c>
      <c r="F34" s="8">
        <v>3.31</v>
      </c>
      <c r="G34" s="12">
        <v>12</v>
      </c>
      <c r="H34" s="8">
        <v>1.7</v>
      </c>
      <c r="I34" s="12">
        <v>0</v>
      </c>
    </row>
    <row r="35" spans="2:9" ht="15" customHeight="1" x14ac:dyDescent="0.2">
      <c r="B35" t="s">
        <v>118</v>
      </c>
      <c r="C35" s="12">
        <v>42</v>
      </c>
      <c r="D35" s="8">
        <v>2.57</v>
      </c>
      <c r="E35" s="12">
        <v>42</v>
      </c>
      <c r="F35" s="8">
        <v>4.6399999999999997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105</v>
      </c>
      <c r="C36" s="12">
        <v>41</v>
      </c>
      <c r="D36" s="8">
        <v>2.5</v>
      </c>
      <c r="E36" s="12">
        <v>15</v>
      </c>
      <c r="F36" s="8">
        <v>1.66</v>
      </c>
      <c r="G36" s="12">
        <v>26</v>
      </c>
      <c r="H36" s="8">
        <v>3.68</v>
      </c>
      <c r="I36" s="12">
        <v>0</v>
      </c>
    </row>
    <row r="37" spans="2:9" ht="15" customHeight="1" x14ac:dyDescent="0.2">
      <c r="B37" t="s">
        <v>104</v>
      </c>
      <c r="C37" s="12">
        <v>31</v>
      </c>
      <c r="D37" s="8">
        <v>1.89</v>
      </c>
      <c r="E37" s="12">
        <v>10</v>
      </c>
      <c r="F37" s="8">
        <v>1.1000000000000001</v>
      </c>
      <c r="G37" s="12">
        <v>21</v>
      </c>
      <c r="H37" s="8">
        <v>2.97</v>
      </c>
      <c r="I37" s="12">
        <v>0</v>
      </c>
    </row>
    <row r="38" spans="2:9" ht="15" customHeight="1" x14ac:dyDescent="0.2">
      <c r="B38" t="s">
        <v>113</v>
      </c>
      <c r="C38" s="12">
        <v>30</v>
      </c>
      <c r="D38" s="8">
        <v>1.83</v>
      </c>
      <c r="E38" s="12">
        <v>18</v>
      </c>
      <c r="F38" s="8">
        <v>1.99</v>
      </c>
      <c r="G38" s="12">
        <v>12</v>
      </c>
      <c r="H38" s="8">
        <v>1.7</v>
      </c>
      <c r="I38" s="12">
        <v>0</v>
      </c>
    </row>
    <row r="39" spans="2:9" ht="15" customHeight="1" x14ac:dyDescent="0.2">
      <c r="B39" t="s">
        <v>125</v>
      </c>
      <c r="C39" s="12">
        <v>28</v>
      </c>
      <c r="D39" s="8">
        <v>1.71</v>
      </c>
      <c r="E39" s="12">
        <v>3</v>
      </c>
      <c r="F39" s="8">
        <v>0.33</v>
      </c>
      <c r="G39" s="12">
        <v>25</v>
      </c>
      <c r="H39" s="8">
        <v>3.54</v>
      </c>
      <c r="I39" s="12">
        <v>0</v>
      </c>
    </row>
    <row r="40" spans="2:9" ht="15" customHeight="1" x14ac:dyDescent="0.2">
      <c r="B40" t="s">
        <v>119</v>
      </c>
      <c r="C40" s="12">
        <v>28</v>
      </c>
      <c r="D40" s="8">
        <v>1.71</v>
      </c>
      <c r="E40" s="12">
        <v>0</v>
      </c>
      <c r="F40" s="8">
        <v>0</v>
      </c>
      <c r="G40" s="12">
        <v>24</v>
      </c>
      <c r="H40" s="8">
        <v>3.4</v>
      </c>
      <c r="I40" s="12">
        <v>1</v>
      </c>
    </row>
    <row r="41" spans="2:9" ht="15" customHeight="1" x14ac:dyDescent="0.2">
      <c r="B41" t="s">
        <v>107</v>
      </c>
      <c r="C41" s="12">
        <v>27</v>
      </c>
      <c r="D41" s="8">
        <v>1.65</v>
      </c>
      <c r="E41" s="12">
        <v>10</v>
      </c>
      <c r="F41" s="8">
        <v>1.1000000000000001</v>
      </c>
      <c r="G41" s="12">
        <v>17</v>
      </c>
      <c r="H41" s="8">
        <v>2.41</v>
      </c>
      <c r="I41" s="12">
        <v>0</v>
      </c>
    </row>
    <row r="42" spans="2:9" ht="15" customHeight="1" x14ac:dyDescent="0.2">
      <c r="B42" t="s">
        <v>127</v>
      </c>
      <c r="C42" s="12">
        <v>24</v>
      </c>
      <c r="D42" s="8">
        <v>1.47</v>
      </c>
      <c r="E42" s="12">
        <v>2</v>
      </c>
      <c r="F42" s="8">
        <v>0.22</v>
      </c>
      <c r="G42" s="12">
        <v>22</v>
      </c>
      <c r="H42" s="8">
        <v>3.12</v>
      </c>
      <c r="I42" s="12">
        <v>0</v>
      </c>
    </row>
    <row r="43" spans="2:9" ht="15" customHeight="1" x14ac:dyDescent="0.2">
      <c r="B43" t="s">
        <v>120</v>
      </c>
      <c r="C43" s="12">
        <v>21</v>
      </c>
      <c r="D43" s="8">
        <v>1.28</v>
      </c>
      <c r="E43" s="12">
        <v>16</v>
      </c>
      <c r="F43" s="8">
        <v>1.77</v>
      </c>
      <c r="G43" s="12">
        <v>5</v>
      </c>
      <c r="H43" s="8">
        <v>0.71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183</v>
      </c>
      <c r="C47" s="12">
        <v>137</v>
      </c>
      <c r="D47" s="8">
        <v>8.3699999999999992</v>
      </c>
      <c r="E47" s="12">
        <v>127</v>
      </c>
      <c r="F47" s="8">
        <v>14.03</v>
      </c>
      <c r="G47" s="12">
        <v>10</v>
      </c>
      <c r="H47" s="8">
        <v>1.42</v>
      </c>
      <c r="I47" s="12">
        <v>0</v>
      </c>
    </row>
    <row r="48" spans="2:9" ht="15" customHeight="1" x14ac:dyDescent="0.2">
      <c r="B48" t="s">
        <v>191</v>
      </c>
      <c r="C48" s="12">
        <v>92</v>
      </c>
      <c r="D48" s="8">
        <v>5.62</v>
      </c>
      <c r="E48" s="12">
        <v>86</v>
      </c>
      <c r="F48" s="8">
        <v>9.5</v>
      </c>
      <c r="G48" s="12">
        <v>6</v>
      </c>
      <c r="H48" s="8">
        <v>0.85</v>
      </c>
      <c r="I48" s="12">
        <v>0</v>
      </c>
    </row>
    <row r="49" spans="2:9" ht="15" customHeight="1" x14ac:dyDescent="0.2">
      <c r="B49" t="s">
        <v>190</v>
      </c>
      <c r="C49" s="12">
        <v>50</v>
      </c>
      <c r="D49" s="8">
        <v>3.05</v>
      </c>
      <c r="E49" s="12">
        <v>48</v>
      </c>
      <c r="F49" s="8">
        <v>5.3</v>
      </c>
      <c r="G49" s="12">
        <v>2</v>
      </c>
      <c r="H49" s="8">
        <v>0.28000000000000003</v>
      </c>
      <c r="I49" s="12">
        <v>0</v>
      </c>
    </row>
    <row r="50" spans="2:9" ht="15" customHeight="1" x14ac:dyDescent="0.2">
      <c r="B50" t="s">
        <v>174</v>
      </c>
      <c r="C50" s="12">
        <v>48</v>
      </c>
      <c r="D50" s="8">
        <v>2.93</v>
      </c>
      <c r="E50" s="12">
        <v>12</v>
      </c>
      <c r="F50" s="8">
        <v>1.33</v>
      </c>
      <c r="G50" s="12">
        <v>36</v>
      </c>
      <c r="H50" s="8">
        <v>5.0999999999999996</v>
      </c>
      <c r="I50" s="12">
        <v>0</v>
      </c>
    </row>
    <row r="51" spans="2:9" ht="15" customHeight="1" x14ac:dyDescent="0.2">
      <c r="B51" t="s">
        <v>187</v>
      </c>
      <c r="C51" s="12">
        <v>41</v>
      </c>
      <c r="D51" s="8">
        <v>2.5</v>
      </c>
      <c r="E51" s="12">
        <v>33</v>
      </c>
      <c r="F51" s="8">
        <v>3.65</v>
      </c>
      <c r="G51" s="12">
        <v>8</v>
      </c>
      <c r="H51" s="8">
        <v>1.1299999999999999</v>
      </c>
      <c r="I51" s="12">
        <v>0</v>
      </c>
    </row>
    <row r="52" spans="2:9" ht="15" customHeight="1" x14ac:dyDescent="0.2">
      <c r="B52" t="s">
        <v>193</v>
      </c>
      <c r="C52" s="12">
        <v>37</v>
      </c>
      <c r="D52" s="8">
        <v>2.2599999999999998</v>
      </c>
      <c r="E52" s="12">
        <v>37</v>
      </c>
      <c r="F52" s="8">
        <v>4.09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188</v>
      </c>
      <c r="C53" s="12">
        <v>35</v>
      </c>
      <c r="D53" s="8">
        <v>2.14</v>
      </c>
      <c r="E53" s="12">
        <v>33</v>
      </c>
      <c r="F53" s="8">
        <v>3.65</v>
      </c>
      <c r="G53" s="12">
        <v>2</v>
      </c>
      <c r="H53" s="8">
        <v>0.28000000000000003</v>
      </c>
      <c r="I53" s="12">
        <v>0</v>
      </c>
    </row>
    <row r="54" spans="2:9" ht="15" customHeight="1" x14ac:dyDescent="0.2">
      <c r="B54" t="s">
        <v>189</v>
      </c>
      <c r="C54" s="12">
        <v>32</v>
      </c>
      <c r="D54" s="8">
        <v>1.95</v>
      </c>
      <c r="E54" s="12">
        <v>30</v>
      </c>
      <c r="F54" s="8">
        <v>3.31</v>
      </c>
      <c r="G54" s="12">
        <v>2</v>
      </c>
      <c r="H54" s="8">
        <v>0.28000000000000003</v>
      </c>
      <c r="I54" s="12">
        <v>0</v>
      </c>
    </row>
    <row r="55" spans="2:9" ht="15" customHeight="1" x14ac:dyDescent="0.2">
      <c r="B55" t="s">
        <v>192</v>
      </c>
      <c r="C55" s="12">
        <v>32</v>
      </c>
      <c r="D55" s="8">
        <v>1.95</v>
      </c>
      <c r="E55" s="12">
        <v>26</v>
      </c>
      <c r="F55" s="8">
        <v>2.87</v>
      </c>
      <c r="G55" s="12">
        <v>6</v>
      </c>
      <c r="H55" s="8">
        <v>0.85</v>
      </c>
      <c r="I55" s="12">
        <v>0</v>
      </c>
    </row>
    <row r="56" spans="2:9" ht="15" customHeight="1" x14ac:dyDescent="0.2">
      <c r="B56" t="s">
        <v>178</v>
      </c>
      <c r="C56" s="12">
        <v>26</v>
      </c>
      <c r="D56" s="8">
        <v>1.59</v>
      </c>
      <c r="E56" s="12">
        <v>8</v>
      </c>
      <c r="F56" s="8">
        <v>0.88</v>
      </c>
      <c r="G56" s="12">
        <v>18</v>
      </c>
      <c r="H56" s="8">
        <v>2.5499999999999998</v>
      </c>
      <c r="I56" s="12">
        <v>0</v>
      </c>
    </row>
    <row r="57" spans="2:9" ht="15" customHeight="1" x14ac:dyDescent="0.2">
      <c r="B57" t="s">
        <v>194</v>
      </c>
      <c r="C57" s="12">
        <v>26</v>
      </c>
      <c r="D57" s="8">
        <v>1.59</v>
      </c>
      <c r="E57" s="12">
        <v>10</v>
      </c>
      <c r="F57" s="8">
        <v>1.1000000000000001</v>
      </c>
      <c r="G57" s="12">
        <v>16</v>
      </c>
      <c r="H57" s="8">
        <v>2.27</v>
      </c>
      <c r="I57" s="12">
        <v>0</v>
      </c>
    </row>
    <row r="58" spans="2:9" ht="15" customHeight="1" x14ac:dyDescent="0.2">
      <c r="B58" t="s">
        <v>181</v>
      </c>
      <c r="C58" s="12">
        <v>26</v>
      </c>
      <c r="D58" s="8">
        <v>1.59</v>
      </c>
      <c r="E58" s="12">
        <v>17</v>
      </c>
      <c r="F58" s="8">
        <v>1.88</v>
      </c>
      <c r="G58" s="12">
        <v>9</v>
      </c>
      <c r="H58" s="8">
        <v>1.27</v>
      </c>
      <c r="I58" s="12">
        <v>0</v>
      </c>
    </row>
    <row r="59" spans="2:9" ht="15" customHeight="1" x14ac:dyDescent="0.2">
      <c r="B59" t="s">
        <v>180</v>
      </c>
      <c r="C59" s="12">
        <v>24</v>
      </c>
      <c r="D59" s="8">
        <v>1.47</v>
      </c>
      <c r="E59" s="12">
        <v>16</v>
      </c>
      <c r="F59" s="8">
        <v>1.77</v>
      </c>
      <c r="G59" s="12">
        <v>8</v>
      </c>
      <c r="H59" s="8">
        <v>1.1299999999999999</v>
      </c>
      <c r="I59" s="12">
        <v>0</v>
      </c>
    </row>
    <row r="60" spans="2:9" ht="15" customHeight="1" x14ac:dyDescent="0.2">
      <c r="B60" t="s">
        <v>186</v>
      </c>
      <c r="C60" s="12">
        <v>22</v>
      </c>
      <c r="D60" s="8">
        <v>1.34</v>
      </c>
      <c r="E60" s="12">
        <v>15</v>
      </c>
      <c r="F60" s="8">
        <v>1.66</v>
      </c>
      <c r="G60" s="12">
        <v>7</v>
      </c>
      <c r="H60" s="8">
        <v>0.99</v>
      </c>
      <c r="I60" s="12">
        <v>0</v>
      </c>
    </row>
    <row r="61" spans="2:9" ht="15" customHeight="1" x14ac:dyDescent="0.2">
      <c r="B61" t="s">
        <v>175</v>
      </c>
      <c r="C61" s="12">
        <v>21</v>
      </c>
      <c r="D61" s="8">
        <v>1.28</v>
      </c>
      <c r="E61" s="12">
        <v>4</v>
      </c>
      <c r="F61" s="8">
        <v>0.44</v>
      </c>
      <c r="G61" s="12">
        <v>17</v>
      </c>
      <c r="H61" s="8">
        <v>2.41</v>
      </c>
      <c r="I61" s="12">
        <v>0</v>
      </c>
    </row>
    <row r="62" spans="2:9" ht="15" customHeight="1" x14ac:dyDescent="0.2">
      <c r="B62" t="s">
        <v>184</v>
      </c>
      <c r="C62" s="12">
        <v>21</v>
      </c>
      <c r="D62" s="8">
        <v>1.28</v>
      </c>
      <c r="E62" s="12">
        <v>11</v>
      </c>
      <c r="F62" s="8">
        <v>1.22</v>
      </c>
      <c r="G62" s="12">
        <v>10</v>
      </c>
      <c r="H62" s="8">
        <v>1.42</v>
      </c>
      <c r="I62" s="12">
        <v>0</v>
      </c>
    </row>
    <row r="63" spans="2:9" ht="15" customHeight="1" x14ac:dyDescent="0.2">
      <c r="B63" t="s">
        <v>200</v>
      </c>
      <c r="C63" s="12">
        <v>21</v>
      </c>
      <c r="D63" s="8">
        <v>1.28</v>
      </c>
      <c r="E63" s="12">
        <v>16</v>
      </c>
      <c r="F63" s="8">
        <v>1.77</v>
      </c>
      <c r="G63" s="12">
        <v>5</v>
      </c>
      <c r="H63" s="8">
        <v>0.71</v>
      </c>
      <c r="I63" s="12">
        <v>0</v>
      </c>
    </row>
    <row r="64" spans="2:9" ht="15" customHeight="1" x14ac:dyDescent="0.2">
      <c r="B64" t="s">
        <v>204</v>
      </c>
      <c r="C64" s="12">
        <v>20</v>
      </c>
      <c r="D64" s="8">
        <v>1.22</v>
      </c>
      <c r="E64" s="12">
        <v>9</v>
      </c>
      <c r="F64" s="8">
        <v>0.99</v>
      </c>
      <c r="G64" s="12">
        <v>11</v>
      </c>
      <c r="H64" s="8">
        <v>1.56</v>
      </c>
      <c r="I64" s="12">
        <v>0</v>
      </c>
    </row>
    <row r="65" spans="2:9" ht="15" customHeight="1" x14ac:dyDescent="0.2">
      <c r="B65" t="s">
        <v>177</v>
      </c>
      <c r="C65" s="12">
        <v>18</v>
      </c>
      <c r="D65" s="8">
        <v>1.1000000000000001</v>
      </c>
      <c r="E65" s="12">
        <v>6</v>
      </c>
      <c r="F65" s="8">
        <v>0.66</v>
      </c>
      <c r="G65" s="12">
        <v>12</v>
      </c>
      <c r="H65" s="8">
        <v>1.7</v>
      </c>
      <c r="I65" s="12">
        <v>0</v>
      </c>
    </row>
    <row r="66" spans="2:9" ht="15" customHeight="1" x14ac:dyDescent="0.2">
      <c r="B66" t="s">
        <v>179</v>
      </c>
      <c r="C66" s="12">
        <v>18</v>
      </c>
      <c r="D66" s="8">
        <v>1.1000000000000001</v>
      </c>
      <c r="E66" s="12">
        <v>11</v>
      </c>
      <c r="F66" s="8">
        <v>1.22</v>
      </c>
      <c r="G66" s="12">
        <v>7</v>
      </c>
      <c r="H66" s="8">
        <v>0.99</v>
      </c>
      <c r="I66" s="12">
        <v>0</v>
      </c>
    </row>
    <row r="67" spans="2:9" ht="15" customHeight="1" x14ac:dyDescent="0.2">
      <c r="B67" t="s">
        <v>198</v>
      </c>
      <c r="C67" s="12">
        <v>18</v>
      </c>
      <c r="D67" s="8">
        <v>1.1000000000000001</v>
      </c>
      <c r="E67" s="12">
        <v>17</v>
      </c>
      <c r="F67" s="8">
        <v>1.88</v>
      </c>
      <c r="G67" s="12">
        <v>1</v>
      </c>
      <c r="H67" s="8">
        <v>0.14000000000000001</v>
      </c>
      <c r="I67" s="12">
        <v>0</v>
      </c>
    </row>
    <row r="68" spans="2:9" ht="15" customHeight="1" x14ac:dyDescent="0.2">
      <c r="B68" t="s">
        <v>199</v>
      </c>
      <c r="C68" s="12">
        <v>18</v>
      </c>
      <c r="D68" s="8">
        <v>1.1000000000000001</v>
      </c>
      <c r="E68" s="12">
        <v>14</v>
      </c>
      <c r="F68" s="8">
        <v>1.55</v>
      </c>
      <c r="G68" s="12">
        <v>4</v>
      </c>
      <c r="H68" s="8">
        <v>0.56999999999999995</v>
      </c>
      <c r="I68" s="12">
        <v>0</v>
      </c>
    </row>
    <row r="70" spans="2:9" ht="15" customHeight="1" x14ac:dyDescent="0.2">
      <c r="B70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00405-BC2B-4AFB-9865-B79A321286AE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384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165</v>
      </c>
      <c r="D6" s="8">
        <v>20.86</v>
      </c>
      <c r="E6" s="12">
        <v>86</v>
      </c>
      <c r="F6" s="8">
        <v>19.82</v>
      </c>
      <c r="G6" s="12">
        <v>79</v>
      </c>
      <c r="H6" s="8">
        <v>23.94</v>
      </c>
      <c r="I6" s="12">
        <v>0</v>
      </c>
    </row>
    <row r="7" spans="2:9" ht="15" customHeight="1" x14ac:dyDescent="0.2">
      <c r="B7" t="s">
        <v>80</v>
      </c>
      <c r="C7" s="12">
        <v>117</v>
      </c>
      <c r="D7" s="8">
        <v>14.79</v>
      </c>
      <c r="E7" s="12">
        <v>47</v>
      </c>
      <c r="F7" s="8">
        <v>10.83</v>
      </c>
      <c r="G7" s="12">
        <v>69</v>
      </c>
      <c r="H7" s="8">
        <v>20.91</v>
      </c>
      <c r="I7" s="12">
        <v>1</v>
      </c>
    </row>
    <row r="8" spans="2:9" ht="15" customHeight="1" x14ac:dyDescent="0.2">
      <c r="B8" t="s">
        <v>81</v>
      </c>
      <c r="C8" s="12">
        <v>5</v>
      </c>
      <c r="D8" s="8">
        <v>0.63</v>
      </c>
      <c r="E8" s="12">
        <v>1</v>
      </c>
      <c r="F8" s="8">
        <v>0.23</v>
      </c>
      <c r="G8" s="12">
        <v>4</v>
      </c>
      <c r="H8" s="8">
        <v>1.21</v>
      </c>
      <c r="I8" s="12">
        <v>0</v>
      </c>
    </row>
    <row r="9" spans="2:9" ht="15" customHeight="1" x14ac:dyDescent="0.2">
      <c r="B9" t="s">
        <v>82</v>
      </c>
      <c r="C9" s="12">
        <v>9</v>
      </c>
      <c r="D9" s="8">
        <v>1.1399999999999999</v>
      </c>
      <c r="E9" s="12">
        <v>2</v>
      </c>
      <c r="F9" s="8">
        <v>0.46</v>
      </c>
      <c r="G9" s="12">
        <v>7</v>
      </c>
      <c r="H9" s="8">
        <v>2.12</v>
      </c>
      <c r="I9" s="12">
        <v>0</v>
      </c>
    </row>
    <row r="10" spans="2:9" ht="15" customHeight="1" x14ac:dyDescent="0.2">
      <c r="B10" t="s">
        <v>83</v>
      </c>
      <c r="C10" s="12">
        <v>3</v>
      </c>
      <c r="D10" s="8">
        <v>0.38</v>
      </c>
      <c r="E10" s="12">
        <v>0</v>
      </c>
      <c r="F10" s="8">
        <v>0</v>
      </c>
      <c r="G10" s="12">
        <v>3</v>
      </c>
      <c r="H10" s="8">
        <v>0.91</v>
      </c>
      <c r="I10" s="12">
        <v>0</v>
      </c>
    </row>
    <row r="11" spans="2:9" ht="15" customHeight="1" x14ac:dyDescent="0.2">
      <c r="B11" t="s">
        <v>84</v>
      </c>
      <c r="C11" s="12">
        <v>168</v>
      </c>
      <c r="D11" s="8">
        <v>21.24</v>
      </c>
      <c r="E11" s="12">
        <v>81</v>
      </c>
      <c r="F11" s="8">
        <v>18.66</v>
      </c>
      <c r="G11" s="12">
        <v>85</v>
      </c>
      <c r="H11" s="8">
        <v>25.76</v>
      </c>
      <c r="I11" s="12">
        <v>0</v>
      </c>
    </row>
    <row r="12" spans="2:9" ht="15" customHeight="1" x14ac:dyDescent="0.2">
      <c r="B12" t="s">
        <v>85</v>
      </c>
      <c r="C12" s="12">
        <v>2</v>
      </c>
      <c r="D12" s="8">
        <v>0.25</v>
      </c>
      <c r="E12" s="12">
        <v>1</v>
      </c>
      <c r="F12" s="8">
        <v>0.23</v>
      </c>
      <c r="G12" s="12">
        <v>1</v>
      </c>
      <c r="H12" s="8">
        <v>0.3</v>
      </c>
      <c r="I12" s="12">
        <v>0</v>
      </c>
    </row>
    <row r="13" spans="2:9" ht="15" customHeight="1" x14ac:dyDescent="0.2">
      <c r="B13" t="s">
        <v>86</v>
      </c>
      <c r="C13" s="12">
        <v>35</v>
      </c>
      <c r="D13" s="8">
        <v>4.42</v>
      </c>
      <c r="E13" s="12">
        <v>16</v>
      </c>
      <c r="F13" s="8">
        <v>3.69</v>
      </c>
      <c r="G13" s="12">
        <v>19</v>
      </c>
      <c r="H13" s="8">
        <v>5.76</v>
      </c>
      <c r="I13" s="12">
        <v>0</v>
      </c>
    </row>
    <row r="14" spans="2:9" ht="15" customHeight="1" x14ac:dyDescent="0.2">
      <c r="B14" t="s">
        <v>87</v>
      </c>
      <c r="C14" s="12">
        <v>26</v>
      </c>
      <c r="D14" s="8">
        <v>3.29</v>
      </c>
      <c r="E14" s="12">
        <v>16</v>
      </c>
      <c r="F14" s="8">
        <v>3.69</v>
      </c>
      <c r="G14" s="12">
        <v>10</v>
      </c>
      <c r="H14" s="8">
        <v>3.03</v>
      </c>
      <c r="I14" s="12">
        <v>0</v>
      </c>
    </row>
    <row r="15" spans="2:9" ht="15" customHeight="1" x14ac:dyDescent="0.2">
      <c r="B15" t="s">
        <v>88</v>
      </c>
      <c r="C15" s="12">
        <v>90</v>
      </c>
      <c r="D15" s="8">
        <v>11.38</v>
      </c>
      <c r="E15" s="12">
        <v>76</v>
      </c>
      <c r="F15" s="8">
        <v>17.510000000000002</v>
      </c>
      <c r="G15" s="12">
        <v>13</v>
      </c>
      <c r="H15" s="8">
        <v>3.94</v>
      </c>
      <c r="I15" s="12">
        <v>0</v>
      </c>
    </row>
    <row r="16" spans="2:9" ht="15" customHeight="1" x14ac:dyDescent="0.2">
      <c r="B16" t="s">
        <v>89</v>
      </c>
      <c r="C16" s="12">
        <v>80</v>
      </c>
      <c r="D16" s="8">
        <v>10.11</v>
      </c>
      <c r="E16" s="12">
        <v>65</v>
      </c>
      <c r="F16" s="8">
        <v>14.98</v>
      </c>
      <c r="G16" s="12">
        <v>13</v>
      </c>
      <c r="H16" s="8">
        <v>3.94</v>
      </c>
      <c r="I16" s="12">
        <v>0</v>
      </c>
    </row>
    <row r="17" spans="2:9" ht="15" customHeight="1" x14ac:dyDescent="0.2">
      <c r="B17" t="s">
        <v>90</v>
      </c>
      <c r="C17" s="12">
        <v>26</v>
      </c>
      <c r="D17" s="8">
        <v>3.29</v>
      </c>
      <c r="E17" s="12">
        <v>11</v>
      </c>
      <c r="F17" s="8">
        <v>2.5299999999999998</v>
      </c>
      <c r="G17" s="12">
        <v>6</v>
      </c>
      <c r="H17" s="8">
        <v>1.82</v>
      </c>
      <c r="I17" s="12">
        <v>0</v>
      </c>
    </row>
    <row r="18" spans="2:9" ht="15" customHeight="1" x14ac:dyDescent="0.2">
      <c r="B18" t="s">
        <v>91</v>
      </c>
      <c r="C18" s="12">
        <v>34</v>
      </c>
      <c r="D18" s="8">
        <v>4.3</v>
      </c>
      <c r="E18" s="12">
        <v>18</v>
      </c>
      <c r="F18" s="8">
        <v>4.1500000000000004</v>
      </c>
      <c r="G18" s="12">
        <v>6</v>
      </c>
      <c r="H18" s="8">
        <v>1.82</v>
      </c>
      <c r="I18" s="12">
        <v>1</v>
      </c>
    </row>
    <row r="19" spans="2:9" ht="15" customHeight="1" x14ac:dyDescent="0.2">
      <c r="B19" t="s">
        <v>92</v>
      </c>
      <c r="C19" s="12">
        <v>31</v>
      </c>
      <c r="D19" s="8">
        <v>3.92</v>
      </c>
      <c r="E19" s="12">
        <v>14</v>
      </c>
      <c r="F19" s="8">
        <v>3.23</v>
      </c>
      <c r="G19" s="12">
        <v>15</v>
      </c>
      <c r="H19" s="8">
        <v>4.55</v>
      </c>
      <c r="I19" s="12">
        <v>0</v>
      </c>
    </row>
    <row r="20" spans="2:9" ht="15" customHeight="1" x14ac:dyDescent="0.2">
      <c r="B20" s="9" t="s">
        <v>363</v>
      </c>
      <c r="C20" s="12">
        <f>SUM(LTBL_20219[総数／事業所数])</f>
        <v>791</v>
      </c>
      <c r="E20" s="12">
        <f>SUBTOTAL(109,LTBL_20219[個人／事業所数])</f>
        <v>434</v>
      </c>
      <c r="G20" s="12">
        <f>SUBTOTAL(109,LTBL_20219[法人／事業所数])</f>
        <v>330</v>
      </c>
      <c r="I20" s="12">
        <f>SUBTOTAL(109,LTBL_20219[法人以外の団体／事業所数])</f>
        <v>2</v>
      </c>
    </row>
    <row r="21" spans="2:9" ht="15" customHeight="1" x14ac:dyDescent="0.2">
      <c r="E21" s="11">
        <f>LTBL_20219[[#Totals],[個人／事業所数]]/LTBL_20219[[#Totals],[総数／事業所数]]</f>
        <v>0.54867256637168138</v>
      </c>
      <c r="G21" s="11">
        <f>LTBL_20219[[#Totals],[法人／事業所数]]/LTBL_20219[[#Totals],[総数／事業所数]]</f>
        <v>0.41719342604298354</v>
      </c>
      <c r="I21" s="11">
        <f>LTBL_20219[[#Totals],[法人以外の団体／事業所数]]/LTBL_20219[[#Totals],[総数／事業所数]]</f>
        <v>2.5284450063211127E-3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101</v>
      </c>
      <c r="C24" s="12">
        <v>80</v>
      </c>
      <c r="D24" s="8">
        <v>10.11</v>
      </c>
      <c r="E24" s="12">
        <v>35</v>
      </c>
      <c r="F24" s="8">
        <v>8.06</v>
      </c>
      <c r="G24" s="12">
        <v>45</v>
      </c>
      <c r="H24" s="8">
        <v>13.64</v>
      </c>
      <c r="I24" s="12">
        <v>0</v>
      </c>
    </row>
    <row r="25" spans="2:9" ht="15" customHeight="1" x14ac:dyDescent="0.2">
      <c r="B25" t="s">
        <v>115</v>
      </c>
      <c r="C25" s="12">
        <v>73</v>
      </c>
      <c r="D25" s="8">
        <v>9.23</v>
      </c>
      <c r="E25" s="12">
        <v>69</v>
      </c>
      <c r="F25" s="8">
        <v>15.9</v>
      </c>
      <c r="G25" s="12">
        <v>4</v>
      </c>
      <c r="H25" s="8">
        <v>1.21</v>
      </c>
      <c r="I25" s="12">
        <v>0</v>
      </c>
    </row>
    <row r="26" spans="2:9" ht="15" customHeight="1" x14ac:dyDescent="0.2">
      <c r="B26" t="s">
        <v>116</v>
      </c>
      <c r="C26" s="12">
        <v>69</v>
      </c>
      <c r="D26" s="8">
        <v>8.7200000000000006</v>
      </c>
      <c r="E26" s="12">
        <v>62</v>
      </c>
      <c r="F26" s="8">
        <v>14.29</v>
      </c>
      <c r="G26" s="12">
        <v>6</v>
      </c>
      <c r="H26" s="8">
        <v>1.82</v>
      </c>
      <c r="I26" s="12">
        <v>0</v>
      </c>
    </row>
    <row r="27" spans="2:9" ht="15" customHeight="1" x14ac:dyDescent="0.2">
      <c r="B27" t="s">
        <v>102</v>
      </c>
      <c r="C27" s="12">
        <v>48</v>
      </c>
      <c r="D27" s="8">
        <v>6.07</v>
      </c>
      <c r="E27" s="12">
        <v>35</v>
      </c>
      <c r="F27" s="8">
        <v>8.06</v>
      </c>
      <c r="G27" s="12">
        <v>13</v>
      </c>
      <c r="H27" s="8">
        <v>3.94</v>
      </c>
      <c r="I27" s="12">
        <v>0</v>
      </c>
    </row>
    <row r="28" spans="2:9" ht="15" customHeight="1" x14ac:dyDescent="0.2">
      <c r="B28" t="s">
        <v>110</v>
      </c>
      <c r="C28" s="12">
        <v>46</v>
      </c>
      <c r="D28" s="8">
        <v>5.82</v>
      </c>
      <c r="E28" s="12">
        <v>26</v>
      </c>
      <c r="F28" s="8">
        <v>5.99</v>
      </c>
      <c r="G28" s="12">
        <v>20</v>
      </c>
      <c r="H28" s="8">
        <v>6.06</v>
      </c>
      <c r="I28" s="12">
        <v>0</v>
      </c>
    </row>
    <row r="29" spans="2:9" ht="15" customHeight="1" x14ac:dyDescent="0.2">
      <c r="B29" t="s">
        <v>103</v>
      </c>
      <c r="C29" s="12">
        <v>37</v>
      </c>
      <c r="D29" s="8">
        <v>4.68</v>
      </c>
      <c r="E29" s="12">
        <v>16</v>
      </c>
      <c r="F29" s="8">
        <v>3.69</v>
      </c>
      <c r="G29" s="12">
        <v>21</v>
      </c>
      <c r="H29" s="8">
        <v>6.36</v>
      </c>
      <c r="I29" s="12">
        <v>0</v>
      </c>
    </row>
    <row r="30" spans="2:9" ht="15" customHeight="1" x14ac:dyDescent="0.2">
      <c r="B30" t="s">
        <v>109</v>
      </c>
      <c r="C30" s="12">
        <v>36</v>
      </c>
      <c r="D30" s="8">
        <v>4.55</v>
      </c>
      <c r="E30" s="12">
        <v>20</v>
      </c>
      <c r="F30" s="8">
        <v>4.6100000000000003</v>
      </c>
      <c r="G30" s="12">
        <v>16</v>
      </c>
      <c r="H30" s="8">
        <v>4.8499999999999996</v>
      </c>
      <c r="I30" s="12">
        <v>0</v>
      </c>
    </row>
    <row r="31" spans="2:9" ht="15" customHeight="1" x14ac:dyDescent="0.2">
      <c r="B31" t="s">
        <v>108</v>
      </c>
      <c r="C31" s="12">
        <v>34</v>
      </c>
      <c r="D31" s="8">
        <v>4.3</v>
      </c>
      <c r="E31" s="12">
        <v>22</v>
      </c>
      <c r="F31" s="8">
        <v>5.07</v>
      </c>
      <c r="G31" s="12">
        <v>10</v>
      </c>
      <c r="H31" s="8">
        <v>3.03</v>
      </c>
      <c r="I31" s="12">
        <v>0</v>
      </c>
    </row>
    <row r="32" spans="2:9" ht="15" customHeight="1" x14ac:dyDescent="0.2">
      <c r="B32" t="s">
        <v>111</v>
      </c>
      <c r="C32" s="12">
        <v>26</v>
      </c>
      <c r="D32" s="8">
        <v>3.29</v>
      </c>
      <c r="E32" s="12">
        <v>14</v>
      </c>
      <c r="F32" s="8">
        <v>3.23</v>
      </c>
      <c r="G32" s="12">
        <v>12</v>
      </c>
      <c r="H32" s="8">
        <v>3.64</v>
      </c>
      <c r="I32" s="12">
        <v>0</v>
      </c>
    </row>
    <row r="33" spans="2:9" ht="15" customHeight="1" x14ac:dyDescent="0.2">
      <c r="B33" t="s">
        <v>117</v>
      </c>
      <c r="C33" s="12">
        <v>26</v>
      </c>
      <c r="D33" s="8">
        <v>3.29</v>
      </c>
      <c r="E33" s="12">
        <v>11</v>
      </c>
      <c r="F33" s="8">
        <v>2.5299999999999998</v>
      </c>
      <c r="G33" s="12">
        <v>6</v>
      </c>
      <c r="H33" s="8">
        <v>1.82</v>
      </c>
      <c r="I33" s="12">
        <v>0</v>
      </c>
    </row>
    <row r="34" spans="2:9" ht="15" customHeight="1" x14ac:dyDescent="0.2">
      <c r="B34" t="s">
        <v>118</v>
      </c>
      <c r="C34" s="12">
        <v>20</v>
      </c>
      <c r="D34" s="8">
        <v>2.5299999999999998</v>
      </c>
      <c r="E34" s="12">
        <v>18</v>
      </c>
      <c r="F34" s="8">
        <v>4.1500000000000004</v>
      </c>
      <c r="G34" s="12">
        <v>2</v>
      </c>
      <c r="H34" s="8">
        <v>0.61</v>
      </c>
      <c r="I34" s="12">
        <v>0</v>
      </c>
    </row>
    <row r="35" spans="2:9" ht="15" customHeight="1" x14ac:dyDescent="0.2">
      <c r="B35" t="s">
        <v>104</v>
      </c>
      <c r="C35" s="12">
        <v>18</v>
      </c>
      <c r="D35" s="8">
        <v>2.2799999999999998</v>
      </c>
      <c r="E35" s="12">
        <v>12</v>
      </c>
      <c r="F35" s="8">
        <v>2.76</v>
      </c>
      <c r="G35" s="12">
        <v>6</v>
      </c>
      <c r="H35" s="8">
        <v>1.82</v>
      </c>
      <c r="I35" s="12">
        <v>0</v>
      </c>
    </row>
    <row r="36" spans="2:9" ht="15" customHeight="1" x14ac:dyDescent="0.2">
      <c r="B36" t="s">
        <v>121</v>
      </c>
      <c r="C36" s="12">
        <v>17</v>
      </c>
      <c r="D36" s="8">
        <v>2.15</v>
      </c>
      <c r="E36" s="12">
        <v>2</v>
      </c>
      <c r="F36" s="8">
        <v>0.46</v>
      </c>
      <c r="G36" s="12">
        <v>15</v>
      </c>
      <c r="H36" s="8">
        <v>4.55</v>
      </c>
      <c r="I36" s="12">
        <v>0</v>
      </c>
    </row>
    <row r="37" spans="2:9" ht="15" customHeight="1" x14ac:dyDescent="0.2">
      <c r="B37" t="s">
        <v>105</v>
      </c>
      <c r="C37" s="12">
        <v>14</v>
      </c>
      <c r="D37" s="8">
        <v>1.77</v>
      </c>
      <c r="E37" s="12">
        <v>2</v>
      </c>
      <c r="F37" s="8">
        <v>0.46</v>
      </c>
      <c r="G37" s="12">
        <v>12</v>
      </c>
      <c r="H37" s="8">
        <v>3.64</v>
      </c>
      <c r="I37" s="12">
        <v>0</v>
      </c>
    </row>
    <row r="38" spans="2:9" ht="15" customHeight="1" x14ac:dyDescent="0.2">
      <c r="B38" t="s">
        <v>113</v>
      </c>
      <c r="C38" s="12">
        <v>14</v>
      </c>
      <c r="D38" s="8">
        <v>1.77</v>
      </c>
      <c r="E38" s="12">
        <v>8</v>
      </c>
      <c r="F38" s="8">
        <v>1.84</v>
      </c>
      <c r="G38" s="12">
        <v>6</v>
      </c>
      <c r="H38" s="8">
        <v>1.82</v>
      </c>
      <c r="I38" s="12">
        <v>0</v>
      </c>
    </row>
    <row r="39" spans="2:9" ht="15" customHeight="1" x14ac:dyDescent="0.2">
      <c r="B39" t="s">
        <v>119</v>
      </c>
      <c r="C39" s="12">
        <v>14</v>
      </c>
      <c r="D39" s="8">
        <v>1.77</v>
      </c>
      <c r="E39" s="12">
        <v>0</v>
      </c>
      <c r="F39" s="8">
        <v>0</v>
      </c>
      <c r="G39" s="12">
        <v>4</v>
      </c>
      <c r="H39" s="8">
        <v>1.21</v>
      </c>
      <c r="I39" s="12">
        <v>1</v>
      </c>
    </row>
    <row r="40" spans="2:9" ht="15" customHeight="1" x14ac:dyDescent="0.2">
      <c r="B40" t="s">
        <v>114</v>
      </c>
      <c r="C40" s="12">
        <v>13</v>
      </c>
      <c r="D40" s="8">
        <v>1.64</v>
      </c>
      <c r="E40" s="12">
        <v>7</v>
      </c>
      <c r="F40" s="8">
        <v>1.61</v>
      </c>
      <c r="G40" s="12">
        <v>5</v>
      </c>
      <c r="H40" s="8">
        <v>1.52</v>
      </c>
      <c r="I40" s="12">
        <v>0</v>
      </c>
    </row>
    <row r="41" spans="2:9" ht="15" customHeight="1" x14ac:dyDescent="0.2">
      <c r="B41" t="s">
        <v>112</v>
      </c>
      <c r="C41" s="12">
        <v>12</v>
      </c>
      <c r="D41" s="8">
        <v>1.52</v>
      </c>
      <c r="E41" s="12">
        <v>8</v>
      </c>
      <c r="F41" s="8">
        <v>1.84</v>
      </c>
      <c r="G41" s="12">
        <v>4</v>
      </c>
      <c r="H41" s="8">
        <v>1.21</v>
      </c>
      <c r="I41" s="12">
        <v>0</v>
      </c>
    </row>
    <row r="42" spans="2:9" ht="15" customHeight="1" x14ac:dyDescent="0.2">
      <c r="B42" t="s">
        <v>136</v>
      </c>
      <c r="C42" s="12">
        <v>10</v>
      </c>
      <c r="D42" s="8">
        <v>1.26</v>
      </c>
      <c r="E42" s="12">
        <v>4</v>
      </c>
      <c r="F42" s="8">
        <v>0.92</v>
      </c>
      <c r="G42" s="12">
        <v>6</v>
      </c>
      <c r="H42" s="8">
        <v>1.82</v>
      </c>
      <c r="I42" s="12">
        <v>0</v>
      </c>
    </row>
    <row r="43" spans="2:9" ht="15" customHeight="1" x14ac:dyDescent="0.2">
      <c r="B43" t="s">
        <v>135</v>
      </c>
      <c r="C43" s="12">
        <v>10</v>
      </c>
      <c r="D43" s="8">
        <v>1.26</v>
      </c>
      <c r="E43" s="12">
        <v>3</v>
      </c>
      <c r="F43" s="8">
        <v>0.69</v>
      </c>
      <c r="G43" s="12">
        <v>7</v>
      </c>
      <c r="H43" s="8">
        <v>2.12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174</v>
      </c>
      <c r="C47" s="12">
        <v>41</v>
      </c>
      <c r="D47" s="8">
        <v>5.18</v>
      </c>
      <c r="E47" s="12">
        <v>14</v>
      </c>
      <c r="F47" s="8">
        <v>3.23</v>
      </c>
      <c r="G47" s="12">
        <v>27</v>
      </c>
      <c r="H47" s="8">
        <v>8.18</v>
      </c>
      <c r="I47" s="12">
        <v>0</v>
      </c>
    </row>
    <row r="48" spans="2:9" ht="15" customHeight="1" x14ac:dyDescent="0.2">
      <c r="B48" t="s">
        <v>191</v>
      </c>
      <c r="C48" s="12">
        <v>38</v>
      </c>
      <c r="D48" s="8">
        <v>4.8</v>
      </c>
      <c r="E48" s="12">
        <v>37</v>
      </c>
      <c r="F48" s="8">
        <v>8.5299999999999994</v>
      </c>
      <c r="G48" s="12">
        <v>1</v>
      </c>
      <c r="H48" s="8">
        <v>0.3</v>
      </c>
      <c r="I48" s="12">
        <v>0</v>
      </c>
    </row>
    <row r="49" spans="2:9" ht="15" customHeight="1" x14ac:dyDescent="0.2">
      <c r="B49" t="s">
        <v>180</v>
      </c>
      <c r="C49" s="12">
        <v>29</v>
      </c>
      <c r="D49" s="8">
        <v>3.67</v>
      </c>
      <c r="E49" s="12">
        <v>16</v>
      </c>
      <c r="F49" s="8">
        <v>3.69</v>
      </c>
      <c r="G49" s="12">
        <v>13</v>
      </c>
      <c r="H49" s="8">
        <v>3.94</v>
      </c>
      <c r="I49" s="12">
        <v>0</v>
      </c>
    </row>
    <row r="50" spans="2:9" ht="15" customHeight="1" x14ac:dyDescent="0.2">
      <c r="B50" t="s">
        <v>190</v>
      </c>
      <c r="C50" s="12">
        <v>23</v>
      </c>
      <c r="D50" s="8">
        <v>2.91</v>
      </c>
      <c r="E50" s="12">
        <v>23</v>
      </c>
      <c r="F50" s="8">
        <v>5.3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187</v>
      </c>
      <c r="C51" s="12">
        <v>22</v>
      </c>
      <c r="D51" s="8">
        <v>2.78</v>
      </c>
      <c r="E51" s="12">
        <v>19</v>
      </c>
      <c r="F51" s="8">
        <v>4.38</v>
      </c>
      <c r="G51" s="12">
        <v>3</v>
      </c>
      <c r="H51" s="8">
        <v>0.91</v>
      </c>
      <c r="I51" s="12">
        <v>0</v>
      </c>
    </row>
    <row r="52" spans="2:9" ht="15" customHeight="1" x14ac:dyDescent="0.2">
      <c r="B52" t="s">
        <v>177</v>
      </c>
      <c r="C52" s="12">
        <v>19</v>
      </c>
      <c r="D52" s="8">
        <v>2.4</v>
      </c>
      <c r="E52" s="12">
        <v>8</v>
      </c>
      <c r="F52" s="8">
        <v>1.84</v>
      </c>
      <c r="G52" s="12">
        <v>11</v>
      </c>
      <c r="H52" s="8">
        <v>3.33</v>
      </c>
      <c r="I52" s="12">
        <v>0</v>
      </c>
    </row>
    <row r="53" spans="2:9" ht="15" customHeight="1" x14ac:dyDescent="0.2">
      <c r="B53" t="s">
        <v>178</v>
      </c>
      <c r="C53" s="12">
        <v>18</v>
      </c>
      <c r="D53" s="8">
        <v>2.2799999999999998</v>
      </c>
      <c r="E53" s="12">
        <v>8</v>
      </c>
      <c r="F53" s="8">
        <v>1.84</v>
      </c>
      <c r="G53" s="12">
        <v>10</v>
      </c>
      <c r="H53" s="8">
        <v>3.03</v>
      </c>
      <c r="I53" s="12">
        <v>0</v>
      </c>
    </row>
    <row r="54" spans="2:9" ht="15" customHeight="1" x14ac:dyDescent="0.2">
      <c r="B54" t="s">
        <v>193</v>
      </c>
      <c r="C54" s="12">
        <v>17</v>
      </c>
      <c r="D54" s="8">
        <v>2.15</v>
      </c>
      <c r="E54" s="12">
        <v>15</v>
      </c>
      <c r="F54" s="8">
        <v>3.46</v>
      </c>
      <c r="G54" s="12">
        <v>2</v>
      </c>
      <c r="H54" s="8">
        <v>0.61</v>
      </c>
      <c r="I54" s="12">
        <v>0</v>
      </c>
    </row>
    <row r="55" spans="2:9" ht="15" customHeight="1" x14ac:dyDescent="0.2">
      <c r="B55" t="s">
        <v>183</v>
      </c>
      <c r="C55" s="12">
        <v>16</v>
      </c>
      <c r="D55" s="8">
        <v>2.02</v>
      </c>
      <c r="E55" s="12">
        <v>10</v>
      </c>
      <c r="F55" s="8">
        <v>2.2999999999999998</v>
      </c>
      <c r="G55" s="12">
        <v>6</v>
      </c>
      <c r="H55" s="8">
        <v>1.82</v>
      </c>
      <c r="I55" s="12">
        <v>0</v>
      </c>
    </row>
    <row r="56" spans="2:9" ht="15" customHeight="1" x14ac:dyDescent="0.2">
      <c r="B56" t="s">
        <v>189</v>
      </c>
      <c r="C56" s="12">
        <v>16</v>
      </c>
      <c r="D56" s="8">
        <v>2.02</v>
      </c>
      <c r="E56" s="12">
        <v>16</v>
      </c>
      <c r="F56" s="8">
        <v>3.69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176</v>
      </c>
      <c r="C57" s="12">
        <v>14</v>
      </c>
      <c r="D57" s="8">
        <v>1.77</v>
      </c>
      <c r="E57" s="12">
        <v>14</v>
      </c>
      <c r="F57" s="8">
        <v>3.23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181</v>
      </c>
      <c r="C58" s="12">
        <v>14</v>
      </c>
      <c r="D58" s="8">
        <v>1.77</v>
      </c>
      <c r="E58" s="12">
        <v>8</v>
      </c>
      <c r="F58" s="8">
        <v>1.84</v>
      </c>
      <c r="G58" s="12">
        <v>6</v>
      </c>
      <c r="H58" s="8">
        <v>1.82</v>
      </c>
      <c r="I58" s="12">
        <v>0</v>
      </c>
    </row>
    <row r="59" spans="2:9" ht="15" customHeight="1" x14ac:dyDescent="0.2">
      <c r="B59" t="s">
        <v>175</v>
      </c>
      <c r="C59" s="12">
        <v>12</v>
      </c>
      <c r="D59" s="8">
        <v>1.52</v>
      </c>
      <c r="E59" s="12">
        <v>3</v>
      </c>
      <c r="F59" s="8">
        <v>0.69</v>
      </c>
      <c r="G59" s="12">
        <v>9</v>
      </c>
      <c r="H59" s="8">
        <v>2.73</v>
      </c>
      <c r="I59" s="12">
        <v>0</v>
      </c>
    </row>
    <row r="60" spans="2:9" ht="15" customHeight="1" x14ac:dyDescent="0.2">
      <c r="B60" t="s">
        <v>210</v>
      </c>
      <c r="C60" s="12">
        <v>12</v>
      </c>
      <c r="D60" s="8">
        <v>1.52</v>
      </c>
      <c r="E60" s="12">
        <v>12</v>
      </c>
      <c r="F60" s="8">
        <v>2.76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188</v>
      </c>
      <c r="C61" s="12">
        <v>12</v>
      </c>
      <c r="D61" s="8">
        <v>1.52</v>
      </c>
      <c r="E61" s="12">
        <v>12</v>
      </c>
      <c r="F61" s="8">
        <v>2.76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194</v>
      </c>
      <c r="C62" s="12">
        <v>10</v>
      </c>
      <c r="D62" s="8">
        <v>1.26</v>
      </c>
      <c r="E62" s="12">
        <v>6</v>
      </c>
      <c r="F62" s="8">
        <v>1.38</v>
      </c>
      <c r="G62" s="12">
        <v>4</v>
      </c>
      <c r="H62" s="8">
        <v>1.21</v>
      </c>
      <c r="I62" s="12">
        <v>0</v>
      </c>
    </row>
    <row r="63" spans="2:9" ht="15" customHeight="1" x14ac:dyDescent="0.2">
      <c r="B63" t="s">
        <v>184</v>
      </c>
      <c r="C63" s="12">
        <v>10</v>
      </c>
      <c r="D63" s="8">
        <v>1.26</v>
      </c>
      <c r="E63" s="12">
        <v>6</v>
      </c>
      <c r="F63" s="8">
        <v>1.38</v>
      </c>
      <c r="G63" s="12">
        <v>4</v>
      </c>
      <c r="H63" s="8">
        <v>1.21</v>
      </c>
      <c r="I63" s="12">
        <v>0</v>
      </c>
    </row>
    <row r="64" spans="2:9" ht="15" customHeight="1" x14ac:dyDescent="0.2">
      <c r="B64" t="s">
        <v>186</v>
      </c>
      <c r="C64" s="12">
        <v>10</v>
      </c>
      <c r="D64" s="8">
        <v>1.26</v>
      </c>
      <c r="E64" s="12">
        <v>9</v>
      </c>
      <c r="F64" s="8">
        <v>2.0699999999999998</v>
      </c>
      <c r="G64" s="12">
        <v>1</v>
      </c>
      <c r="H64" s="8">
        <v>0.3</v>
      </c>
      <c r="I64" s="12">
        <v>0</v>
      </c>
    </row>
    <row r="65" spans="2:9" ht="15" customHeight="1" x14ac:dyDescent="0.2">
      <c r="B65" t="s">
        <v>223</v>
      </c>
      <c r="C65" s="12">
        <v>10</v>
      </c>
      <c r="D65" s="8">
        <v>1.26</v>
      </c>
      <c r="E65" s="12">
        <v>1</v>
      </c>
      <c r="F65" s="8">
        <v>0.23</v>
      </c>
      <c r="G65" s="12">
        <v>1</v>
      </c>
      <c r="H65" s="8">
        <v>0.3</v>
      </c>
      <c r="I65" s="12">
        <v>0</v>
      </c>
    </row>
    <row r="66" spans="2:9" ht="15" customHeight="1" x14ac:dyDescent="0.2">
      <c r="B66" t="s">
        <v>214</v>
      </c>
      <c r="C66" s="12">
        <v>9</v>
      </c>
      <c r="D66" s="8">
        <v>1.1399999999999999</v>
      </c>
      <c r="E66" s="12">
        <v>5</v>
      </c>
      <c r="F66" s="8">
        <v>1.1499999999999999</v>
      </c>
      <c r="G66" s="12">
        <v>4</v>
      </c>
      <c r="H66" s="8">
        <v>1.21</v>
      </c>
      <c r="I66" s="12">
        <v>0</v>
      </c>
    </row>
    <row r="67" spans="2:9" ht="15" customHeight="1" x14ac:dyDescent="0.2">
      <c r="B67" t="s">
        <v>185</v>
      </c>
      <c r="C67" s="12">
        <v>9</v>
      </c>
      <c r="D67" s="8">
        <v>1.1399999999999999</v>
      </c>
      <c r="E67" s="12">
        <v>6</v>
      </c>
      <c r="F67" s="8">
        <v>1.38</v>
      </c>
      <c r="G67" s="12">
        <v>2</v>
      </c>
      <c r="H67" s="8">
        <v>0.61</v>
      </c>
      <c r="I67" s="12">
        <v>0</v>
      </c>
    </row>
    <row r="68" spans="2:9" ht="15" customHeight="1" x14ac:dyDescent="0.2">
      <c r="B68" t="s">
        <v>209</v>
      </c>
      <c r="C68" s="12">
        <v>9</v>
      </c>
      <c r="D68" s="8">
        <v>1.1399999999999999</v>
      </c>
      <c r="E68" s="12">
        <v>6</v>
      </c>
      <c r="F68" s="8">
        <v>1.38</v>
      </c>
      <c r="G68" s="12">
        <v>3</v>
      </c>
      <c r="H68" s="8">
        <v>0.91</v>
      </c>
      <c r="I68" s="12">
        <v>0</v>
      </c>
    </row>
    <row r="69" spans="2:9" ht="15" customHeight="1" x14ac:dyDescent="0.2">
      <c r="B69" t="s">
        <v>217</v>
      </c>
      <c r="C69" s="12">
        <v>9</v>
      </c>
      <c r="D69" s="8">
        <v>1.1399999999999999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C62C3-1CA3-42D9-A5BD-62D2F1ABA877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385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385</v>
      </c>
      <c r="D6" s="8">
        <v>17.600000000000001</v>
      </c>
      <c r="E6" s="12">
        <v>126</v>
      </c>
      <c r="F6" s="8">
        <v>10.88</v>
      </c>
      <c r="G6" s="12">
        <v>259</v>
      </c>
      <c r="H6" s="8">
        <v>25.44</v>
      </c>
      <c r="I6" s="12">
        <v>0</v>
      </c>
    </row>
    <row r="7" spans="2:9" ht="15" customHeight="1" x14ac:dyDescent="0.2">
      <c r="B7" t="s">
        <v>80</v>
      </c>
      <c r="C7" s="12">
        <v>180</v>
      </c>
      <c r="D7" s="8">
        <v>8.23</v>
      </c>
      <c r="E7" s="12">
        <v>49</v>
      </c>
      <c r="F7" s="8">
        <v>4.2300000000000004</v>
      </c>
      <c r="G7" s="12">
        <v>131</v>
      </c>
      <c r="H7" s="8">
        <v>12.87</v>
      </c>
      <c r="I7" s="12">
        <v>0</v>
      </c>
    </row>
    <row r="8" spans="2:9" ht="15" customHeight="1" x14ac:dyDescent="0.2">
      <c r="B8" t="s">
        <v>81</v>
      </c>
      <c r="C8" s="12">
        <v>7</v>
      </c>
      <c r="D8" s="8">
        <v>0.32</v>
      </c>
      <c r="E8" s="12">
        <v>1</v>
      </c>
      <c r="F8" s="8">
        <v>0.09</v>
      </c>
      <c r="G8" s="12">
        <v>6</v>
      </c>
      <c r="H8" s="8">
        <v>0.59</v>
      </c>
      <c r="I8" s="12">
        <v>0</v>
      </c>
    </row>
    <row r="9" spans="2:9" ht="15" customHeight="1" x14ac:dyDescent="0.2">
      <c r="B9" t="s">
        <v>82</v>
      </c>
      <c r="C9" s="12">
        <v>12</v>
      </c>
      <c r="D9" s="8">
        <v>0.55000000000000004</v>
      </c>
      <c r="E9" s="12">
        <v>3</v>
      </c>
      <c r="F9" s="8">
        <v>0.26</v>
      </c>
      <c r="G9" s="12">
        <v>9</v>
      </c>
      <c r="H9" s="8">
        <v>0.88</v>
      </c>
      <c r="I9" s="12">
        <v>0</v>
      </c>
    </row>
    <row r="10" spans="2:9" ht="15" customHeight="1" x14ac:dyDescent="0.2">
      <c r="B10" t="s">
        <v>83</v>
      </c>
      <c r="C10" s="12">
        <v>14</v>
      </c>
      <c r="D10" s="8">
        <v>0.64</v>
      </c>
      <c r="E10" s="12">
        <v>4</v>
      </c>
      <c r="F10" s="8">
        <v>0.35</v>
      </c>
      <c r="G10" s="12">
        <v>10</v>
      </c>
      <c r="H10" s="8">
        <v>0.98</v>
      </c>
      <c r="I10" s="12">
        <v>0</v>
      </c>
    </row>
    <row r="11" spans="2:9" ht="15" customHeight="1" x14ac:dyDescent="0.2">
      <c r="B11" t="s">
        <v>84</v>
      </c>
      <c r="C11" s="12">
        <v>461</v>
      </c>
      <c r="D11" s="8">
        <v>21.07</v>
      </c>
      <c r="E11" s="12">
        <v>211</v>
      </c>
      <c r="F11" s="8">
        <v>18.22</v>
      </c>
      <c r="G11" s="12">
        <v>249</v>
      </c>
      <c r="H11" s="8">
        <v>24.46</v>
      </c>
      <c r="I11" s="12">
        <v>1</v>
      </c>
    </row>
    <row r="12" spans="2:9" ht="15" customHeight="1" x14ac:dyDescent="0.2">
      <c r="B12" t="s">
        <v>85</v>
      </c>
      <c r="C12" s="12">
        <v>9</v>
      </c>
      <c r="D12" s="8">
        <v>0.41</v>
      </c>
      <c r="E12" s="12">
        <v>1</v>
      </c>
      <c r="F12" s="8">
        <v>0.09</v>
      </c>
      <c r="G12" s="12">
        <v>8</v>
      </c>
      <c r="H12" s="8">
        <v>0.79</v>
      </c>
      <c r="I12" s="12">
        <v>0</v>
      </c>
    </row>
    <row r="13" spans="2:9" ht="15" customHeight="1" x14ac:dyDescent="0.2">
      <c r="B13" t="s">
        <v>86</v>
      </c>
      <c r="C13" s="12">
        <v>176</v>
      </c>
      <c r="D13" s="8">
        <v>8.0399999999999991</v>
      </c>
      <c r="E13" s="12">
        <v>102</v>
      </c>
      <c r="F13" s="8">
        <v>8.81</v>
      </c>
      <c r="G13" s="12">
        <v>74</v>
      </c>
      <c r="H13" s="8">
        <v>7.27</v>
      </c>
      <c r="I13" s="12">
        <v>0</v>
      </c>
    </row>
    <row r="14" spans="2:9" ht="15" customHeight="1" x14ac:dyDescent="0.2">
      <c r="B14" t="s">
        <v>87</v>
      </c>
      <c r="C14" s="12">
        <v>89</v>
      </c>
      <c r="D14" s="8">
        <v>4.07</v>
      </c>
      <c r="E14" s="12">
        <v>41</v>
      </c>
      <c r="F14" s="8">
        <v>3.54</v>
      </c>
      <c r="G14" s="12">
        <v>48</v>
      </c>
      <c r="H14" s="8">
        <v>4.72</v>
      </c>
      <c r="I14" s="12">
        <v>0</v>
      </c>
    </row>
    <row r="15" spans="2:9" ht="15" customHeight="1" x14ac:dyDescent="0.2">
      <c r="B15" t="s">
        <v>88</v>
      </c>
      <c r="C15" s="12">
        <v>301</v>
      </c>
      <c r="D15" s="8">
        <v>13.76</v>
      </c>
      <c r="E15" s="12">
        <v>243</v>
      </c>
      <c r="F15" s="8">
        <v>20.98</v>
      </c>
      <c r="G15" s="12">
        <v>58</v>
      </c>
      <c r="H15" s="8">
        <v>5.7</v>
      </c>
      <c r="I15" s="12">
        <v>0</v>
      </c>
    </row>
    <row r="16" spans="2:9" ht="15" customHeight="1" x14ac:dyDescent="0.2">
      <c r="B16" t="s">
        <v>89</v>
      </c>
      <c r="C16" s="12">
        <v>264</v>
      </c>
      <c r="D16" s="8">
        <v>12.07</v>
      </c>
      <c r="E16" s="12">
        <v>203</v>
      </c>
      <c r="F16" s="8">
        <v>17.53</v>
      </c>
      <c r="G16" s="12">
        <v>59</v>
      </c>
      <c r="H16" s="8">
        <v>5.8</v>
      </c>
      <c r="I16" s="12">
        <v>0</v>
      </c>
    </row>
    <row r="17" spans="2:9" ht="15" customHeight="1" x14ac:dyDescent="0.2">
      <c r="B17" t="s">
        <v>90</v>
      </c>
      <c r="C17" s="12">
        <v>116</v>
      </c>
      <c r="D17" s="8">
        <v>5.3</v>
      </c>
      <c r="E17" s="12">
        <v>75</v>
      </c>
      <c r="F17" s="8">
        <v>6.48</v>
      </c>
      <c r="G17" s="12">
        <v>34</v>
      </c>
      <c r="H17" s="8">
        <v>3.34</v>
      </c>
      <c r="I17" s="12">
        <v>0</v>
      </c>
    </row>
    <row r="18" spans="2:9" ht="15" customHeight="1" x14ac:dyDescent="0.2">
      <c r="B18" t="s">
        <v>91</v>
      </c>
      <c r="C18" s="12">
        <v>115</v>
      </c>
      <c r="D18" s="8">
        <v>5.26</v>
      </c>
      <c r="E18" s="12">
        <v>73</v>
      </c>
      <c r="F18" s="8">
        <v>6.3</v>
      </c>
      <c r="G18" s="12">
        <v>42</v>
      </c>
      <c r="H18" s="8">
        <v>4.13</v>
      </c>
      <c r="I18" s="12">
        <v>0</v>
      </c>
    </row>
    <row r="19" spans="2:9" ht="15" customHeight="1" x14ac:dyDescent="0.2">
      <c r="B19" t="s">
        <v>92</v>
      </c>
      <c r="C19" s="12">
        <v>59</v>
      </c>
      <c r="D19" s="8">
        <v>2.7</v>
      </c>
      <c r="E19" s="12">
        <v>26</v>
      </c>
      <c r="F19" s="8">
        <v>2.25</v>
      </c>
      <c r="G19" s="12">
        <v>31</v>
      </c>
      <c r="H19" s="8">
        <v>3.05</v>
      </c>
      <c r="I19" s="12">
        <v>1</v>
      </c>
    </row>
    <row r="20" spans="2:9" ht="15" customHeight="1" x14ac:dyDescent="0.2">
      <c r="B20" s="9" t="s">
        <v>363</v>
      </c>
      <c r="C20" s="12">
        <f>SUM(LTBL_20220[総数／事業所数])</f>
        <v>2188</v>
      </c>
      <c r="E20" s="12">
        <f>SUBTOTAL(109,LTBL_20220[個人／事業所数])</f>
        <v>1158</v>
      </c>
      <c r="G20" s="12">
        <f>SUBTOTAL(109,LTBL_20220[法人／事業所数])</f>
        <v>1018</v>
      </c>
      <c r="I20" s="12">
        <f>SUBTOTAL(109,LTBL_20220[法人以外の団体／事業所数])</f>
        <v>2</v>
      </c>
    </row>
    <row r="21" spans="2:9" ht="15" customHeight="1" x14ac:dyDescent="0.2">
      <c r="E21" s="11">
        <f>LTBL_20220[[#Totals],[個人／事業所数]]/LTBL_20220[[#Totals],[総数／事業所数]]</f>
        <v>0.52925045703839124</v>
      </c>
      <c r="G21" s="11">
        <f>LTBL_20220[[#Totals],[法人／事業所数]]/LTBL_20220[[#Totals],[総数／事業所数]]</f>
        <v>0.46526508226691043</v>
      </c>
      <c r="I21" s="11">
        <f>LTBL_20220[[#Totals],[法人以外の団体／事業所数]]/LTBL_20220[[#Totals],[総数／事業所数]]</f>
        <v>9.1407678244972577E-4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244</v>
      </c>
      <c r="D24" s="8">
        <v>11.15</v>
      </c>
      <c r="E24" s="12">
        <v>216</v>
      </c>
      <c r="F24" s="8">
        <v>18.649999999999999</v>
      </c>
      <c r="G24" s="12">
        <v>28</v>
      </c>
      <c r="H24" s="8">
        <v>2.75</v>
      </c>
      <c r="I24" s="12">
        <v>0</v>
      </c>
    </row>
    <row r="25" spans="2:9" ht="15" customHeight="1" x14ac:dyDescent="0.2">
      <c r="B25" t="s">
        <v>116</v>
      </c>
      <c r="C25" s="12">
        <v>221</v>
      </c>
      <c r="D25" s="8">
        <v>10.1</v>
      </c>
      <c r="E25" s="12">
        <v>183</v>
      </c>
      <c r="F25" s="8">
        <v>15.8</v>
      </c>
      <c r="G25" s="12">
        <v>37</v>
      </c>
      <c r="H25" s="8">
        <v>3.63</v>
      </c>
      <c r="I25" s="12">
        <v>0</v>
      </c>
    </row>
    <row r="26" spans="2:9" ht="15" customHeight="1" x14ac:dyDescent="0.2">
      <c r="B26" t="s">
        <v>101</v>
      </c>
      <c r="C26" s="12">
        <v>175</v>
      </c>
      <c r="D26" s="8">
        <v>8</v>
      </c>
      <c r="E26" s="12">
        <v>44</v>
      </c>
      <c r="F26" s="8">
        <v>3.8</v>
      </c>
      <c r="G26" s="12">
        <v>131</v>
      </c>
      <c r="H26" s="8">
        <v>12.87</v>
      </c>
      <c r="I26" s="12">
        <v>0</v>
      </c>
    </row>
    <row r="27" spans="2:9" ht="15" customHeight="1" x14ac:dyDescent="0.2">
      <c r="B27" t="s">
        <v>111</v>
      </c>
      <c r="C27" s="12">
        <v>148</v>
      </c>
      <c r="D27" s="8">
        <v>6.76</v>
      </c>
      <c r="E27" s="12">
        <v>97</v>
      </c>
      <c r="F27" s="8">
        <v>8.3800000000000008</v>
      </c>
      <c r="G27" s="12">
        <v>51</v>
      </c>
      <c r="H27" s="8">
        <v>5.01</v>
      </c>
      <c r="I27" s="12">
        <v>0</v>
      </c>
    </row>
    <row r="28" spans="2:9" ht="15" customHeight="1" x14ac:dyDescent="0.2">
      <c r="B28" t="s">
        <v>110</v>
      </c>
      <c r="C28" s="12">
        <v>140</v>
      </c>
      <c r="D28" s="8">
        <v>6.4</v>
      </c>
      <c r="E28" s="12">
        <v>63</v>
      </c>
      <c r="F28" s="8">
        <v>5.44</v>
      </c>
      <c r="G28" s="12">
        <v>77</v>
      </c>
      <c r="H28" s="8">
        <v>7.56</v>
      </c>
      <c r="I28" s="12">
        <v>0</v>
      </c>
    </row>
    <row r="29" spans="2:9" ht="15" customHeight="1" x14ac:dyDescent="0.2">
      <c r="B29" t="s">
        <v>102</v>
      </c>
      <c r="C29" s="12">
        <v>120</v>
      </c>
      <c r="D29" s="8">
        <v>5.48</v>
      </c>
      <c r="E29" s="12">
        <v>61</v>
      </c>
      <c r="F29" s="8">
        <v>5.27</v>
      </c>
      <c r="G29" s="12">
        <v>59</v>
      </c>
      <c r="H29" s="8">
        <v>5.8</v>
      </c>
      <c r="I29" s="12">
        <v>0</v>
      </c>
    </row>
    <row r="30" spans="2:9" ht="15" customHeight="1" x14ac:dyDescent="0.2">
      <c r="B30" t="s">
        <v>117</v>
      </c>
      <c r="C30" s="12">
        <v>116</v>
      </c>
      <c r="D30" s="8">
        <v>5.3</v>
      </c>
      <c r="E30" s="12">
        <v>75</v>
      </c>
      <c r="F30" s="8">
        <v>6.48</v>
      </c>
      <c r="G30" s="12">
        <v>34</v>
      </c>
      <c r="H30" s="8">
        <v>3.34</v>
      </c>
      <c r="I30" s="12">
        <v>0</v>
      </c>
    </row>
    <row r="31" spans="2:9" ht="15" customHeight="1" x14ac:dyDescent="0.2">
      <c r="B31" t="s">
        <v>108</v>
      </c>
      <c r="C31" s="12">
        <v>114</v>
      </c>
      <c r="D31" s="8">
        <v>5.21</v>
      </c>
      <c r="E31" s="12">
        <v>71</v>
      </c>
      <c r="F31" s="8">
        <v>6.13</v>
      </c>
      <c r="G31" s="12">
        <v>42</v>
      </c>
      <c r="H31" s="8">
        <v>4.13</v>
      </c>
      <c r="I31" s="12">
        <v>1</v>
      </c>
    </row>
    <row r="32" spans="2:9" ht="15" customHeight="1" x14ac:dyDescent="0.2">
      <c r="B32" t="s">
        <v>103</v>
      </c>
      <c r="C32" s="12">
        <v>90</v>
      </c>
      <c r="D32" s="8">
        <v>4.1100000000000003</v>
      </c>
      <c r="E32" s="12">
        <v>21</v>
      </c>
      <c r="F32" s="8">
        <v>1.81</v>
      </c>
      <c r="G32" s="12">
        <v>69</v>
      </c>
      <c r="H32" s="8">
        <v>6.78</v>
      </c>
      <c r="I32" s="12">
        <v>0</v>
      </c>
    </row>
    <row r="33" spans="2:9" ht="15" customHeight="1" x14ac:dyDescent="0.2">
      <c r="B33" t="s">
        <v>118</v>
      </c>
      <c r="C33" s="12">
        <v>80</v>
      </c>
      <c r="D33" s="8">
        <v>3.66</v>
      </c>
      <c r="E33" s="12">
        <v>73</v>
      </c>
      <c r="F33" s="8">
        <v>6.3</v>
      </c>
      <c r="G33" s="12">
        <v>7</v>
      </c>
      <c r="H33" s="8">
        <v>0.69</v>
      </c>
      <c r="I33" s="12">
        <v>0</v>
      </c>
    </row>
    <row r="34" spans="2:9" ht="15" customHeight="1" x14ac:dyDescent="0.2">
      <c r="B34" t="s">
        <v>109</v>
      </c>
      <c r="C34" s="12">
        <v>74</v>
      </c>
      <c r="D34" s="8">
        <v>3.38</v>
      </c>
      <c r="E34" s="12">
        <v>39</v>
      </c>
      <c r="F34" s="8">
        <v>3.37</v>
      </c>
      <c r="G34" s="12">
        <v>35</v>
      </c>
      <c r="H34" s="8">
        <v>3.44</v>
      </c>
      <c r="I34" s="12">
        <v>0</v>
      </c>
    </row>
    <row r="35" spans="2:9" ht="15" customHeight="1" x14ac:dyDescent="0.2">
      <c r="B35" t="s">
        <v>113</v>
      </c>
      <c r="C35" s="12">
        <v>44</v>
      </c>
      <c r="D35" s="8">
        <v>2.0099999999999998</v>
      </c>
      <c r="E35" s="12">
        <v>16</v>
      </c>
      <c r="F35" s="8">
        <v>1.38</v>
      </c>
      <c r="G35" s="12">
        <v>28</v>
      </c>
      <c r="H35" s="8">
        <v>2.75</v>
      </c>
      <c r="I35" s="12">
        <v>0</v>
      </c>
    </row>
    <row r="36" spans="2:9" ht="15" customHeight="1" x14ac:dyDescent="0.2">
      <c r="B36" t="s">
        <v>107</v>
      </c>
      <c r="C36" s="12">
        <v>42</v>
      </c>
      <c r="D36" s="8">
        <v>1.92</v>
      </c>
      <c r="E36" s="12">
        <v>26</v>
      </c>
      <c r="F36" s="8">
        <v>2.25</v>
      </c>
      <c r="G36" s="12">
        <v>16</v>
      </c>
      <c r="H36" s="8">
        <v>1.57</v>
      </c>
      <c r="I36" s="12">
        <v>0</v>
      </c>
    </row>
    <row r="37" spans="2:9" ht="15" customHeight="1" x14ac:dyDescent="0.2">
      <c r="B37" t="s">
        <v>112</v>
      </c>
      <c r="C37" s="12">
        <v>37</v>
      </c>
      <c r="D37" s="8">
        <v>1.69</v>
      </c>
      <c r="E37" s="12">
        <v>23</v>
      </c>
      <c r="F37" s="8">
        <v>1.99</v>
      </c>
      <c r="G37" s="12">
        <v>14</v>
      </c>
      <c r="H37" s="8">
        <v>1.38</v>
      </c>
      <c r="I37" s="12">
        <v>0</v>
      </c>
    </row>
    <row r="38" spans="2:9" ht="15" customHeight="1" x14ac:dyDescent="0.2">
      <c r="B38" t="s">
        <v>114</v>
      </c>
      <c r="C38" s="12">
        <v>35</v>
      </c>
      <c r="D38" s="8">
        <v>1.6</v>
      </c>
      <c r="E38" s="12">
        <v>25</v>
      </c>
      <c r="F38" s="8">
        <v>2.16</v>
      </c>
      <c r="G38" s="12">
        <v>10</v>
      </c>
      <c r="H38" s="8">
        <v>0.98</v>
      </c>
      <c r="I38" s="12">
        <v>0</v>
      </c>
    </row>
    <row r="39" spans="2:9" ht="15" customHeight="1" x14ac:dyDescent="0.2">
      <c r="B39" t="s">
        <v>119</v>
      </c>
      <c r="C39" s="12">
        <v>35</v>
      </c>
      <c r="D39" s="8">
        <v>1.6</v>
      </c>
      <c r="E39" s="12">
        <v>0</v>
      </c>
      <c r="F39" s="8">
        <v>0</v>
      </c>
      <c r="G39" s="12">
        <v>35</v>
      </c>
      <c r="H39" s="8">
        <v>3.44</v>
      </c>
      <c r="I39" s="12">
        <v>0</v>
      </c>
    </row>
    <row r="40" spans="2:9" ht="15" customHeight="1" x14ac:dyDescent="0.2">
      <c r="B40" t="s">
        <v>127</v>
      </c>
      <c r="C40" s="12">
        <v>30</v>
      </c>
      <c r="D40" s="8">
        <v>1.37</v>
      </c>
      <c r="E40" s="12">
        <v>4</v>
      </c>
      <c r="F40" s="8">
        <v>0.35</v>
      </c>
      <c r="G40" s="12">
        <v>26</v>
      </c>
      <c r="H40" s="8">
        <v>2.5499999999999998</v>
      </c>
      <c r="I40" s="12">
        <v>0</v>
      </c>
    </row>
    <row r="41" spans="2:9" ht="15" customHeight="1" x14ac:dyDescent="0.2">
      <c r="B41" t="s">
        <v>131</v>
      </c>
      <c r="C41" s="12">
        <v>27</v>
      </c>
      <c r="D41" s="8">
        <v>1.23</v>
      </c>
      <c r="E41" s="12">
        <v>10</v>
      </c>
      <c r="F41" s="8">
        <v>0.86</v>
      </c>
      <c r="G41" s="12">
        <v>16</v>
      </c>
      <c r="H41" s="8">
        <v>1.57</v>
      </c>
      <c r="I41" s="12">
        <v>0</v>
      </c>
    </row>
    <row r="42" spans="2:9" ht="15" customHeight="1" x14ac:dyDescent="0.2">
      <c r="B42" t="s">
        <v>120</v>
      </c>
      <c r="C42" s="12">
        <v>27</v>
      </c>
      <c r="D42" s="8">
        <v>1.23</v>
      </c>
      <c r="E42" s="12">
        <v>19</v>
      </c>
      <c r="F42" s="8">
        <v>1.64</v>
      </c>
      <c r="G42" s="12">
        <v>8</v>
      </c>
      <c r="H42" s="8">
        <v>0.79</v>
      </c>
      <c r="I42" s="12">
        <v>0</v>
      </c>
    </row>
    <row r="43" spans="2:9" ht="15" customHeight="1" x14ac:dyDescent="0.2">
      <c r="B43" t="s">
        <v>104</v>
      </c>
      <c r="C43" s="12">
        <v>24</v>
      </c>
      <c r="D43" s="8">
        <v>1.1000000000000001</v>
      </c>
      <c r="E43" s="12">
        <v>6</v>
      </c>
      <c r="F43" s="8">
        <v>0.52</v>
      </c>
      <c r="G43" s="12">
        <v>18</v>
      </c>
      <c r="H43" s="8">
        <v>1.77</v>
      </c>
      <c r="I43" s="12">
        <v>0</v>
      </c>
    </row>
    <row r="44" spans="2:9" ht="15" customHeight="1" x14ac:dyDescent="0.2">
      <c r="B44" t="s">
        <v>123</v>
      </c>
      <c r="C44" s="12">
        <v>24</v>
      </c>
      <c r="D44" s="8">
        <v>1.1000000000000001</v>
      </c>
      <c r="E44" s="12">
        <v>3</v>
      </c>
      <c r="F44" s="8">
        <v>0.26</v>
      </c>
      <c r="G44" s="12">
        <v>21</v>
      </c>
      <c r="H44" s="8">
        <v>2.06</v>
      </c>
      <c r="I44" s="12">
        <v>0</v>
      </c>
    </row>
    <row r="47" spans="2:9" ht="33" customHeight="1" x14ac:dyDescent="0.2">
      <c r="B47" t="s">
        <v>365</v>
      </c>
      <c r="C47" s="10" t="s">
        <v>94</v>
      </c>
      <c r="D47" s="10" t="s">
        <v>95</v>
      </c>
      <c r="E47" s="10" t="s">
        <v>96</v>
      </c>
      <c r="F47" s="10" t="s">
        <v>97</v>
      </c>
      <c r="G47" s="10" t="s">
        <v>98</v>
      </c>
      <c r="H47" s="10" t="s">
        <v>99</v>
      </c>
      <c r="I47" s="10" t="s">
        <v>100</v>
      </c>
    </row>
    <row r="48" spans="2:9" ht="15" customHeight="1" x14ac:dyDescent="0.2">
      <c r="B48" t="s">
        <v>191</v>
      </c>
      <c r="C48" s="12">
        <v>118</v>
      </c>
      <c r="D48" s="8">
        <v>5.39</v>
      </c>
      <c r="E48" s="12">
        <v>105</v>
      </c>
      <c r="F48" s="8">
        <v>9.07</v>
      </c>
      <c r="G48" s="12">
        <v>13</v>
      </c>
      <c r="H48" s="8">
        <v>1.28</v>
      </c>
      <c r="I48" s="12">
        <v>0</v>
      </c>
    </row>
    <row r="49" spans="2:9" ht="15" customHeight="1" x14ac:dyDescent="0.2">
      <c r="B49" t="s">
        <v>183</v>
      </c>
      <c r="C49" s="12">
        <v>115</v>
      </c>
      <c r="D49" s="8">
        <v>5.26</v>
      </c>
      <c r="E49" s="12">
        <v>83</v>
      </c>
      <c r="F49" s="8">
        <v>7.17</v>
      </c>
      <c r="G49" s="12">
        <v>32</v>
      </c>
      <c r="H49" s="8">
        <v>3.14</v>
      </c>
      <c r="I49" s="12">
        <v>0</v>
      </c>
    </row>
    <row r="50" spans="2:9" ht="15" customHeight="1" x14ac:dyDescent="0.2">
      <c r="B50" t="s">
        <v>187</v>
      </c>
      <c r="C50" s="12">
        <v>71</v>
      </c>
      <c r="D50" s="8">
        <v>3.24</v>
      </c>
      <c r="E50" s="12">
        <v>59</v>
      </c>
      <c r="F50" s="8">
        <v>5.09</v>
      </c>
      <c r="G50" s="12">
        <v>12</v>
      </c>
      <c r="H50" s="8">
        <v>1.18</v>
      </c>
      <c r="I50" s="12">
        <v>0</v>
      </c>
    </row>
    <row r="51" spans="2:9" ht="15" customHeight="1" x14ac:dyDescent="0.2">
      <c r="B51" t="s">
        <v>174</v>
      </c>
      <c r="C51" s="12">
        <v>64</v>
      </c>
      <c r="D51" s="8">
        <v>2.93</v>
      </c>
      <c r="E51" s="12">
        <v>10</v>
      </c>
      <c r="F51" s="8">
        <v>0.86</v>
      </c>
      <c r="G51" s="12">
        <v>54</v>
      </c>
      <c r="H51" s="8">
        <v>5.3</v>
      </c>
      <c r="I51" s="12">
        <v>0</v>
      </c>
    </row>
    <row r="52" spans="2:9" ht="15" customHeight="1" x14ac:dyDescent="0.2">
      <c r="B52" t="s">
        <v>192</v>
      </c>
      <c r="C52" s="12">
        <v>62</v>
      </c>
      <c r="D52" s="8">
        <v>2.83</v>
      </c>
      <c r="E52" s="12">
        <v>48</v>
      </c>
      <c r="F52" s="8">
        <v>4.1500000000000004</v>
      </c>
      <c r="G52" s="12">
        <v>14</v>
      </c>
      <c r="H52" s="8">
        <v>1.38</v>
      </c>
      <c r="I52" s="12">
        <v>0</v>
      </c>
    </row>
    <row r="53" spans="2:9" ht="15" customHeight="1" x14ac:dyDescent="0.2">
      <c r="B53" t="s">
        <v>190</v>
      </c>
      <c r="C53" s="12">
        <v>61</v>
      </c>
      <c r="D53" s="8">
        <v>2.79</v>
      </c>
      <c r="E53" s="12">
        <v>55</v>
      </c>
      <c r="F53" s="8">
        <v>4.75</v>
      </c>
      <c r="G53" s="12">
        <v>6</v>
      </c>
      <c r="H53" s="8">
        <v>0.59</v>
      </c>
      <c r="I53" s="12">
        <v>0</v>
      </c>
    </row>
    <row r="54" spans="2:9" ht="15" customHeight="1" x14ac:dyDescent="0.2">
      <c r="B54" t="s">
        <v>193</v>
      </c>
      <c r="C54" s="12">
        <v>54</v>
      </c>
      <c r="D54" s="8">
        <v>2.4700000000000002</v>
      </c>
      <c r="E54" s="12">
        <v>49</v>
      </c>
      <c r="F54" s="8">
        <v>4.2300000000000004</v>
      </c>
      <c r="G54" s="12">
        <v>5</v>
      </c>
      <c r="H54" s="8">
        <v>0.49</v>
      </c>
      <c r="I54" s="12">
        <v>0</v>
      </c>
    </row>
    <row r="55" spans="2:9" ht="15" customHeight="1" x14ac:dyDescent="0.2">
      <c r="B55" t="s">
        <v>180</v>
      </c>
      <c r="C55" s="12">
        <v>48</v>
      </c>
      <c r="D55" s="8">
        <v>2.19</v>
      </c>
      <c r="E55" s="12">
        <v>21</v>
      </c>
      <c r="F55" s="8">
        <v>1.81</v>
      </c>
      <c r="G55" s="12">
        <v>27</v>
      </c>
      <c r="H55" s="8">
        <v>2.65</v>
      </c>
      <c r="I55" s="12">
        <v>0</v>
      </c>
    </row>
    <row r="56" spans="2:9" ht="15" customHeight="1" x14ac:dyDescent="0.2">
      <c r="B56" t="s">
        <v>176</v>
      </c>
      <c r="C56" s="12">
        <v>45</v>
      </c>
      <c r="D56" s="8">
        <v>2.06</v>
      </c>
      <c r="E56" s="12">
        <v>17</v>
      </c>
      <c r="F56" s="8">
        <v>1.47</v>
      </c>
      <c r="G56" s="12">
        <v>28</v>
      </c>
      <c r="H56" s="8">
        <v>2.75</v>
      </c>
      <c r="I56" s="12">
        <v>0</v>
      </c>
    </row>
    <row r="57" spans="2:9" ht="15" customHeight="1" x14ac:dyDescent="0.2">
      <c r="B57" t="s">
        <v>178</v>
      </c>
      <c r="C57" s="12">
        <v>45</v>
      </c>
      <c r="D57" s="8">
        <v>2.06</v>
      </c>
      <c r="E57" s="12">
        <v>13</v>
      </c>
      <c r="F57" s="8">
        <v>1.1200000000000001</v>
      </c>
      <c r="G57" s="12">
        <v>32</v>
      </c>
      <c r="H57" s="8">
        <v>3.14</v>
      </c>
      <c r="I57" s="12">
        <v>0</v>
      </c>
    </row>
    <row r="58" spans="2:9" ht="15" customHeight="1" x14ac:dyDescent="0.2">
      <c r="B58" t="s">
        <v>198</v>
      </c>
      <c r="C58" s="12">
        <v>45</v>
      </c>
      <c r="D58" s="8">
        <v>2.06</v>
      </c>
      <c r="E58" s="12">
        <v>42</v>
      </c>
      <c r="F58" s="8">
        <v>3.63</v>
      </c>
      <c r="G58" s="12">
        <v>3</v>
      </c>
      <c r="H58" s="8">
        <v>0.28999999999999998</v>
      </c>
      <c r="I58" s="12">
        <v>0</v>
      </c>
    </row>
    <row r="59" spans="2:9" ht="15" customHeight="1" x14ac:dyDescent="0.2">
      <c r="B59" t="s">
        <v>175</v>
      </c>
      <c r="C59" s="12">
        <v>41</v>
      </c>
      <c r="D59" s="8">
        <v>1.87</v>
      </c>
      <c r="E59" s="12">
        <v>11</v>
      </c>
      <c r="F59" s="8">
        <v>0.95</v>
      </c>
      <c r="G59" s="12">
        <v>30</v>
      </c>
      <c r="H59" s="8">
        <v>2.95</v>
      </c>
      <c r="I59" s="12">
        <v>0</v>
      </c>
    </row>
    <row r="60" spans="2:9" ht="15" customHeight="1" x14ac:dyDescent="0.2">
      <c r="B60" t="s">
        <v>179</v>
      </c>
      <c r="C60" s="12">
        <v>39</v>
      </c>
      <c r="D60" s="8">
        <v>1.78</v>
      </c>
      <c r="E60" s="12">
        <v>34</v>
      </c>
      <c r="F60" s="8">
        <v>2.94</v>
      </c>
      <c r="G60" s="12">
        <v>5</v>
      </c>
      <c r="H60" s="8">
        <v>0.49</v>
      </c>
      <c r="I60" s="12">
        <v>0</v>
      </c>
    </row>
    <row r="61" spans="2:9" ht="15" customHeight="1" x14ac:dyDescent="0.2">
      <c r="B61" t="s">
        <v>209</v>
      </c>
      <c r="C61" s="12">
        <v>34</v>
      </c>
      <c r="D61" s="8">
        <v>1.55</v>
      </c>
      <c r="E61" s="12">
        <v>24</v>
      </c>
      <c r="F61" s="8">
        <v>2.0699999999999998</v>
      </c>
      <c r="G61" s="12">
        <v>10</v>
      </c>
      <c r="H61" s="8">
        <v>0.98</v>
      </c>
      <c r="I61" s="12">
        <v>0</v>
      </c>
    </row>
    <row r="62" spans="2:9" ht="15" customHeight="1" x14ac:dyDescent="0.2">
      <c r="B62" t="s">
        <v>177</v>
      </c>
      <c r="C62" s="12">
        <v>32</v>
      </c>
      <c r="D62" s="8">
        <v>1.46</v>
      </c>
      <c r="E62" s="12">
        <v>8</v>
      </c>
      <c r="F62" s="8">
        <v>0.69</v>
      </c>
      <c r="G62" s="12">
        <v>24</v>
      </c>
      <c r="H62" s="8">
        <v>2.36</v>
      </c>
      <c r="I62" s="12">
        <v>0</v>
      </c>
    </row>
    <row r="63" spans="2:9" ht="15" customHeight="1" x14ac:dyDescent="0.2">
      <c r="B63" t="s">
        <v>197</v>
      </c>
      <c r="C63" s="12">
        <v>32</v>
      </c>
      <c r="D63" s="8">
        <v>1.46</v>
      </c>
      <c r="E63" s="12">
        <v>22</v>
      </c>
      <c r="F63" s="8">
        <v>1.9</v>
      </c>
      <c r="G63" s="12">
        <v>10</v>
      </c>
      <c r="H63" s="8">
        <v>0.98</v>
      </c>
      <c r="I63" s="12">
        <v>0</v>
      </c>
    </row>
    <row r="64" spans="2:9" ht="15" customHeight="1" x14ac:dyDescent="0.2">
      <c r="B64" t="s">
        <v>189</v>
      </c>
      <c r="C64" s="12">
        <v>32</v>
      </c>
      <c r="D64" s="8">
        <v>1.46</v>
      </c>
      <c r="E64" s="12">
        <v>30</v>
      </c>
      <c r="F64" s="8">
        <v>2.59</v>
      </c>
      <c r="G64" s="12">
        <v>2</v>
      </c>
      <c r="H64" s="8">
        <v>0.2</v>
      </c>
      <c r="I64" s="12">
        <v>0</v>
      </c>
    </row>
    <row r="65" spans="2:9" ht="15" customHeight="1" x14ac:dyDescent="0.2">
      <c r="B65" t="s">
        <v>199</v>
      </c>
      <c r="C65" s="12">
        <v>31</v>
      </c>
      <c r="D65" s="8">
        <v>1.42</v>
      </c>
      <c r="E65" s="12">
        <v>15</v>
      </c>
      <c r="F65" s="8">
        <v>1.3</v>
      </c>
      <c r="G65" s="12">
        <v>16</v>
      </c>
      <c r="H65" s="8">
        <v>1.57</v>
      </c>
      <c r="I65" s="12">
        <v>0</v>
      </c>
    </row>
    <row r="66" spans="2:9" ht="15" customHeight="1" x14ac:dyDescent="0.2">
      <c r="B66" t="s">
        <v>194</v>
      </c>
      <c r="C66" s="12">
        <v>30</v>
      </c>
      <c r="D66" s="8">
        <v>1.37</v>
      </c>
      <c r="E66" s="12">
        <v>9</v>
      </c>
      <c r="F66" s="8">
        <v>0.78</v>
      </c>
      <c r="G66" s="12">
        <v>21</v>
      </c>
      <c r="H66" s="8">
        <v>2.06</v>
      </c>
      <c r="I66" s="12">
        <v>0</v>
      </c>
    </row>
    <row r="67" spans="2:9" ht="15" customHeight="1" x14ac:dyDescent="0.2">
      <c r="B67" t="s">
        <v>181</v>
      </c>
      <c r="C67" s="12">
        <v>30</v>
      </c>
      <c r="D67" s="8">
        <v>1.37</v>
      </c>
      <c r="E67" s="12">
        <v>16</v>
      </c>
      <c r="F67" s="8">
        <v>1.38</v>
      </c>
      <c r="G67" s="12">
        <v>14</v>
      </c>
      <c r="H67" s="8">
        <v>1.38</v>
      </c>
      <c r="I67" s="12">
        <v>0</v>
      </c>
    </row>
    <row r="68" spans="2:9" ht="15" customHeight="1" x14ac:dyDescent="0.2">
      <c r="B68" t="s">
        <v>220</v>
      </c>
      <c r="C68" s="12">
        <v>30</v>
      </c>
      <c r="D68" s="8">
        <v>1.37</v>
      </c>
      <c r="E68" s="12">
        <v>26</v>
      </c>
      <c r="F68" s="8">
        <v>2.25</v>
      </c>
      <c r="G68" s="12">
        <v>4</v>
      </c>
      <c r="H68" s="8">
        <v>0.39</v>
      </c>
      <c r="I68" s="12">
        <v>0</v>
      </c>
    </row>
    <row r="69" spans="2:9" ht="15" customHeight="1" x14ac:dyDescent="0.2">
      <c r="B69" t="s">
        <v>188</v>
      </c>
      <c r="C69" s="12">
        <v>30</v>
      </c>
      <c r="D69" s="8">
        <v>1.37</v>
      </c>
      <c r="E69" s="12">
        <v>28</v>
      </c>
      <c r="F69" s="8">
        <v>2.42</v>
      </c>
      <c r="G69" s="12">
        <v>2</v>
      </c>
      <c r="H69" s="8">
        <v>0.2</v>
      </c>
      <c r="I69" s="12">
        <v>0</v>
      </c>
    </row>
    <row r="71" spans="2:9" ht="15" customHeight="1" x14ac:dyDescent="0.2">
      <c r="B71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5C59E-989C-4627-87DF-29A516164CAC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386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37</v>
      </c>
      <c r="D6" s="8">
        <v>20.11</v>
      </c>
      <c r="E6" s="12">
        <v>27</v>
      </c>
      <c r="F6" s="8">
        <v>20.93</v>
      </c>
      <c r="G6" s="12">
        <v>10</v>
      </c>
      <c r="H6" s="8">
        <v>20</v>
      </c>
      <c r="I6" s="12">
        <v>0</v>
      </c>
    </row>
    <row r="7" spans="2:9" ht="15" customHeight="1" x14ac:dyDescent="0.2">
      <c r="B7" t="s">
        <v>80</v>
      </c>
      <c r="C7" s="12">
        <v>24</v>
      </c>
      <c r="D7" s="8">
        <v>13.04</v>
      </c>
      <c r="E7" s="12">
        <v>16</v>
      </c>
      <c r="F7" s="8">
        <v>12.4</v>
      </c>
      <c r="G7" s="12">
        <v>8</v>
      </c>
      <c r="H7" s="8">
        <v>16</v>
      </c>
      <c r="I7" s="12">
        <v>0</v>
      </c>
    </row>
    <row r="8" spans="2:9" ht="15" customHeight="1" x14ac:dyDescent="0.2">
      <c r="B8" t="s">
        <v>81</v>
      </c>
      <c r="C8" s="12">
        <v>2</v>
      </c>
      <c r="D8" s="8">
        <v>1.0900000000000001</v>
      </c>
      <c r="E8" s="12">
        <v>0</v>
      </c>
      <c r="F8" s="8">
        <v>0</v>
      </c>
      <c r="G8" s="12">
        <v>1</v>
      </c>
      <c r="H8" s="8">
        <v>2</v>
      </c>
      <c r="I8" s="12">
        <v>0</v>
      </c>
    </row>
    <row r="9" spans="2:9" ht="15" customHeight="1" x14ac:dyDescent="0.2">
      <c r="B9" t="s">
        <v>82</v>
      </c>
      <c r="C9" s="12">
        <v>2</v>
      </c>
      <c r="D9" s="8">
        <v>1.0900000000000001</v>
      </c>
      <c r="E9" s="12">
        <v>1</v>
      </c>
      <c r="F9" s="8">
        <v>0.78</v>
      </c>
      <c r="G9" s="12">
        <v>1</v>
      </c>
      <c r="H9" s="8">
        <v>2</v>
      </c>
      <c r="I9" s="12">
        <v>0</v>
      </c>
    </row>
    <row r="10" spans="2:9" ht="15" customHeight="1" x14ac:dyDescent="0.2">
      <c r="B10" t="s">
        <v>83</v>
      </c>
      <c r="C10" s="12">
        <v>2</v>
      </c>
      <c r="D10" s="8">
        <v>1.0900000000000001</v>
      </c>
      <c r="E10" s="12">
        <v>0</v>
      </c>
      <c r="F10" s="8">
        <v>0</v>
      </c>
      <c r="G10" s="12">
        <v>1</v>
      </c>
      <c r="H10" s="8">
        <v>2</v>
      </c>
      <c r="I10" s="12">
        <v>0</v>
      </c>
    </row>
    <row r="11" spans="2:9" ht="15" customHeight="1" x14ac:dyDescent="0.2">
      <c r="B11" t="s">
        <v>84</v>
      </c>
      <c r="C11" s="12">
        <v>41</v>
      </c>
      <c r="D11" s="8">
        <v>22.28</v>
      </c>
      <c r="E11" s="12">
        <v>22</v>
      </c>
      <c r="F11" s="8">
        <v>17.05</v>
      </c>
      <c r="G11" s="12">
        <v>18</v>
      </c>
      <c r="H11" s="8">
        <v>36</v>
      </c>
      <c r="I11" s="12">
        <v>1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4</v>
      </c>
      <c r="D13" s="8">
        <v>2.17</v>
      </c>
      <c r="E13" s="12">
        <v>3</v>
      </c>
      <c r="F13" s="8">
        <v>2.33</v>
      </c>
      <c r="G13" s="12">
        <v>1</v>
      </c>
      <c r="H13" s="8">
        <v>2</v>
      </c>
      <c r="I13" s="12">
        <v>0</v>
      </c>
    </row>
    <row r="14" spans="2:9" ht="15" customHeight="1" x14ac:dyDescent="0.2">
      <c r="B14" t="s">
        <v>87</v>
      </c>
      <c r="C14" s="12">
        <v>8</v>
      </c>
      <c r="D14" s="8">
        <v>4.3499999999999996</v>
      </c>
      <c r="E14" s="12">
        <v>5</v>
      </c>
      <c r="F14" s="8">
        <v>3.88</v>
      </c>
      <c r="G14" s="12">
        <v>2</v>
      </c>
      <c r="H14" s="8">
        <v>4</v>
      </c>
      <c r="I14" s="12">
        <v>0</v>
      </c>
    </row>
    <row r="15" spans="2:9" ht="15" customHeight="1" x14ac:dyDescent="0.2">
      <c r="B15" t="s">
        <v>88</v>
      </c>
      <c r="C15" s="12">
        <v>26</v>
      </c>
      <c r="D15" s="8">
        <v>14.13</v>
      </c>
      <c r="E15" s="12">
        <v>25</v>
      </c>
      <c r="F15" s="8">
        <v>19.38</v>
      </c>
      <c r="G15" s="12">
        <v>1</v>
      </c>
      <c r="H15" s="8">
        <v>2</v>
      </c>
      <c r="I15" s="12">
        <v>0</v>
      </c>
    </row>
    <row r="16" spans="2:9" ht="15" customHeight="1" x14ac:dyDescent="0.2">
      <c r="B16" t="s">
        <v>89</v>
      </c>
      <c r="C16" s="12">
        <v>23</v>
      </c>
      <c r="D16" s="8">
        <v>12.5</v>
      </c>
      <c r="E16" s="12">
        <v>19</v>
      </c>
      <c r="F16" s="8">
        <v>14.73</v>
      </c>
      <c r="G16" s="12">
        <v>4</v>
      </c>
      <c r="H16" s="8">
        <v>8</v>
      </c>
      <c r="I16" s="12">
        <v>0</v>
      </c>
    </row>
    <row r="17" spans="2:9" ht="15" customHeight="1" x14ac:dyDescent="0.2">
      <c r="B17" t="s">
        <v>90</v>
      </c>
      <c r="C17" s="12">
        <v>4</v>
      </c>
      <c r="D17" s="8">
        <v>2.17</v>
      </c>
      <c r="E17" s="12">
        <v>3</v>
      </c>
      <c r="F17" s="8">
        <v>2.33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6</v>
      </c>
      <c r="D18" s="8">
        <v>3.26</v>
      </c>
      <c r="E18" s="12">
        <v>6</v>
      </c>
      <c r="F18" s="8">
        <v>4.6500000000000004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92</v>
      </c>
      <c r="C19" s="12">
        <v>5</v>
      </c>
      <c r="D19" s="8">
        <v>2.72</v>
      </c>
      <c r="E19" s="12">
        <v>2</v>
      </c>
      <c r="F19" s="8">
        <v>1.55</v>
      </c>
      <c r="G19" s="12">
        <v>3</v>
      </c>
      <c r="H19" s="8">
        <v>6</v>
      </c>
      <c r="I19" s="12">
        <v>0</v>
      </c>
    </row>
    <row r="20" spans="2:9" ht="15" customHeight="1" x14ac:dyDescent="0.2">
      <c r="B20" s="9" t="s">
        <v>363</v>
      </c>
      <c r="C20" s="12">
        <f>SUM(LTBL_20303[総数／事業所数])</f>
        <v>184</v>
      </c>
      <c r="E20" s="12">
        <f>SUBTOTAL(109,LTBL_20303[個人／事業所数])</f>
        <v>129</v>
      </c>
      <c r="G20" s="12">
        <f>SUBTOTAL(109,LTBL_20303[法人／事業所数])</f>
        <v>50</v>
      </c>
      <c r="I20" s="12">
        <f>SUBTOTAL(109,LTBL_20303[法人以外の団体／事業所数])</f>
        <v>1</v>
      </c>
    </row>
    <row r="21" spans="2:9" ht="15" customHeight="1" x14ac:dyDescent="0.2">
      <c r="E21" s="11">
        <f>LTBL_20303[[#Totals],[個人／事業所数]]/LTBL_20303[[#Totals],[総数／事業所数]]</f>
        <v>0.70108695652173914</v>
      </c>
      <c r="G21" s="11">
        <f>LTBL_20303[[#Totals],[法人／事業所数]]/LTBL_20303[[#Totals],[総数／事業所数]]</f>
        <v>0.27173913043478259</v>
      </c>
      <c r="I21" s="11">
        <f>LTBL_20303[[#Totals],[法人以外の団体／事業所数]]/LTBL_20303[[#Totals],[総数／事業所数]]</f>
        <v>5.434782608695652E-3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101</v>
      </c>
      <c r="C24" s="12">
        <v>21</v>
      </c>
      <c r="D24" s="8">
        <v>11.41</v>
      </c>
      <c r="E24" s="12">
        <v>14</v>
      </c>
      <c r="F24" s="8">
        <v>10.85</v>
      </c>
      <c r="G24" s="12">
        <v>7</v>
      </c>
      <c r="H24" s="8">
        <v>14</v>
      </c>
      <c r="I24" s="12">
        <v>0</v>
      </c>
    </row>
    <row r="25" spans="2:9" ht="15" customHeight="1" x14ac:dyDescent="0.2">
      <c r="B25" t="s">
        <v>115</v>
      </c>
      <c r="C25" s="12">
        <v>17</v>
      </c>
      <c r="D25" s="8">
        <v>9.24</v>
      </c>
      <c r="E25" s="12">
        <v>17</v>
      </c>
      <c r="F25" s="8">
        <v>13.18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116</v>
      </c>
      <c r="C26" s="12">
        <v>15</v>
      </c>
      <c r="D26" s="8">
        <v>8.15</v>
      </c>
      <c r="E26" s="12">
        <v>14</v>
      </c>
      <c r="F26" s="8">
        <v>10.85</v>
      </c>
      <c r="G26" s="12">
        <v>1</v>
      </c>
      <c r="H26" s="8">
        <v>2</v>
      </c>
      <c r="I26" s="12">
        <v>0</v>
      </c>
    </row>
    <row r="27" spans="2:9" ht="15" customHeight="1" x14ac:dyDescent="0.2">
      <c r="B27" t="s">
        <v>108</v>
      </c>
      <c r="C27" s="12">
        <v>13</v>
      </c>
      <c r="D27" s="8">
        <v>7.07</v>
      </c>
      <c r="E27" s="12">
        <v>10</v>
      </c>
      <c r="F27" s="8">
        <v>7.75</v>
      </c>
      <c r="G27" s="12">
        <v>2</v>
      </c>
      <c r="H27" s="8">
        <v>4</v>
      </c>
      <c r="I27" s="12">
        <v>1</v>
      </c>
    </row>
    <row r="28" spans="2:9" ht="15" customHeight="1" x14ac:dyDescent="0.2">
      <c r="B28" t="s">
        <v>110</v>
      </c>
      <c r="C28" s="12">
        <v>12</v>
      </c>
      <c r="D28" s="8">
        <v>6.52</v>
      </c>
      <c r="E28" s="12">
        <v>6</v>
      </c>
      <c r="F28" s="8">
        <v>4.6500000000000004</v>
      </c>
      <c r="G28" s="12">
        <v>6</v>
      </c>
      <c r="H28" s="8">
        <v>12</v>
      </c>
      <c r="I28" s="12">
        <v>0</v>
      </c>
    </row>
    <row r="29" spans="2:9" ht="15" customHeight="1" x14ac:dyDescent="0.2">
      <c r="B29" t="s">
        <v>102</v>
      </c>
      <c r="C29" s="12">
        <v>10</v>
      </c>
      <c r="D29" s="8">
        <v>5.43</v>
      </c>
      <c r="E29" s="12">
        <v>9</v>
      </c>
      <c r="F29" s="8">
        <v>6.98</v>
      </c>
      <c r="G29" s="12">
        <v>1</v>
      </c>
      <c r="H29" s="8">
        <v>2</v>
      </c>
      <c r="I29" s="12">
        <v>0</v>
      </c>
    </row>
    <row r="30" spans="2:9" ht="15" customHeight="1" x14ac:dyDescent="0.2">
      <c r="B30" t="s">
        <v>114</v>
      </c>
      <c r="C30" s="12">
        <v>9</v>
      </c>
      <c r="D30" s="8">
        <v>4.8899999999999997</v>
      </c>
      <c r="E30" s="12">
        <v>8</v>
      </c>
      <c r="F30" s="8">
        <v>6.2</v>
      </c>
      <c r="G30" s="12">
        <v>1</v>
      </c>
      <c r="H30" s="8">
        <v>2</v>
      </c>
      <c r="I30" s="12">
        <v>0</v>
      </c>
    </row>
    <row r="31" spans="2:9" ht="15" customHeight="1" x14ac:dyDescent="0.2">
      <c r="B31" t="s">
        <v>103</v>
      </c>
      <c r="C31" s="12">
        <v>6</v>
      </c>
      <c r="D31" s="8">
        <v>3.26</v>
      </c>
      <c r="E31" s="12">
        <v>4</v>
      </c>
      <c r="F31" s="8">
        <v>3.1</v>
      </c>
      <c r="G31" s="12">
        <v>2</v>
      </c>
      <c r="H31" s="8">
        <v>4</v>
      </c>
      <c r="I31" s="12">
        <v>0</v>
      </c>
    </row>
    <row r="32" spans="2:9" ht="15" customHeight="1" x14ac:dyDescent="0.2">
      <c r="B32" t="s">
        <v>127</v>
      </c>
      <c r="C32" s="12">
        <v>6</v>
      </c>
      <c r="D32" s="8">
        <v>3.26</v>
      </c>
      <c r="E32" s="12">
        <v>5</v>
      </c>
      <c r="F32" s="8">
        <v>3.88</v>
      </c>
      <c r="G32" s="12">
        <v>1</v>
      </c>
      <c r="H32" s="8">
        <v>2</v>
      </c>
      <c r="I32" s="12">
        <v>0</v>
      </c>
    </row>
    <row r="33" spans="2:9" ht="15" customHeight="1" x14ac:dyDescent="0.2">
      <c r="B33" t="s">
        <v>107</v>
      </c>
      <c r="C33" s="12">
        <v>6</v>
      </c>
      <c r="D33" s="8">
        <v>3.26</v>
      </c>
      <c r="E33" s="12">
        <v>2</v>
      </c>
      <c r="F33" s="8">
        <v>1.55</v>
      </c>
      <c r="G33" s="12">
        <v>4</v>
      </c>
      <c r="H33" s="8">
        <v>8</v>
      </c>
      <c r="I33" s="12">
        <v>0</v>
      </c>
    </row>
    <row r="34" spans="2:9" ht="15" customHeight="1" x14ac:dyDescent="0.2">
      <c r="B34" t="s">
        <v>118</v>
      </c>
      <c r="C34" s="12">
        <v>6</v>
      </c>
      <c r="D34" s="8">
        <v>3.26</v>
      </c>
      <c r="E34" s="12">
        <v>6</v>
      </c>
      <c r="F34" s="8">
        <v>4.6500000000000004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109</v>
      </c>
      <c r="C35" s="12">
        <v>5</v>
      </c>
      <c r="D35" s="8">
        <v>2.72</v>
      </c>
      <c r="E35" s="12">
        <v>2</v>
      </c>
      <c r="F35" s="8">
        <v>1.55</v>
      </c>
      <c r="G35" s="12">
        <v>3</v>
      </c>
      <c r="H35" s="8">
        <v>6</v>
      </c>
      <c r="I35" s="12">
        <v>0</v>
      </c>
    </row>
    <row r="36" spans="2:9" ht="15" customHeight="1" x14ac:dyDescent="0.2">
      <c r="B36" t="s">
        <v>113</v>
      </c>
      <c r="C36" s="12">
        <v>5</v>
      </c>
      <c r="D36" s="8">
        <v>2.72</v>
      </c>
      <c r="E36" s="12">
        <v>3</v>
      </c>
      <c r="F36" s="8">
        <v>2.33</v>
      </c>
      <c r="G36" s="12">
        <v>1</v>
      </c>
      <c r="H36" s="8">
        <v>2</v>
      </c>
      <c r="I36" s="12">
        <v>0</v>
      </c>
    </row>
    <row r="37" spans="2:9" ht="15" customHeight="1" x14ac:dyDescent="0.2">
      <c r="B37" t="s">
        <v>131</v>
      </c>
      <c r="C37" s="12">
        <v>5</v>
      </c>
      <c r="D37" s="8">
        <v>2.72</v>
      </c>
      <c r="E37" s="12">
        <v>3</v>
      </c>
      <c r="F37" s="8">
        <v>2.33</v>
      </c>
      <c r="G37" s="12">
        <v>2</v>
      </c>
      <c r="H37" s="8">
        <v>4</v>
      </c>
      <c r="I37" s="12">
        <v>0</v>
      </c>
    </row>
    <row r="38" spans="2:9" ht="15" customHeight="1" x14ac:dyDescent="0.2">
      <c r="B38" t="s">
        <v>135</v>
      </c>
      <c r="C38" s="12">
        <v>4</v>
      </c>
      <c r="D38" s="8">
        <v>2.17</v>
      </c>
      <c r="E38" s="12">
        <v>2</v>
      </c>
      <c r="F38" s="8">
        <v>1.55</v>
      </c>
      <c r="G38" s="12">
        <v>2</v>
      </c>
      <c r="H38" s="8">
        <v>4</v>
      </c>
      <c r="I38" s="12">
        <v>0</v>
      </c>
    </row>
    <row r="39" spans="2:9" ht="15" customHeight="1" x14ac:dyDescent="0.2">
      <c r="B39" t="s">
        <v>117</v>
      </c>
      <c r="C39" s="12">
        <v>4</v>
      </c>
      <c r="D39" s="8">
        <v>2.17</v>
      </c>
      <c r="E39" s="12">
        <v>3</v>
      </c>
      <c r="F39" s="8">
        <v>2.33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126</v>
      </c>
      <c r="C40" s="12">
        <v>3</v>
      </c>
      <c r="D40" s="8">
        <v>1.63</v>
      </c>
      <c r="E40" s="12">
        <v>3</v>
      </c>
      <c r="F40" s="8">
        <v>2.33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125</v>
      </c>
      <c r="C41" s="12">
        <v>3</v>
      </c>
      <c r="D41" s="8">
        <v>1.63</v>
      </c>
      <c r="E41" s="12">
        <v>0</v>
      </c>
      <c r="F41" s="8">
        <v>0</v>
      </c>
      <c r="G41" s="12">
        <v>3</v>
      </c>
      <c r="H41" s="8">
        <v>6</v>
      </c>
      <c r="I41" s="12">
        <v>0</v>
      </c>
    </row>
    <row r="42" spans="2:9" ht="15" customHeight="1" x14ac:dyDescent="0.2">
      <c r="B42" t="s">
        <v>111</v>
      </c>
      <c r="C42" s="12">
        <v>3</v>
      </c>
      <c r="D42" s="8">
        <v>1.63</v>
      </c>
      <c r="E42" s="12">
        <v>2</v>
      </c>
      <c r="F42" s="8">
        <v>1.55</v>
      </c>
      <c r="G42" s="12">
        <v>1</v>
      </c>
      <c r="H42" s="8">
        <v>2</v>
      </c>
      <c r="I42" s="12">
        <v>0</v>
      </c>
    </row>
    <row r="43" spans="2:9" ht="15" customHeight="1" x14ac:dyDescent="0.2">
      <c r="B43" t="s">
        <v>132</v>
      </c>
      <c r="C43" s="12">
        <v>3</v>
      </c>
      <c r="D43" s="8">
        <v>1.63</v>
      </c>
      <c r="E43" s="12">
        <v>2</v>
      </c>
      <c r="F43" s="8">
        <v>1.55</v>
      </c>
      <c r="G43" s="12">
        <v>1</v>
      </c>
      <c r="H43" s="8">
        <v>2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176</v>
      </c>
      <c r="C47" s="12">
        <v>10</v>
      </c>
      <c r="D47" s="8">
        <v>5.43</v>
      </c>
      <c r="E47" s="12">
        <v>8</v>
      </c>
      <c r="F47" s="8">
        <v>6.2</v>
      </c>
      <c r="G47" s="12">
        <v>2</v>
      </c>
      <c r="H47" s="8">
        <v>4</v>
      </c>
      <c r="I47" s="12">
        <v>0</v>
      </c>
    </row>
    <row r="48" spans="2:9" ht="15" customHeight="1" x14ac:dyDescent="0.2">
      <c r="B48" t="s">
        <v>185</v>
      </c>
      <c r="C48" s="12">
        <v>9</v>
      </c>
      <c r="D48" s="8">
        <v>4.8899999999999997</v>
      </c>
      <c r="E48" s="12">
        <v>8</v>
      </c>
      <c r="F48" s="8">
        <v>6.2</v>
      </c>
      <c r="G48" s="12">
        <v>1</v>
      </c>
      <c r="H48" s="8">
        <v>2</v>
      </c>
      <c r="I48" s="12">
        <v>0</v>
      </c>
    </row>
    <row r="49" spans="2:9" ht="15" customHeight="1" x14ac:dyDescent="0.2">
      <c r="B49" t="s">
        <v>191</v>
      </c>
      <c r="C49" s="12">
        <v>9</v>
      </c>
      <c r="D49" s="8">
        <v>4.8899999999999997</v>
      </c>
      <c r="E49" s="12">
        <v>9</v>
      </c>
      <c r="F49" s="8">
        <v>6.98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174</v>
      </c>
      <c r="C50" s="12">
        <v>7</v>
      </c>
      <c r="D50" s="8">
        <v>3.8</v>
      </c>
      <c r="E50" s="12">
        <v>4</v>
      </c>
      <c r="F50" s="8">
        <v>3.1</v>
      </c>
      <c r="G50" s="12">
        <v>3</v>
      </c>
      <c r="H50" s="8">
        <v>6</v>
      </c>
      <c r="I50" s="12">
        <v>0</v>
      </c>
    </row>
    <row r="51" spans="2:9" ht="15" customHeight="1" x14ac:dyDescent="0.2">
      <c r="B51" t="s">
        <v>186</v>
      </c>
      <c r="C51" s="12">
        <v>7</v>
      </c>
      <c r="D51" s="8">
        <v>3.8</v>
      </c>
      <c r="E51" s="12">
        <v>7</v>
      </c>
      <c r="F51" s="8">
        <v>5.43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177</v>
      </c>
      <c r="C52" s="12">
        <v>5</v>
      </c>
      <c r="D52" s="8">
        <v>2.72</v>
      </c>
      <c r="E52" s="12">
        <v>4</v>
      </c>
      <c r="F52" s="8">
        <v>3.1</v>
      </c>
      <c r="G52" s="12">
        <v>1</v>
      </c>
      <c r="H52" s="8">
        <v>2</v>
      </c>
      <c r="I52" s="12">
        <v>0</v>
      </c>
    </row>
    <row r="53" spans="2:9" ht="15" customHeight="1" x14ac:dyDescent="0.2">
      <c r="B53" t="s">
        <v>179</v>
      </c>
      <c r="C53" s="12">
        <v>5</v>
      </c>
      <c r="D53" s="8">
        <v>2.72</v>
      </c>
      <c r="E53" s="12">
        <v>3</v>
      </c>
      <c r="F53" s="8">
        <v>2.33</v>
      </c>
      <c r="G53" s="12">
        <v>2</v>
      </c>
      <c r="H53" s="8">
        <v>4</v>
      </c>
      <c r="I53" s="12">
        <v>0</v>
      </c>
    </row>
    <row r="54" spans="2:9" ht="15" customHeight="1" x14ac:dyDescent="0.2">
      <c r="B54" t="s">
        <v>190</v>
      </c>
      <c r="C54" s="12">
        <v>5</v>
      </c>
      <c r="D54" s="8">
        <v>2.72</v>
      </c>
      <c r="E54" s="12">
        <v>5</v>
      </c>
      <c r="F54" s="8">
        <v>3.88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193</v>
      </c>
      <c r="C55" s="12">
        <v>5</v>
      </c>
      <c r="D55" s="8">
        <v>2.72</v>
      </c>
      <c r="E55" s="12">
        <v>5</v>
      </c>
      <c r="F55" s="8">
        <v>3.88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210</v>
      </c>
      <c r="C56" s="12">
        <v>4</v>
      </c>
      <c r="D56" s="8">
        <v>2.17</v>
      </c>
      <c r="E56" s="12">
        <v>4</v>
      </c>
      <c r="F56" s="8">
        <v>3.1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214</v>
      </c>
      <c r="C57" s="12">
        <v>4</v>
      </c>
      <c r="D57" s="8">
        <v>2.17</v>
      </c>
      <c r="E57" s="12">
        <v>4</v>
      </c>
      <c r="F57" s="8">
        <v>3.1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180</v>
      </c>
      <c r="C58" s="12">
        <v>4</v>
      </c>
      <c r="D58" s="8">
        <v>2.17</v>
      </c>
      <c r="E58" s="12">
        <v>2</v>
      </c>
      <c r="F58" s="8">
        <v>1.55</v>
      </c>
      <c r="G58" s="12">
        <v>2</v>
      </c>
      <c r="H58" s="8">
        <v>4</v>
      </c>
      <c r="I58" s="12">
        <v>0</v>
      </c>
    </row>
    <row r="59" spans="2:9" ht="15" customHeight="1" x14ac:dyDescent="0.2">
      <c r="B59" t="s">
        <v>189</v>
      </c>
      <c r="C59" s="12">
        <v>4</v>
      </c>
      <c r="D59" s="8">
        <v>2.17</v>
      </c>
      <c r="E59" s="12">
        <v>4</v>
      </c>
      <c r="F59" s="8">
        <v>3.1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224</v>
      </c>
      <c r="C60" s="12">
        <v>3</v>
      </c>
      <c r="D60" s="8">
        <v>1.63</v>
      </c>
      <c r="E60" s="12">
        <v>3</v>
      </c>
      <c r="F60" s="8">
        <v>2.33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202</v>
      </c>
      <c r="C61" s="12">
        <v>3</v>
      </c>
      <c r="D61" s="8">
        <v>1.63</v>
      </c>
      <c r="E61" s="12">
        <v>3</v>
      </c>
      <c r="F61" s="8">
        <v>2.33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225</v>
      </c>
      <c r="C62" s="12">
        <v>3</v>
      </c>
      <c r="D62" s="8">
        <v>1.63</v>
      </c>
      <c r="E62" s="12">
        <v>0</v>
      </c>
      <c r="F62" s="8">
        <v>0</v>
      </c>
      <c r="G62" s="12">
        <v>3</v>
      </c>
      <c r="H62" s="8">
        <v>6</v>
      </c>
      <c r="I62" s="12">
        <v>0</v>
      </c>
    </row>
    <row r="63" spans="2:9" ht="15" customHeight="1" x14ac:dyDescent="0.2">
      <c r="B63" t="s">
        <v>196</v>
      </c>
      <c r="C63" s="12">
        <v>3</v>
      </c>
      <c r="D63" s="8">
        <v>1.63</v>
      </c>
      <c r="E63" s="12">
        <v>0</v>
      </c>
      <c r="F63" s="8">
        <v>0</v>
      </c>
      <c r="G63" s="12">
        <v>3</v>
      </c>
      <c r="H63" s="8">
        <v>6</v>
      </c>
      <c r="I63" s="12">
        <v>0</v>
      </c>
    </row>
    <row r="64" spans="2:9" ht="15" customHeight="1" x14ac:dyDescent="0.2">
      <c r="B64" t="s">
        <v>226</v>
      </c>
      <c r="C64" s="12">
        <v>3</v>
      </c>
      <c r="D64" s="8">
        <v>1.63</v>
      </c>
      <c r="E64" s="12">
        <v>2</v>
      </c>
      <c r="F64" s="8">
        <v>1.55</v>
      </c>
      <c r="G64" s="12">
        <v>1</v>
      </c>
      <c r="H64" s="8">
        <v>2</v>
      </c>
      <c r="I64" s="12">
        <v>0</v>
      </c>
    </row>
    <row r="65" spans="2:9" ht="15" customHeight="1" x14ac:dyDescent="0.2">
      <c r="B65" t="s">
        <v>227</v>
      </c>
      <c r="C65" s="12">
        <v>3</v>
      </c>
      <c r="D65" s="8">
        <v>1.63</v>
      </c>
      <c r="E65" s="12">
        <v>2</v>
      </c>
      <c r="F65" s="8">
        <v>1.55</v>
      </c>
      <c r="G65" s="12">
        <v>0</v>
      </c>
      <c r="H65" s="8">
        <v>0</v>
      </c>
      <c r="I65" s="12">
        <v>1</v>
      </c>
    </row>
    <row r="66" spans="2:9" ht="15" customHeight="1" x14ac:dyDescent="0.2">
      <c r="B66" t="s">
        <v>216</v>
      </c>
      <c r="C66" s="12">
        <v>3</v>
      </c>
      <c r="D66" s="8">
        <v>1.63</v>
      </c>
      <c r="E66" s="12">
        <v>0</v>
      </c>
      <c r="F66" s="8">
        <v>0</v>
      </c>
      <c r="G66" s="12">
        <v>3</v>
      </c>
      <c r="H66" s="8">
        <v>6</v>
      </c>
      <c r="I66" s="12">
        <v>0</v>
      </c>
    </row>
    <row r="67" spans="2:9" ht="15" customHeight="1" x14ac:dyDescent="0.2">
      <c r="B67" t="s">
        <v>183</v>
      </c>
      <c r="C67" s="12">
        <v>3</v>
      </c>
      <c r="D67" s="8">
        <v>1.63</v>
      </c>
      <c r="E67" s="12">
        <v>2</v>
      </c>
      <c r="F67" s="8">
        <v>1.55</v>
      </c>
      <c r="G67" s="12">
        <v>1</v>
      </c>
      <c r="H67" s="8">
        <v>2</v>
      </c>
      <c r="I67" s="12">
        <v>0</v>
      </c>
    </row>
    <row r="68" spans="2:9" ht="15" customHeight="1" x14ac:dyDescent="0.2">
      <c r="B68" t="s">
        <v>184</v>
      </c>
      <c r="C68" s="12">
        <v>3</v>
      </c>
      <c r="D68" s="8">
        <v>1.63</v>
      </c>
      <c r="E68" s="12">
        <v>2</v>
      </c>
      <c r="F68" s="8">
        <v>1.55</v>
      </c>
      <c r="G68" s="12">
        <v>1</v>
      </c>
      <c r="H68" s="8">
        <v>2</v>
      </c>
      <c r="I68" s="12">
        <v>0</v>
      </c>
    </row>
    <row r="69" spans="2:9" ht="15" customHeight="1" x14ac:dyDescent="0.2">
      <c r="B69" t="s">
        <v>187</v>
      </c>
      <c r="C69" s="12">
        <v>3</v>
      </c>
      <c r="D69" s="8">
        <v>1.63</v>
      </c>
      <c r="E69" s="12">
        <v>3</v>
      </c>
      <c r="F69" s="8">
        <v>2.33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228</v>
      </c>
      <c r="C70" s="12">
        <v>3</v>
      </c>
      <c r="D70" s="8">
        <v>1.63</v>
      </c>
      <c r="E70" s="12">
        <v>2</v>
      </c>
      <c r="F70" s="8">
        <v>1.55</v>
      </c>
      <c r="G70" s="12">
        <v>1</v>
      </c>
      <c r="H70" s="8">
        <v>2</v>
      </c>
      <c r="I70" s="12">
        <v>0</v>
      </c>
    </row>
    <row r="71" spans="2:9" ht="15" customHeight="1" x14ac:dyDescent="0.2">
      <c r="B71" t="s">
        <v>229</v>
      </c>
      <c r="C71" s="12">
        <v>3</v>
      </c>
      <c r="D71" s="8">
        <v>1.63</v>
      </c>
      <c r="E71" s="12">
        <v>2</v>
      </c>
      <c r="F71" s="8">
        <v>1.55</v>
      </c>
      <c r="G71" s="12">
        <v>1</v>
      </c>
      <c r="H71" s="8">
        <v>2</v>
      </c>
      <c r="I71" s="12">
        <v>0</v>
      </c>
    </row>
    <row r="72" spans="2:9" ht="15" customHeight="1" x14ac:dyDescent="0.2">
      <c r="B72" t="s">
        <v>192</v>
      </c>
      <c r="C72" s="12">
        <v>3</v>
      </c>
      <c r="D72" s="8">
        <v>1.63</v>
      </c>
      <c r="E72" s="12">
        <v>3</v>
      </c>
      <c r="F72" s="8">
        <v>2.33</v>
      </c>
      <c r="G72" s="12">
        <v>0</v>
      </c>
      <c r="H72" s="8">
        <v>0</v>
      </c>
      <c r="I72" s="12">
        <v>0</v>
      </c>
    </row>
    <row r="74" spans="2:9" ht="15" customHeight="1" x14ac:dyDescent="0.2">
      <c r="B74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C8E8E-0A67-40AF-8E2B-BA914EDD593E}">
  <sheetPr>
    <pageSetUpPr fitToPage="1"/>
  </sheetPr>
  <dimension ref="B2:I8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387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24</v>
      </c>
      <c r="D6" s="8">
        <v>21.05</v>
      </c>
      <c r="E6" s="12">
        <v>14</v>
      </c>
      <c r="F6" s="8">
        <v>22.58</v>
      </c>
      <c r="G6" s="12">
        <v>10</v>
      </c>
      <c r="H6" s="8">
        <v>22.22</v>
      </c>
      <c r="I6" s="12">
        <v>0</v>
      </c>
    </row>
    <row r="7" spans="2:9" ht="15" customHeight="1" x14ac:dyDescent="0.2">
      <c r="B7" t="s">
        <v>80</v>
      </c>
      <c r="C7" s="12">
        <v>7</v>
      </c>
      <c r="D7" s="8">
        <v>6.14</v>
      </c>
      <c r="E7" s="12">
        <v>3</v>
      </c>
      <c r="F7" s="8">
        <v>4.84</v>
      </c>
      <c r="G7" s="12">
        <v>4</v>
      </c>
      <c r="H7" s="8">
        <v>8.89</v>
      </c>
      <c r="I7" s="12">
        <v>0</v>
      </c>
    </row>
    <row r="8" spans="2:9" ht="15" customHeight="1" x14ac:dyDescent="0.2">
      <c r="B8" t="s">
        <v>81</v>
      </c>
      <c r="C8" s="12">
        <v>2</v>
      </c>
      <c r="D8" s="8">
        <v>1.75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2</v>
      </c>
      <c r="D10" s="8">
        <v>1.75</v>
      </c>
      <c r="E10" s="12">
        <v>0</v>
      </c>
      <c r="F10" s="8">
        <v>0</v>
      </c>
      <c r="G10" s="12">
        <v>1</v>
      </c>
      <c r="H10" s="8">
        <v>2.2200000000000002</v>
      </c>
      <c r="I10" s="12">
        <v>0</v>
      </c>
    </row>
    <row r="11" spans="2:9" ht="15" customHeight="1" x14ac:dyDescent="0.2">
      <c r="B11" t="s">
        <v>84</v>
      </c>
      <c r="C11" s="12">
        <v>31</v>
      </c>
      <c r="D11" s="8">
        <v>27.19</v>
      </c>
      <c r="E11" s="12">
        <v>14</v>
      </c>
      <c r="F11" s="8">
        <v>22.58</v>
      </c>
      <c r="G11" s="12">
        <v>17</v>
      </c>
      <c r="H11" s="8">
        <v>37.78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1</v>
      </c>
      <c r="D13" s="8">
        <v>0.88</v>
      </c>
      <c r="E13" s="12">
        <v>0</v>
      </c>
      <c r="F13" s="8">
        <v>0</v>
      </c>
      <c r="G13" s="12">
        <v>1</v>
      </c>
      <c r="H13" s="8">
        <v>2.2200000000000002</v>
      </c>
      <c r="I13" s="12">
        <v>0</v>
      </c>
    </row>
    <row r="14" spans="2:9" ht="15" customHeight="1" x14ac:dyDescent="0.2">
      <c r="B14" t="s">
        <v>87</v>
      </c>
      <c r="C14" s="12">
        <v>1</v>
      </c>
      <c r="D14" s="8">
        <v>0.88</v>
      </c>
      <c r="E14" s="12">
        <v>1</v>
      </c>
      <c r="F14" s="8">
        <v>1.61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88</v>
      </c>
      <c r="C15" s="12">
        <v>18</v>
      </c>
      <c r="D15" s="8">
        <v>15.79</v>
      </c>
      <c r="E15" s="12">
        <v>11</v>
      </c>
      <c r="F15" s="8">
        <v>17.739999999999998</v>
      </c>
      <c r="G15" s="12">
        <v>7</v>
      </c>
      <c r="H15" s="8">
        <v>15.56</v>
      </c>
      <c r="I15" s="12">
        <v>0</v>
      </c>
    </row>
    <row r="16" spans="2:9" ht="15" customHeight="1" x14ac:dyDescent="0.2">
      <c r="B16" t="s">
        <v>89</v>
      </c>
      <c r="C16" s="12">
        <v>12</v>
      </c>
      <c r="D16" s="8">
        <v>10.53</v>
      </c>
      <c r="E16" s="12">
        <v>11</v>
      </c>
      <c r="F16" s="8">
        <v>17.739999999999998</v>
      </c>
      <c r="G16" s="12">
        <v>1</v>
      </c>
      <c r="H16" s="8">
        <v>2.2200000000000002</v>
      </c>
      <c r="I16" s="12">
        <v>0</v>
      </c>
    </row>
    <row r="17" spans="2:9" ht="15" customHeight="1" x14ac:dyDescent="0.2">
      <c r="B17" t="s">
        <v>90</v>
      </c>
      <c r="C17" s="12">
        <v>8</v>
      </c>
      <c r="D17" s="8">
        <v>7.02</v>
      </c>
      <c r="E17" s="12">
        <v>7</v>
      </c>
      <c r="F17" s="8">
        <v>11.29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3</v>
      </c>
      <c r="D18" s="8">
        <v>2.63</v>
      </c>
      <c r="E18" s="12">
        <v>1</v>
      </c>
      <c r="F18" s="8">
        <v>1.61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92</v>
      </c>
      <c r="C19" s="12">
        <v>5</v>
      </c>
      <c r="D19" s="8">
        <v>4.3899999999999997</v>
      </c>
      <c r="E19" s="12">
        <v>0</v>
      </c>
      <c r="F19" s="8">
        <v>0</v>
      </c>
      <c r="G19" s="12">
        <v>4</v>
      </c>
      <c r="H19" s="8">
        <v>8.89</v>
      </c>
      <c r="I19" s="12">
        <v>0</v>
      </c>
    </row>
    <row r="20" spans="2:9" ht="15" customHeight="1" x14ac:dyDescent="0.2">
      <c r="B20" s="9" t="s">
        <v>363</v>
      </c>
      <c r="C20" s="12">
        <f>SUM(LTBL_20304[総数／事業所数])</f>
        <v>114</v>
      </c>
      <c r="E20" s="12">
        <f>SUBTOTAL(109,LTBL_20304[個人／事業所数])</f>
        <v>62</v>
      </c>
      <c r="G20" s="12">
        <f>SUBTOTAL(109,LTBL_20304[法人／事業所数])</f>
        <v>45</v>
      </c>
      <c r="I20" s="12">
        <f>SUBTOTAL(109,LTBL_20304[法人以外の団体／事業所数])</f>
        <v>0</v>
      </c>
    </row>
    <row r="21" spans="2:9" ht="15" customHeight="1" x14ac:dyDescent="0.2">
      <c r="E21" s="11">
        <f>LTBL_20304[[#Totals],[個人／事業所数]]/LTBL_20304[[#Totals],[総数／事業所数]]</f>
        <v>0.54385964912280704</v>
      </c>
      <c r="G21" s="11">
        <f>LTBL_20304[[#Totals],[法人／事業所数]]/LTBL_20304[[#Totals],[総数／事業所数]]</f>
        <v>0.39473684210526316</v>
      </c>
      <c r="I21" s="11">
        <f>LTBL_20304[[#Totals],[法人以外の団体／事業所数]]/LTBL_20304[[#Totals],[総数／事業所数]]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101</v>
      </c>
      <c r="C24" s="12">
        <v>15</v>
      </c>
      <c r="D24" s="8">
        <v>13.16</v>
      </c>
      <c r="E24" s="12">
        <v>5</v>
      </c>
      <c r="F24" s="8">
        <v>8.06</v>
      </c>
      <c r="G24" s="12">
        <v>10</v>
      </c>
      <c r="H24" s="8">
        <v>22.22</v>
      </c>
      <c r="I24" s="12">
        <v>0</v>
      </c>
    </row>
    <row r="25" spans="2:9" ht="15" customHeight="1" x14ac:dyDescent="0.2">
      <c r="B25" t="s">
        <v>110</v>
      </c>
      <c r="C25" s="12">
        <v>14</v>
      </c>
      <c r="D25" s="8">
        <v>12.28</v>
      </c>
      <c r="E25" s="12">
        <v>7</v>
      </c>
      <c r="F25" s="8">
        <v>11.29</v>
      </c>
      <c r="G25" s="12">
        <v>7</v>
      </c>
      <c r="H25" s="8">
        <v>15.56</v>
      </c>
      <c r="I25" s="12">
        <v>0</v>
      </c>
    </row>
    <row r="26" spans="2:9" ht="15" customHeight="1" x14ac:dyDescent="0.2">
      <c r="B26" t="s">
        <v>114</v>
      </c>
      <c r="C26" s="12">
        <v>10</v>
      </c>
      <c r="D26" s="8">
        <v>8.77</v>
      </c>
      <c r="E26" s="12">
        <v>5</v>
      </c>
      <c r="F26" s="8">
        <v>8.06</v>
      </c>
      <c r="G26" s="12">
        <v>5</v>
      </c>
      <c r="H26" s="8">
        <v>11.11</v>
      </c>
      <c r="I26" s="12">
        <v>0</v>
      </c>
    </row>
    <row r="27" spans="2:9" ht="15" customHeight="1" x14ac:dyDescent="0.2">
      <c r="B27" t="s">
        <v>116</v>
      </c>
      <c r="C27" s="12">
        <v>10</v>
      </c>
      <c r="D27" s="8">
        <v>8.77</v>
      </c>
      <c r="E27" s="12">
        <v>9</v>
      </c>
      <c r="F27" s="8">
        <v>14.52</v>
      </c>
      <c r="G27" s="12">
        <v>1</v>
      </c>
      <c r="H27" s="8">
        <v>2.2200000000000002</v>
      </c>
      <c r="I27" s="12">
        <v>0</v>
      </c>
    </row>
    <row r="28" spans="2:9" ht="15" customHeight="1" x14ac:dyDescent="0.2">
      <c r="B28" t="s">
        <v>108</v>
      </c>
      <c r="C28" s="12">
        <v>8</v>
      </c>
      <c r="D28" s="8">
        <v>7.02</v>
      </c>
      <c r="E28" s="12">
        <v>6</v>
      </c>
      <c r="F28" s="8">
        <v>9.68</v>
      </c>
      <c r="G28" s="12">
        <v>2</v>
      </c>
      <c r="H28" s="8">
        <v>4.4400000000000004</v>
      </c>
      <c r="I28" s="12">
        <v>0</v>
      </c>
    </row>
    <row r="29" spans="2:9" ht="15" customHeight="1" x14ac:dyDescent="0.2">
      <c r="B29" t="s">
        <v>115</v>
      </c>
      <c r="C29" s="12">
        <v>8</v>
      </c>
      <c r="D29" s="8">
        <v>7.02</v>
      </c>
      <c r="E29" s="12">
        <v>6</v>
      </c>
      <c r="F29" s="8">
        <v>9.68</v>
      </c>
      <c r="G29" s="12">
        <v>2</v>
      </c>
      <c r="H29" s="8">
        <v>4.4400000000000004</v>
      </c>
      <c r="I29" s="12">
        <v>0</v>
      </c>
    </row>
    <row r="30" spans="2:9" ht="15" customHeight="1" x14ac:dyDescent="0.2">
      <c r="B30" t="s">
        <v>117</v>
      </c>
      <c r="C30" s="12">
        <v>8</v>
      </c>
      <c r="D30" s="8">
        <v>7.02</v>
      </c>
      <c r="E30" s="12">
        <v>7</v>
      </c>
      <c r="F30" s="8">
        <v>11.29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102</v>
      </c>
      <c r="C31" s="12">
        <v>5</v>
      </c>
      <c r="D31" s="8">
        <v>4.3899999999999997</v>
      </c>
      <c r="E31" s="12">
        <v>5</v>
      </c>
      <c r="F31" s="8">
        <v>8.06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125</v>
      </c>
      <c r="C32" s="12">
        <v>5</v>
      </c>
      <c r="D32" s="8">
        <v>4.3899999999999997</v>
      </c>
      <c r="E32" s="12">
        <v>0</v>
      </c>
      <c r="F32" s="8">
        <v>0</v>
      </c>
      <c r="G32" s="12">
        <v>5</v>
      </c>
      <c r="H32" s="8">
        <v>11.11</v>
      </c>
      <c r="I32" s="12">
        <v>0</v>
      </c>
    </row>
    <row r="33" spans="2:9" ht="15" customHeight="1" x14ac:dyDescent="0.2">
      <c r="B33" t="s">
        <v>103</v>
      </c>
      <c r="C33" s="12">
        <v>4</v>
      </c>
      <c r="D33" s="8">
        <v>3.51</v>
      </c>
      <c r="E33" s="12">
        <v>4</v>
      </c>
      <c r="F33" s="8">
        <v>6.45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106</v>
      </c>
      <c r="C34" s="12">
        <v>3</v>
      </c>
      <c r="D34" s="8">
        <v>2.63</v>
      </c>
      <c r="E34" s="12">
        <v>1</v>
      </c>
      <c r="F34" s="8">
        <v>1.61</v>
      </c>
      <c r="G34" s="12">
        <v>2</v>
      </c>
      <c r="H34" s="8">
        <v>4.4400000000000004</v>
      </c>
      <c r="I34" s="12">
        <v>0</v>
      </c>
    </row>
    <row r="35" spans="2:9" ht="15" customHeight="1" x14ac:dyDescent="0.2">
      <c r="B35" t="s">
        <v>120</v>
      </c>
      <c r="C35" s="12">
        <v>3</v>
      </c>
      <c r="D35" s="8">
        <v>2.63</v>
      </c>
      <c r="E35" s="12">
        <v>0</v>
      </c>
      <c r="F35" s="8">
        <v>0</v>
      </c>
      <c r="G35" s="12">
        <v>3</v>
      </c>
      <c r="H35" s="8">
        <v>6.67</v>
      </c>
      <c r="I35" s="12">
        <v>0</v>
      </c>
    </row>
    <row r="36" spans="2:9" ht="15" customHeight="1" x14ac:dyDescent="0.2">
      <c r="B36" t="s">
        <v>137</v>
      </c>
      <c r="C36" s="12">
        <v>2</v>
      </c>
      <c r="D36" s="8">
        <v>1.75</v>
      </c>
      <c r="E36" s="12">
        <v>0</v>
      </c>
      <c r="F36" s="8">
        <v>0</v>
      </c>
      <c r="G36" s="12">
        <v>2</v>
      </c>
      <c r="H36" s="8">
        <v>4.4400000000000004</v>
      </c>
      <c r="I36" s="12">
        <v>0</v>
      </c>
    </row>
    <row r="37" spans="2:9" ht="15" customHeight="1" x14ac:dyDescent="0.2">
      <c r="B37" t="s">
        <v>135</v>
      </c>
      <c r="C37" s="12">
        <v>2</v>
      </c>
      <c r="D37" s="8">
        <v>1.75</v>
      </c>
      <c r="E37" s="12">
        <v>2</v>
      </c>
      <c r="F37" s="8">
        <v>3.23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139</v>
      </c>
      <c r="C38" s="12">
        <v>2</v>
      </c>
      <c r="D38" s="8">
        <v>1.75</v>
      </c>
      <c r="E38" s="12">
        <v>0</v>
      </c>
      <c r="F38" s="8">
        <v>0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140</v>
      </c>
      <c r="C39" s="12">
        <v>2</v>
      </c>
      <c r="D39" s="8">
        <v>1.75</v>
      </c>
      <c r="E39" s="12">
        <v>0</v>
      </c>
      <c r="F39" s="8">
        <v>0</v>
      </c>
      <c r="G39" s="12">
        <v>1</v>
      </c>
      <c r="H39" s="8">
        <v>2.2200000000000002</v>
      </c>
      <c r="I39" s="12">
        <v>0</v>
      </c>
    </row>
    <row r="40" spans="2:9" ht="15" customHeight="1" x14ac:dyDescent="0.2">
      <c r="B40" t="s">
        <v>131</v>
      </c>
      <c r="C40" s="12">
        <v>2</v>
      </c>
      <c r="D40" s="8">
        <v>1.75</v>
      </c>
      <c r="E40" s="12">
        <v>2</v>
      </c>
      <c r="F40" s="8">
        <v>3.23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118</v>
      </c>
      <c r="C41" s="12">
        <v>2</v>
      </c>
      <c r="D41" s="8">
        <v>1.75</v>
      </c>
      <c r="E41" s="12">
        <v>1</v>
      </c>
      <c r="F41" s="8">
        <v>1.61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127</v>
      </c>
      <c r="C42" s="12">
        <v>1</v>
      </c>
      <c r="D42" s="8">
        <v>0.88</v>
      </c>
      <c r="E42" s="12">
        <v>0</v>
      </c>
      <c r="F42" s="8">
        <v>0</v>
      </c>
      <c r="G42" s="12">
        <v>1</v>
      </c>
      <c r="H42" s="8">
        <v>2.2200000000000002</v>
      </c>
      <c r="I42" s="12">
        <v>0</v>
      </c>
    </row>
    <row r="43" spans="2:9" ht="15" customHeight="1" x14ac:dyDescent="0.2">
      <c r="B43" t="s">
        <v>130</v>
      </c>
      <c r="C43" s="12">
        <v>1</v>
      </c>
      <c r="D43" s="8">
        <v>0.88</v>
      </c>
      <c r="E43" s="12">
        <v>1</v>
      </c>
      <c r="F43" s="8">
        <v>1.61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138</v>
      </c>
      <c r="C44" s="12">
        <v>1</v>
      </c>
      <c r="D44" s="8">
        <v>0.88</v>
      </c>
      <c r="E44" s="12">
        <v>0</v>
      </c>
      <c r="F44" s="8">
        <v>0</v>
      </c>
      <c r="G44" s="12">
        <v>1</v>
      </c>
      <c r="H44" s="8">
        <v>2.2200000000000002</v>
      </c>
      <c r="I44" s="12">
        <v>0</v>
      </c>
    </row>
    <row r="45" spans="2:9" ht="15" customHeight="1" x14ac:dyDescent="0.2">
      <c r="B45" t="s">
        <v>122</v>
      </c>
      <c r="C45" s="12">
        <v>1</v>
      </c>
      <c r="D45" s="8">
        <v>0.88</v>
      </c>
      <c r="E45" s="12">
        <v>0</v>
      </c>
      <c r="F45" s="8">
        <v>0</v>
      </c>
      <c r="G45" s="12">
        <v>1</v>
      </c>
      <c r="H45" s="8">
        <v>2.2200000000000002</v>
      </c>
      <c r="I45" s="12">
        <v>0</v>
      </c>
    </row>
    <row r="46" spans="2:9" ht="15" customHeight="1" x14ac:dyDescent="0.2">
      <c r="B46" t="s">
        <v>111</v>
      </c>
      <c r="C46" s="12">
        <v>1</v>
      </c>
      <c r="D46" s="8">
        <v>0.88</v>
      </c>
      <c r="E46" s="12">
        <v>0</v>
      </c>
      <c r="F46" s="8">
        <v>0</v>
      </c>
      <c r="G46" s="12">
        <v>1</v>
      </c>
      <c r="H46" s="8">
        <v>2.2200000000000002</v>
      </c>
      <c r="I46" s="12">
        <v>0</v>
      </c>
    </row>
    <row r="47" spans="2:9" ht="15" customHeight="1" x14ac:dyDescent="0.2">
      <c r="B47" t="s">
        <v>112</v>
      </c>
      <c r="C47" s="12">
        <v>1</v>
      </c>
      <c r="D47" s="8">
        <v>0.88</v>
      </c>
      <c r="E47" s="12">
        <v>1</v>
      </c>
      <c r="F47" s="8">
        <v>1.61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119</v>
      </c>
      <c r="C48" s="12">
        <v>1</v>
      </c>
      <c r="D48" s="8">
        <v>0.88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124</v>
      </c>
      <c r="C49" s="12">
        <v>1</v>
      </c>
      <c r="D49" s="8">
        <v>0.88</v>
      </c>
      <c r="E49" s="12">
        <v>0</v>
      </c>
      <c r="F49" s="8">
        <v>0</v>
      </c>
      <c r="G49" s="12">
        <v>1</v>
      </c>
      <c r="H49" s="8">
        <v>2.2200000000000002</v>
      </c>
      <c r="I49" s="12">
        <v>0</v>
      </c>
    </row>
    <row r="50" spans="2:9" ht="15" customHeight="1" x14ac:dyDescent="0.2">
      <c r="B50" t="s">
        <v>141</v>
      </c>
      <c r="C50" s="12">
        <v>1</v>
      </c>
      <c r="D50" s="8">
        <v>0.88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3" spans="2:9" ht="33" customHeight="1" x14ac:dyDescent="0.2">
      <c r="B53" t="s">
        <v>365</v>
      </c>
      <c r="C53" s="10" t="s">
        <v>94</v>
      </c>
      <c r="D53" s="10" t="s">
        <v>95</v>
      </c>
      <c r="E53" s="10" t="s">
        <v>96</v>
      </c>
      <c r="F53" s="10" t="s">
        <v>97</v>
      </c>
      <c r="G53" s="10" t="s">
        <v>98</v>
      </c>
      <c r="H53" s="10" t="s">
        <v>99</v>
      </c>
      <c r="I53" s="10" t="s">
        <v>100</v>
      </c>
    </row>
    <row r="54" spans="2:9" ht="15" customHeight="1" x14ac:dyDescent="0.2">
      <c r="B54" t="s">
        <v>185</v>
      </c>
      <c r="C54" s="12">
        <v>7</v>
      </c>
      <c r="D54" s="8">
        <v>6.14</v>
      </c>
      <c r="E54" s="12">
        <v>3</v>
      </c>
      <c r="F54" s="8">
        <v>4.84</v>
      </c>
      <c r="G54" s="12">
        <v>4</v>
      </c>
      <c r="H54" s="8">
        <v>8.89</v>
      </c>
      <c r="I54" s="12">
        <v>0</v>
      </c>
    </row>
    <row r="55" spans="2:9" ht="15" customHeight="1" x14ac:dyDescent="0.2">
      <c r="B55" t="s">
        <v>174</v>
      </c>
      <c r="C55" s="12">
        <v>6</v>
      </c>
      <c r="D55" s="8">
        <v>5.26</v>
      </c>
      <c r="E55" s="12">
        <v>2</v>
      </c>
      <c r="F55" s="8">
        <v>3.23</v>
      </c>
      <c r="G55" s="12">
        <v>4</v>
      </c>
      <c r="H55" s="8">
        <v>8.89</v>
      </c>
      <c r="I55" s="12">
        <v>0</v>
      </c>
    </row>
    <row r="56" spans="2:9" ht="15" customHeight="1" x14ac:dyDescent="0.2">
      <c r="B56" t="s">
        <v>213</v>
      </c>
      <c r="C56" s="12">
        <v>5</v>
      </c>
      <c r="D56" s="8">
        <v>4.3899999999999997</v>
      </c>
      <c r="E56" s="12">
        <v>0</v>
      </c>
      <c r="F56" s="8">
        <v>0</v>
      </c>
      <c r="G56" s="12">
        <v>5</v>
      </c>
      <c r="H56" s="8">
        <v>11.11</v>
      </c>
      <c r="I56" s="12">
        <v>0</v>
      </c>
    </row>
    <row r="57" spans="2:9" ht="15" customHeight="1" x14ac:dyDescent="0.2">
      <c r="B57" t="s">
        <v>177</v>
      </c>
      <c r="C57" s="12">
        <v>4</v>
      </c>
      <c r="D57" s="8">
        <v>3.51</v>
      </c>
      <c r="E57" s="12">
        <v>4</v>
      </c>
      <c r="F57" s="8">
        <v>6.45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181</v>
      </c>
      <c r="C58" s="12">
        <v>4</v>
      </c>
      <c r="D58" s="8">
        <v>3.51</v>
      </c>
      <c r="E58" s="12">
        <v>4</v>
      </c>
      <c r="F58" s="8">
        <v>6.45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190</v>
      </c>
      <c r="C59" s="12">
        <v>4</v>
      </c>
      <c r="D59" s="8">
        <v>3.51</v>
      </c>
      <c r="E59" s="12">
        <v>4</v>
      </c>
      <c r="F59" s="8">
        <v>6.45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209</v>
      </c>
      <c r="C60" s="12">
        <v>4</v>
      </c>
      <c r="D60" s="8">
        <v>3.51</v>
      </c>
      <c r="E60" s="12">
        <v>4</v>
      </c>
      <c r="F60" s="8">
        <v>6.45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175</v>
      </c>
      <c r="C61" s="12">
        <v>3</v>
      </c>
      <c r="D61" s="8">
        <v>2.63</v>
      </c>
      <c r="E61" s="12">
        <v>1</v>
      </c>
      <c r="F61" s="8">
        <v>1.61</v>
      </c>
      <c r="G61" s="12">
        <v>2</v>
      </c>
      <c r="H61" s="8">
        <v>4.4400000000000004</v>
      </c>
      <c r="I61" s="12">
        <v>0</v>
      </c>
    </row>
    <row r="62" spans="2:9" ht="15" customHeight="1" x14ac:dyDescent="0.2">
      <c r="B62" t="s">
        <v>176</v>
      </c>
      <c r="C62" s="12">
        <v>3</v>
      </c>
      <c r="D62" s="8">
        <v>2.63</v>
      </c>
      <c r="E62" s="12">
        <v>1</v>
      </c>
      <c r="F62" s="8">
        <v>1.61</v>
      </c>
      <c r="G62" s="12">
        <v>2</v>
      </c>
      <c r="H62" s="8">
        <v>4.4400000000000004</v>
      </c>
      <c r="I62" s="12">
        <v>0</v>
      </c>
    </row>
    <row r="63" spans="2:9" ht="15" customHeight="1" x14ac:dyDescent="0.2">
      <c r="B63" t="s">
        <v>206</v>
      </c>
      <c r="C63" s="12">
        <v>3</v>
      </c>
      <c r="D63" s="8">
        <v>2.63</v>
      </c>
      <c r="E63" s="12">
        <v>1</v>
      </c>
      <c r="F63" s="8">
        <v>1.61</v>
      </c>
      <c r="G63" s="12">
        <v>2</v>
      </c>
      <c r="H63" s="8">
        <v>4.4400000000000004</v>
      </c>
      <c r="I63" s="12">
        <v>0</v>
      </c>
    </row>
    <row r="64" spans="2:9" ht="15" customHeight="1" x14ac:dyDescent="0.2">
      <c r="B64" t="s">
        <v>197</v>
      </c>
      <c r="C64" s="12">
        <v>3</v>
      </c>
      <c r="D64" s="8">
        <v>2.63</v>
      </c>
      <c r="E64" s="12">
        <v>3</v>
      </c>
      <c r="F64" s="8">
        <v>4.84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216</v>
      </c>
      <c r="C65" s="12">
        <v>3</v>
      </c>
      <c r="D65" s="8">
        <v>2.63</v>
      </c>
      <c r="E65" s="12">
        <v>0</v>
      </c>
      <c r="F65" s="8">
        <v>0</v>
      </c>
      <c r="G65" s="12">
        <v>3</v>
      </c>
      <c r="H65" s="8">
        <v>6.67</v>
      </c>
      <c r="I65" s="12">
        <v>0</v>
      </c>
    </row>
    <row r="66" spans="2:9" ht="15" customHeight="1" x14ac:dyDescent="0.2">
      <c r="B66" t="s">
        <v>199</v>
      </c>
      <c r="C66" s="12">
        <v>3</v>
      </c>
      <c r="D66" s="8">
        <v>2.63</v>
      </c>
      <c r="E66" s="12">
        <v>2</v>
      </c>
      <c r="F66" s="8">
        <v>3.23</v>
      </c>
      <c r="G66" s="12">
        <v>1</v>
      </c>
      <c r="H66" s="8">
        <v>2.2200000000000002</v>
      </c>
      <c r="I66" s="12">
        <v>0</v>
      </c>
    </row>
    <row r="67" spans="2:9" ht="15" customHeight="1" x14ac:dyDescent="0.2">
      <c r="B67" t="s">
        <v>192</v>
      </c>
      <c r="C67" s="12">
        <v>3</v>
      </c>
      <c r="D67" s="8">
        <v>2.63</v>
      </c>
      <c r="E67" s="12">
        <v>3</v>
      </c>
      <c r="F67" s="8">
        <v>4.84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200</v>
      </c>
      <c r="C68" s="12">
        <v>3</v>
      </c>
      <c r="D68" s="8">
        <v>2.63</v>
      </c>
      <c r="E68" s="12">
        <v>0</v>
      </c>
      <c r="F68" s="8">
        <v>0</v>
      </c>
      <c r="G68" s="12">
        <v>3</v>
      </c>
      <c r="H68" s="8">
        <v>6.67</v>
      </c>
      <c r="I68" s="12">
        <v>0</v>
      </c>
    </row>
    <row r="69" spans="2:9" ht="15" customHeight="1" x14ac:dyDescent="0.2">
      <c r="B69" t="s">
        <v>208</v>
      </c>
      <c r="C69" s="12">
        <v>2</v>
      </c>
      <c r="D69" s="8">
        <v>1.75</v>
      </c>
      <c r="E69" s="12">
        <v>1</v>
      </c>
      <c r="F69" s="8">
        <v>1.61</v>
      </c>
      <c r="G69" s="12">
        <v>1</v>
      </c>
      <c r="H69" s="8">
        <v>2.2200000000000002</v>
      </c>
      <c r="I69" s="12">
        <v>0</v>
      </c>
    </row>
    <row r="70" spans="2:9" ht="15" customHeight="1" x14ac:dyDescent="0.2">
      <c r="B70" t="s">
        <v>210</v>
      </c>
      <c r="C70" s="12">
        <v>2</v>
      </c>
      <c r="D70" s="8">
        <v>1.75</v>
      </c>
      <c r="E70" s="12">
        <v>2</v>
      </c>
      <c r="F70" s="8">
        <v>3.23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218</v>
      </c>
      <c r="C71" s="12">
        <v>2</v>
      </c>
      <c r="D71" s="8">
        <v>1.75</v>
      </c>
      <c r="E71" s="12">
        <v>2</v>
      </c>
      <c r="F71" s="8">
        <v>3.23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230</v>
      </c>
      <c r="C72" s="12">
        <v>2</v>
      </c>
      <c r="D72" s="8">
        <v>1.75</v>
      </c>
      <c r="E72" s="12">
        <v>0</v>
      </c>
      <c r="F72" s="8">
        <v>0</v>
      </c>
      <c r="G72" s="12">
        <v>2</v>
      </c>
      <c r="H72" s="8">
        <v>4.4400000000000004</v>
      </c>
      <c r="I72" s="12">
        <v>0</v>
      </c>
    </row>
    <row r="73" spans="2:9" ht="15" customHeight="1" x14ac:dyDescent="0.2">
      <c r="B73" t="s">
        <v>231</v>
      </c>
      <c r="C73" s="12">
        <v>2</v>
      </c>
      <c r="D73" s="8">
        <v>1.75</v>
      </c>
      <c r="E73" s="12">
        <v>2</v>
      </c>
      <c r="F73" s="8">
        <v>3.23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232</v>
      </c>
      <c r="C74" s="12">
        <v>2</v>
      </c>
      <c r="D74" s="8">
        <v>1.75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233</v>
      </c>
      <c r="C75" s="12">
        <v>2</v>
      </c>
      <c r="D75" s="8">
        <v>1.75</v>
      </c>
      <c r="E75" s="12">
        <v>2</v>
      </c>
      <c r="F75" s="8">
        <v>3.23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179</v>
      </c>
      <c r="C76" s="12">
        <v>2</v>
      </c>
      <c r="D76" s="8">
        <v>1.75</v>
      </c>
      <c r="E76" s="12">
        <v>0</v>
      </c>
      <c r="F76" s="8">
        <v>0</v>
      </c>
      <c r="G76" s="12">
        <v>2</v>
      </c>
      <c r="H76" s="8">
        <v>4.4400000000000004</v>
      </c>
      <c r="I76" s="12">
        <v>0</v>
      </c>
    </row>
    <row r="77" spans="2:9" ht="15" customHeight="1" x14ac:dyDescent="0.2">
      <c r="B77" t="s">
        <v>222</v>
      </c>
      <c r="C77" s="12">
        <v>2</v>
      </c>
      <c r="D77" s="8">
        <v>1.75</v>
      </c>
      <c r="E77" s="12">
        <v>1</v>
      </c>
      <c r="F77" s="8">
        <v>1.61</v>
      </c>
      <c r="G77" s="12">
        <v>1</v>
      </c>
      <c r="H77" s="8">
        <v>2.2200000000000002</v>
      </c>
      <c r="I77" s="12">
        <v>0</v>
      </c>
    </row>
    <row r="78" spans="2:9" ht="15" customHeight="1" x14ac:dyDescent="0.2">
      <c r="B78" t="s">
        <v>194</v>
      </c>
      <c r="C78" s="12">
        <v>2</v>
      </c>
      <c r="D78" s="8">
        <v>1.75</v>
      </c>
      <c r="E78" s="12">
        <v>1</v>
      </c>
      <c r="F78" s="8">
        <v>1.61</v>
      </c>
      <c r="G78" s="12">
        <v>1</v>
      </c>
      <c r="H78" s="8">
        <v>2.2200000000000002</v>
      </c>
      <c r="I78" s="12">
        <v>0</v>
      </c>
    </row>
    <row r="79" spans="2:9" ht="15" customHeight="1" x14ac:dyDescent="0.2">
      <c r="B79" t="s">
        <v>234</v>
      </c>
      <c r="C79" s="12">
        <v>2</v>
      </c>
      <c r="D79" s="8">
        <v>1.75</v>
      </c>
      <c r="E79" s="12">
        <v>1</v>
      </c>
      <c r="F79" s="8">
        <v>1.61</v>
      </c>
      <c r="G79" s="12">
        <v>1</v>
      </c>
      <c r="H79" s="8">
        <v>2.2200000000000002</v>
      </c>
      <c r="I79" s="12">
        <v>0</v>
      </c>
    </row>
    <row r="80" spans="2:9" ht="15" customHeight="1" x14ac:dyDescent="0.2">
      <c r="B80" t="s">
        <v>186</v>
      </c>
      <c r="C80" s="12">
        <v>2</v>
      </c>
      <c r="D80" s="8">
        <v>1.75</v>
      </c>
      <c r="E80" s="12">
        <v>2</v>
      </c>
      <c r="F80" s="8">
        <v>3.23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187</v>
      </c>
      <c r="C81" s="12">
        <v>2</v>
      </c>
      <c r="D81" s="8">
        <v>1.75</v>
      </c>
      <c r="E81" s="12">
        <v>2</v>
      </c>
      <c r="F81" s="8">
        <v>3.23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198</v>
      </c>
      <c r="C82" s="12">
        <v>2</v>
      </c>
      <c r="D82" s="8">
        <v>1.75</v>
      </c>
      <c r="E82" s="12">
        <v>1</v>
      </c>
      <c r="F82" s="8">
        <v>1.61</v>
      </c>
      <c r="G82" s="12">
        <v>1</v>
      </c>
      <c r="H82" s="8">
        <v>2.2200000000000002</v>
      </c>
      <c r="I82" s="12">
        <v>0</v>
      </c>
    </row>
    <row r="83" spans="2:9" ht="15" customHeight="1" x14ac:dyDescent="0.2">
      <c r="B83" t="s">
        <v>191</v>
      </c>
      <c r="C83" s="12">
        <v>2</v>
      </c>
      <c r="D83" s="8">
        <v>1.75</v>
      </c>
      <c r="E83" s="12">
        <v>2</v>
      </c>
      <c r="F83" s="8">
        <v>3.23</v>
      </c>
      <c r="G83" s="12">
        <v>0</v>
      </c>
      <c r="H83" s="8">
        <v>0</v>
      </c>
      <c r="I83" s="12">
        <v>0</v>
      </c>
    </row>
    <row r="85" spans="2:9" ht="15" customHeight="1" x14ac:dyDescent="0.2">
      <c r="B85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75D69-FA1C-4950-B763-231018C4348B}">
  <sheetPr>
    <pageSetUpPr fitToPage="1"/>
  </sheetPr>
  <dimension ref="B2:I9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388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7</v>
      </c>
      <c r="D6" s="8">
        <v>10.45</v>
      </c>
      <c r="E6" s="12">
        <v>4</v>
      </c>
      <c r="F6" s="8">
        <v>10.53</v>
      </c>
      <c r="G6" s="12">
        <v>3</v>
      </c>
      <c r="H6" s="8">
        <v>11.11</v>
      </c>
      <c r="I6" s="12">
        <v>0</v>
      </c>
    </row>
    <row r="7" spans="2:9" ht="15" customHeight="1" x14ac:dyDescent="0.2">
      <c r="B7" t="s">
        <v>80</v>
      </c>
      <c r="C7" s="12">
        <v>3</v>
      </c>
      <c r="D7" s="8">
        <v>4.4800000000000004</v>
      </c>
      <c r="E7" s="12">
        <v>1</v>
      </c>
      <c r="F7" s="8">
        <v>2.63</v>
      </c>
      <c r="G7" s="12">
        <v>2</v>
      </c>
      <c r="H7" s="8">
        <v>7.41</v>
      </c>
      <c r="I7" s="12">
        <v>0</v>
      </c>
    </row>
    <row r="8" spans="2:9" ht="15" customHeight="1" x14ac:dyDescent="0.2">
      <c r="B8" t="s">
        <v>81</v>
      </c>
      <c r="C8" s="12">
        <v>2</v>
      </c>
      <c r="D8" s="8">
        <v>2.99</v>
      </c>
      <c r="E8" s="12">
        <v>0</v>
      </c>
      <c r="F8" s="8">
        <v>0</v>
      </c>
      <c r="G8" s="12">
        <v>1</v>
      </c>
      <c r="H8" s="8">
        <v>3.7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3</v>
      </c>
      <c r="D10" s="8">
        <v>4.4800000000000004</v>
      </c>
      <c r="E10" s="12">
        <v>0</v>
      </c>
      <c r="F10" s="8">
        <v>0</v>
      </c>
      <c r="G10" s="12">
        <v>3</v>
      </c>
      <c r="H10" s="8">
        <v>11.11</v>
      </c>
      <c r="I10" s="12">
        <v>0</v>
      </c>
    </row>
    <row r="11" spans="2:9" ht="15" customHeight="1" x14ac:dyDescent="0.2">
      <c r="B11" t="s">
        <v>84</v>
      </c>
      <c r="C11" s="12">
        <v>15</v>
      </c>
      <c r="D11" s="8">
        <v>22.39</v>
      </c>
      <c r="E11" s="12">
        <v>6</v>
      </c>
      <c r="F11" s="8">
        <v>15.79</v>
      </c>
      <c r="G11" s="12">
        <v>9</v>
      </c>
      <c r="H11" s="8">
        <v>33.33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2</v>
      </c>
      <c r="D13" s="8">
        <v>2.99</v>
      </c>
      <c r="E13" s="12">
        <v>0</v>
      </c>
      <c r="F13" s="8">
        <v>0</v>
      </c>
      <c r="G13" s="12">
        <v>2</v>
      </c>
      <c r="H13" s="8">
        <v>7.41</v>
      </c>
      <c r="I13" s="12">
        <v>0</v>
      </c>
    </row>
    <row r="14" spans="2:9" ht="15" customHeight="1" x14ac:dyDescent="0.2">
      <c r="B14" t="s">
        <v>87</v>
      </c>
      <c r="C14" s="12">
        <v>2</v>
      </c>
      <c r="D14" s="8">
        <v>2.99</v>
      </c>
      <c r="E14" s="12">
        <v>1</v>
      </c>
      <c r="F14" s="8">
        <v>2.63</v>
      </c>
      <c r="G14" s="12">
        <v>1</v>
      </c>
      <c r="H14" s="8">
        <v>3.7</v>
      </c>
      <c r="I14" s="12">
        <v>0</v>
      </c>
    </row>
    <row r="15" spans="2:9" ht="15" customHeight="1" x14ac:dyDescent="0.2">
      <c r="B15" t="s">
        <v>88</v>
      </c>
      <c r="C15" s="12">
        <v>21</v>
      </c>
      <c r="D15" s="8">
        <v>31.34</v>
      </c>
      <c r="E15" s="12">
        <v>18</v>
      </c>
      <c r="F15" s="8">
        <v>47.37</v>
      </c>
      <c r="G15" s="12">
        <v>3</v>
      </c>
      <c r="H15" s="8">
        <v>11.11</v>
      </c>
      <c r="I15" s="12">
        <v>0</v>
      </c>
    </row>
    <row r="16" spans="2:9" ht="15" customHeight="1" x14ac:dyDescent="0.2">
      <c r="B16" t="s">
        <v>89</v>
      </c>
      <c r="C16" s="12">
        <v>5</v>
      </c>
      <c r="D16" s="8">
        <v>7.46</v>
      </c>
      <c r="E16" s="12">
        <v>5</v>
      </c>
      <c r="F16" s="8">
        <v>13.16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90</v>
      </c>
      <c r="C17" s="12">
        <v>2</v>
      </c>
      <c r="D17" s="8">
        <v>2.99</v>
      </c>
      <c r="E17" s="12">
        <v>1</v>
      </c>
      <c r="F17" s="8">
        <v>2.63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1</v>
      </c>
      <c r="D18" s="8">
        <v>1.49</v>
      </c>
      <c r="E18" s="12">
        <v>1</v>
      </c>
      <c r="F18" s="8">
        <v>2.63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92</v>
      </c>
      <c r="C19" s="12">
        <v>4</v>
      </c>
      <c r="D19" s="8">
        <v>5.97</v>
      </c>
      <c r="E19" s="12">
        <v>1</v>
      </c>
      <c r="F19" s="8">
        <v>2.63</v>
      </c>
      <c r="G19" s="12">
        <v>3</v>
      </c>
      <c r="H19" s="8">
        <v>11.11</v>
      </c>
      <c r="I19" s="12">
        <v>0</v>
      </c>
    </row>
    <row r="20" spans="2:9" ht="15" customHeight="1" x14ac:dyDescent="0.2">
      <c r="B20" s="9" t="s">
        <v>363</v>
      </c>
      <c r="C20" s="12">
        <f>SUM(LTBL_20305[総数／事業所数])</f>
        <v>67</v>
      </c>
      <c r="E20" s="12">
        <f>SUBTOTAL(109,LTBL_20305[個人／事業所数])</f>
        <v>38</v>
      </c>
      <c r="G20" s="12">
        <f>SUBTOTAL(109,LTBL_20305[法人／事業所数])</f>
        <v>27</v>
      </c>
      <c r="I20" s="12">
        <f>SUBTOTAL(109,LTBL_20305[法人以外の団体／事業所数])</f>
        <v>0</v>
      </c>
    </row>
    <row r="21" spans="2:9" ht="15" customHeight="1" x14ac:dyDescent="0.2">
      <c r="E21" s="11">
        <f>LTBL_20305[[#Totals],[個人／事業所数]]/LTBL_20305[[#Totals],[総数／事業所数]]</f>
        <v>0.56716417910447758</v>
      </c>
      <c r="G21" s="11">
        <f>LTBL_20305[[#Totals],[法人／事業所数]]/LTBL_20305[[#Totals],[総数／事業所数]]</f>
        <v>0.40298507462686567</v>
      </c>
      <c r="I21" s="11">
        <f>LTBL_20305[[#Totals],[法人以外の団体／事業所数]]/LTBL_20305[[#Totals],[総数／事業所数]]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114</v>
      </c>
      <c r="C24" s="12">
        <v>13</v>
      </c>
      <c r="D24" s="8">
        <v>19.399999999999999</v>
      </c>
      <c r="E24" s="12">
        <v>11</v>
      </c>
      <c r="F24" s="8">
        <v>28.95</v>
      </c>
      <c r="G24" s="12">
        <v>2</v>
      </c>
      <c r="H24" s="8">
        <v>7.41</v>
      </c>
      <c r="I24" s="12">
        <v>0</v>
      </c>
    </row>
    <row r="25" spans="2:9" ht="15" customHeight="1" x14ac:dyDescent="0.2">
      <c r="B25" t="s">
        <v>110</v>
      </c>
      <c r="C25" s="12">
        <v>7</v>
      </c>
      <c r="D25" s="8">
        <v>10.45</v>
      </c>
      <c r="E25" s="12">
        <v>1</v>
      </c>
      <c r="F25" s="8">
        <v>2.63</v>
      </c>
      <c r="G25" s="12">
        <v>6</v>
      </c>
      <c r="H25" s="8">
        <v>22.22</v>
      </c>
      <c r="I25" s="12">
        <v>0</v>
      </c>
    </row>
    <row r="26" spans="2:9" ht="15" customHeight="1" x14ac:dyDescent="0.2">
      <c r="B26" t="s">
        <v>115</v>
      </c>
      <c r="C26" s="12">
        <v>7</v>
      </c>
      <c r="D26" s="8">
        <v>10.45</v>
      </c>
      <c r="E26" s="12">
        <v>6</v>
      </c>
      <c r="F26" s="8">
        <v>15.79</v>
      </c>
      <c r="G26" s="12">
        <v>1</v>
      </c>
      <c r="H26" s="8">
        <v>3.7</v>
      </c>
      <c r="I26" s="12">
        <v>0</v>
      </c>
    </row>
    <row r="27" spans="2:9" ht="15" customHeight="1" x14ac:dyDescent="0.2">
      <c r="B27" t="s">
        <v>116</v>
      </c>
      <c r="C27" s="12">
        <v>4</v>
      </c>
      <c r="D27" s="8">
        <v>5.97</v>
      </c>
      <c r="E27" s="12">
        <v>4</v>
      </c>
      <c r="F27" s="8">
        <v>10.53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101</v>
      </c>
      <c r="C28" s="12">
        <v>3</v>
      </c>
      <c r="D28" s="8">
        <v>4.4800000000000004</v>
      </c>
      <c r="E28" s="12">
        <v>1</v>
      </c>
      <c r="F28" s="8">
        <v>2.63</v>
      </c>
      <c r="G28" s="12">
        <v>2</v>
      </c>
      <c r="H28" s="8">
        <v>7.41</v>
      </c>
      <c r="I28" s="12">
        <v>0</v>
      </c>
    </row>
    <row r="29" spans="2:9" ht="15" customHeight="1" x14ac:dyDescent="0.2">
      <c r="B29" t="s">
        <v>102</v>
      </c>
      <c r="C29" s="12">
        <v>3</v>
      </c>
      <c r="D29" s="8">
        <v>4.4800000000000004</v>
      </c>
      <c r="E29" s="12">
        <v>3</v>
      </c>
      <c r="F29" s="8">
        <v>7.89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146</v>
      </c>
      <c r="C30" s="12">
        <v>2</v>
      </c>
      <c r="D30" s="8">
        <v>2.99</v>
      </c>
      <c r="E30" s="12">
        <v>0</v>
      </c>
      <c r="F30" s="8">
        <v>0</v>
      </c>
      <c r="G30" s="12">
        <v>2</v>
      </c>
      <c r="H30" s="8">
        <v>7.41</v>
      </c>
      <c r="I30" s="12">
        <v>0</v>
      </c>
    </row>
    <row r="31" spans="2:9" ht="15" customHeight="1" x14ac:dyDescent="0.2">
      <c r="B31" t="s">
        <v>125</v>
      </c>
      <c r="C31" s="12">
        <v>2</v>
      </c>
      <c r="D31" s="8">
        <v>2.99</v>
      </c>
      <c r="E31" s="12">
        <v>0</v>
      </c>
      <c r="F31" s="8">
        <v>0</v>
      </c>
      <c r="G31" s="12">
        <v>2</v>
      </c>
      <c r="H31" s="8">
        <v>7.41</v>
      </c>
      <c r="I31" s="12">
        <v>0</v>
      </c>
    </row>
    <row r="32" spans="2:9" ht="15" customHeight="1" x14ac:dyDescent="0.2">
      <c r="B32" t="s">
        <v>108</v>
      </c>
      <c r="C32" s="12">
        <v>2</v>
      </c>
      <c r="D32" s="8">
        <v>2.99</v>
      </c>
      <c r="E32" s="12">
        <v>2</v>
      </c>
      <c r="F32" s="8">
        <v>5.26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133</v>
      </c>
      <c r="C33" s="12">
        <v>2</v>
      </c>
      <c r="D33" s="8">
        <v>2.99</v>
      </c>
      <c r="E33" s="12">
        <v>2</v>
      </c>
      <c r="F33" s="8">
        <v>5.26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111</v>
      </c>
      <c r="C34" s="12">
        <v>2</v>
      </c>
      <c r="D34" s="8">
        <v>2.99</v>
      </c>
      <c r="E34" s="12">
        <v>0</v>
      </c>
      <c r="F34" s="8">
        <v>0</v>
      </c>
      <c r="G34" s="12">
        <v>2</v>
      </c>
      <c r="H34" s="8">
        <v>7.41</v>
      </c>
      <c r="I34" s="12">
        <v>0</v>
      </c>
    </row>
    <row r="35" spans="2:9" ht="15" customHeight="1" x14ac:dyDescent="0.2">
      <c r="B35" t="s">
        <v>117</v>
      </c>
      <c r="C35" s="12">
        <v>2</v>
      </c>
      <c r="D35" s="8">
        <v>2.99</v>
      </c>
      <c r="E35" s="12">
        <v>1</v>
      </c>
      <c r="F35" s="8">
        <v>2.63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120</v>
      </c>
      <c r="C36" s="12">
        <v>2</v>
      </c>
      <c r="D36" s="8">
        <v>2.99</v>
      </c>
      <c r="E36" s="12">
        <v>1</v>
      </c>
      <c r="F36" s="8">
        <v>2.63</v>
      </c>
      <c r="G36" s="12">
        <v>1</v>
      </c>
      <c r="H36" s="8">
        <v>3.7</v>
      </c>
      <c r="I36" s="12">
        <v>0</v>
      </c>
    </row>
    <row r="37" spans="2:9" ht="15" customHeight="1" x14ac:dyDescent="0.2">
      <c r="B37" t="s">
        <v>103</v>
      </c>
      <c r="C37" s="12">
        <v>1</v>
      </c>
      <c r="D37" s="8">
        <v>1.49</v>
      </c>
      <c r="E37" s="12">
        <v>0</v>
      </c>
      <c r="F37" s="8">
        <v>0</v>
      </c>
      <c r="G37" s="12">
        <v>1</v>
      </c>
      <c r="H37" s="8">
        <v>3.7</v>
      </c>
      <c r="I37" s="12">
        <v>0</v>
      </c>
    </row>
    <row r="38" spans="2:9" ht="15" customHeight="1" x14ac:dyDescent="0.2">
      <c r="B38" t="s">
        <v>142</v>
      </c>
      <c r="C38" s="12">
        <v>1</v>
      </c>
      <c r="D38" s="8">
        <v>1.49</v>
      </c>
      <c r="E38" s="12">
        <v>0</v>
      </c>
      <c r="F38" s="8">
        <v>0</v>
      </c>
      <c r="G38" s="12">
        <v>1</v>
      </c>
      <c r="H38" s="8">
        <v>3.7</v>
      </c>
      <c r="I38" s="12">
        <v>0</v>
      </c>
    </row>
    <row r="39" spans="2:9" ht="15" customHeight="1" x14ac:dyDescent="0.2">
      <c r="B39" t="s">
        <v>130</v>
      </c>
      <c r="C39" s="12">
        <v>1</v>
      </c>
      <c r="D39" s="8">
        <v>1.49</v>
      </c>
      <c r="E39" s="12">
        <v>1</v>
      </c>
      <c r="F39" s="8">
        <v>2.63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143</v>
      </c>
      <c r="C40" s="12">
        <v>1</v>
      </c>
      <c r="D40" s="8">
        <v>1.49</v>
      </c>
      <c r="E40" s="12">
        <v>0</v>
      </c>
      <c r="F40" s="8">
        <v>0</v>
      </c>
      <c r="G40" s="12">
        <v>1</v>
      </c>
      <c r="H40" s="8">
        <v>3.7</v>
      </c>
      <c r="I40" s="12">
        <v>0</v>
      </c>
    </row>
    <row r="41" spans="2:9" ht="15" customHeight="1" x14ac:dyDescent="0.2">
      <c r="B41" t="s">
        <v>144</v>
      </c>
      <c r="C41" s="12">
        <v>1</v>
      </c>
      <c r="D41" s="8">
        <v>1.49</v>
      </c>
      <c r="E41" s="12">
        <v>0</v>
      </c>
      <c r="F41" s="8">
        <v>0</v>
      </c>
      <c r="G41" s="12">
        <v>1</v>
      </c>
      <c r="H41" s="8">
        <v>3.7</v>
      </c>
      <c r="I41" s="12">
        <v>0</v>
      </c>
    </row>
    <row r="42" spans="2:9" ht="15" customHeight="1" x14ac:dyDescent="0.2">
      <c r="B42" t="s">
        <v>139</v>
      </c>
      <c r="C42" s="12">
        <v>1</v>
      </c>
      <c r="D42" s="8">
        <v>1.49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145</v>
      </c>
      <c r="C43" s="12">
        <v>1</v>
      </c>
      <c r="D43" s="8">
        <v>1.49</v>
      </c>
      <c r="E43" s="12">
        <v>0</v>
      </c>
      <c r="F43" s="8">
        <v>0</v>
      </c>
      <c r="G43" s="12">
        <v>1</v>
      </c>
      <c r="H43" s="8">
        <v>3.7</v>
      </c>
      <c r="I43" s="12">
        <v>0</v>
      </c>
    </row>
    <row r="44" spans="2:9" ht="15" customHeight="1" x14ac:dyDescent="0.2">
      <c r="B44" t="s">
        <v>106</v>
      </c>
      <c r="C44" s="12">
        <v>1</v>
      </c>
      <c r="D44" s="8">
        <v>1.49</v>
      </c>
      <c r="E44" s="12">
        <v>0</v>
      </c>
      <c r="F44" s="8">
        <v>0</v>
      </c>
      <c r="G44" s="12">
        <v>1</v>
      </c>
      <c r="H44" s="8">
        <v>3.7</v>
      </c>
      <c r="I44" s="12">
        <v>0</v>
      </c>
    </row>
    <row r="45" spans="2:9" ht="15" customHeight="1" x14ac:dyDescent="0.2">
      <c r="B45" t="s">
        <v>109</v>
      </c>
      <c r="C45" s="12">
        <v>1</v>
      </c>
      <c r="D45" s="8">
        <v>1.49</v>
      </c>
      <c r="E45" s="12">
        <v>1</v>
      </c>
      <c r="F45" s="8">
        <v>2.63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112</v>
      </c>
      <c r="C46" s="12">
        <v>1</v>
      </c>
      <c r="D46" s="8">
        <v>1.49</v>
      </c>
      <c r="E46" s="12">
        <v>1</v>
      </c>
      <c r="F46" s="8">
        <v>2.63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113</v>
      </c>
      <c r="C47" s="12">
        <v>1</v>
      </c>
      <c r="D47" s="8">
        <v>1.49</v>
      </c>
      <c r="E47" s="12">
        <v>0</v>
      </c>
      <c r="F47" s="8">
        <v>0</v>
      </c>
      <c r="G47" s="12">
        <v>1</v>
      </c>
      <c r="H47" s="8">
        <v>3.7</v>
      </c>
      <c r="I47" s="12">
        <v>0</v>
      </c>
    </row>
    <row r="48" spans="2:9" ht="15" customHeight="1" x14ac:dyDescent="0.2">
      <c r="B48" t="s">
        <v>129</v>
      </c>
      <c r="C48" s="12">
        <v>1</v>
      </c>
      <c r="D48" s="8">
        <v>1.49</v>
      </c>
      <c r="E48" s="12">
        <v>1</v>
      </c>
      <c r="F48" s="8">
        <v>2.63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132</v>
      </c>
      <c r="C49" s="12">
        <v>1</v>
      </c>
      <c r="D49" s="8">
        <v>1.49</v>
      </c>
      <c r="E49" s="12">
        <v>1</v>
      </c>
      <c r="F49" s="8">
        <v>2.63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118</v>
      </c>
      <c r="C50" s="12">
        <v>1</v>
      </c>
      <c r="D50" s="8">
        <v>1.49</v>
      </c>
      <c r="E50" s="12">
        <v>1</v>
      </c>
      <c r="F50" s="8">
        <v>2.63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147</v>
      </c>
      <c r="C51" s="12">
        <v>1</v>
      </c>
      <c r="D51" s="8">
        <v>1.49</v>
      </c>
      <c r="E51" s="12">
        <v>0</v>
      </c>
      <c r="F51" s="8">
        <v>0</v>
      </c>
      <c r="G51" s="12">
        <v>1</v>
      </c>
      <c r="H51" s="8">
        <v>3.7</v>
      </c>
      <c r="I51" s="12">
        <v>0</v>
      </c>
    </row>
    <row r="52" spans="2:9" ht="15" customHeight="1" x14ac:dyDescent="0.2">
      <c r="B52" t="s">
        <v>148</v>
      </c>
      <c r="C52" s="12">
        <v>1</v>
      </c>
      <c r="D52" s="8">
        <v>1.49</v>
      </c>
      <c r="E52" s="12">
        <v>0</v>
      </c>
      <c r="F52" s="8">
        <v>0</v>
      </c>
      <c r="G52" s="12">
        <v>1</v>
      </c>
      <c r="H52" s="8">
        <v>3.7</v>
      </c>
      <c r="I52" s="12">
        <v>0</v>
      </c>
    </row>
    <row r="55" spans="2:9" ht="33" customHeight="1" x14ac:dyDescent="0.2">
      <c r="B55" t="s">
        <v>365</v>
      </c>
      <c r="C55" s="10" t="s">
        <v>94</v>
      </c>
      <c r="D55" s="10" t="s">
        <v>95</v>
      </c>
      <c r="E55" s="10" t="s">
        <v>96</v>
      </c>
      <c r="F55" s="10" t="s">
        <v>97</v>
      </c>
      <c r="G55" s="10" t="s">
        <v>98</v>
      </c>
      <c r="H55" s="10" t="s">
        <v>99</v>
      </c>
      <c r="I55" s="10" t="s">
        <v>100</v>
      </c>
    </row>
    <row r="56" spans="2:9" ht="15" customHeight="1" x14ac:dyDescent="0.2">
      <c r="B56" t="s">
        <v>185</v>
      </c>
      <c r="C56" s="12">
        <v>11</v>
      </c>
      <c r="D56" s="8">
        <v>16.420000000000002</v>
      </c>
      <c r="E56" s="12">
        <v>10</v>
      </c>
      <c r="F56" s="8">
        <v>26.32</v>
      </c>
      <c r="G56" s="12">
        <v>1</v>
      </c>
      <c r="H56" s="8">
        <v>3.7</v>
      </c>
      <c r="I56" s="12">
        <v>0</v>
      </c>
    </row>
    <row r="57" spans="2:9" ht="15" customHeight="1" x14ac:dyDescent="0.2">
      <c r="B57" t="s">
        <v>216</v>
      </c>
      <c r="C57" s="12">
        <v>4</v>
      </c>
      <c r="D57" s="8">
        <v>5.97</v>
      </c>
      <c r="E57" s="12">
        <v>0</v>
      </c>
      <c r="F57" s="8">
        <v>0</v>
      </c>
      <c r="G57" s="12">
        <v>4</v>
      </c>
      <c r="H57" s="8">
        <v>14.81</v>
      </c>
      <c r="I57" s="12">
        <v>0</v>
      </c>
    </row>
    <row r="58" spans="2:9" ht="15" customHeight="1" x14ac:dyDescent="0.2">
      <c r="B58" t="s">
        <v>186</v>
      </c>
      <c r="C58" s="12">
        <v>3</v>
      </c>
      <c r="D58" s="8">
        <v>4.4800000000000004</v>
      </c>
      <c r="E58" s="12">
        <v>2</v>
      </c>
      <c r="F58" s="8">
        <v>5.26</v>
      </c>
      <c r="G58" s="12">
        <v>1</v>
      </c>
      <c r="H58" s="8">
        <v>3.7</v>
      </c>
      <c r="I58" s="12">
        <v>0</v>
      </c>
    </row>
    <row r="59" spans="2:9" ht="15" customHeight="1" x14ac:dyDescent="0.2">
      <c r="B59" t="s">
        <v>187</v>
      </c>
      <c r="C59" s="12">
        <v>3</v>
      </c>
      <c r="D59" s="8">
        <v>4.4800000000000004</v>
      </c>
      <c r="E59" s="12">
        <v>3</v>
      </c>
      <c r="F59" s="8">
        <v>7.89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190</v>
      </c>
      <c r="C60" s="12">
        <v>3</v>
      </c>
      <c r="D60" s="8">
        <v>4.4800000000000004</v>
      </c>
      <c r="E60" s="12">
        <v>3</v>
      </c>
      <c r="F60" s="8">
        <v>7.89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210</v>
      </c>
      <c r="C61" s="12">
        <v>2</v>
      </c>
      <c r="D61" s="8">
        <v>2.99</v>
      </c>
      <c r="E61" s="12">
        <v>2</v>
      </c>
      <c r="F61" s="8">
        <v>5.26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241</v>
      </c>
      <c r="C62" s="12">
        <v>2</v>
      </c>
      <c r="D62" s="8">
        <v>2.99</v>
      </c>
      <c r="E62" s="12">
        <v>0</v>
      </c>
      <c r="F62" s="8">
        <v>0</v>
      </c>
      <c r="G62" s="12">
        <v>2</v>
      </c>
      <c r="H62" s="8">
        <v>7.41</v>
      </c>
      <c r="I62" s="12">
        <v>0</v>
      </c>
    </row>
    <row r="63" spans="2:9" ht="15" customHeight="1" x14ac:dyDescent="0.2">
      <c r="B63" t="s">
        <v>227</v>
      </c>
      <c r="C63" s="12">
        <v>2</v>
      </c>
      <c r="D63" s="8">
        <v>2.99</v>
      </c>
      <c r="E63" s="12">
        <v>2</v>
      </c>
      <c r="F63" s="8">
        <v>5.26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181</v>
      </c>
      <c r="C64" s="12">
        <v>2</v>
      </c>
      <c r="D64" s="8">
        <v>2.99</v>
      </c>
      <c r="E64" s="12">
        <v>1</v>
      </c>
      <c r="F64" s="8">
        <v>2.63</v>
      </c>
      <c r="G64" s="12">
        <v>1</v>
      </c>
      <c r="H64" s="8">
        <v>3.7</v>
      </c>
      <c r="I64" s="12">
        <v>0</v>
      </c>
    </row>
    <row r="65" spans="2:9" ht="15" customHeight="1" x14ac:dyDescent="0.2">
      <c r="B65" t="s">
        <v>247</v>
      </c>
      <c r="C65" s="12">
        <v>2</v>
      </c>
      <c r="D65" s="8">
        <v>2.99</v>
      </c>
      <c r="E65" s="12">
        <v>1</v>
      </c>
      <c r="F65" s="8">
        <v>2.63</v>
      </c>
      <c r="G65" s="12">
        <v>1</v>
      </c>
      <c r="H65" s="8">
        <v>3.7</v>
      </c>
      <c r="I65" s="12">
        <v>0</v>
      </c>
    </row>
    <row r="66" spans="2:9" ht="15" customHeight="1" x14ac:dyDescent="0.2">
      <c r="B66" t="s">
        <v>200</v>
      </c>
      <c r="C66" s="12">
        <v>2</v>
      </c>
      <c r="D66" s="8">
        <v>2.99</v>
      </c>
      <c r="E66" s="12">
        <v>1</v>
      </c>
      <c r="F66" s="8">
        <v>2.63</v>
      </c>
      <c r="G66" s="12">
        <v>1</v>
      </c>
      <c r="H66" s="8">
        <v>3.7</v>
      </c>
      <c r="I66" s="12">
        <v>0</v>
      </c>
    </row>
    <row r="67" spans="2:9" ht="15" customHeight="1" x14ac:dyDescent="0.2">
      <c r="B67" t="s">
        <v>174</v>
      </c>
      <c r="C67" s="12">
        <v>1</v>
      </c>
      <c r="D67" s="8">
        <v>1.49</v>
      </c>
      <c r="E67" s="12">
        <v>0</v>
      </c>
      <c r="F67" s="8">
        <v>0</v>
      </c>
      <c r="G67" s="12">
        <v>1</v>
      </c>
      <c r="H67" s="8">
        <v>3.7</v>
      </c>
      <c r="I67" s="12">
        <v>0</v>
      </c>
    </row>
    <row r="68" spans="2:9" ht="15" customHeight="1" x14ac:dyDescent="0.2">
      <c r="B68" t="s">
        <v>175</v>
      </c>
      <c r="C68" s="12">
        <v>1</v>
      </c>
      <c r="D68" s="8">
        <v>1.49</v>
      </c>
      <c r="E68" s="12">
        <v>0</v>
      </c>
      <c r="F68" s="8">
        <v>0</v>
      </c>
      <c r="G68" s="12">
        <v>1</v>
      </c>
      <c r="H68" s="8">
        <v>3.7</v>
      </c>
      <c r="I68" s="12">
        <v>0</v>
      </c>
    </row>
    <row r="69" spans="2:9" ht="15" customHeight="1" x14ac:dyDescent="0.2">
      <c r="B69" t="s">
        <v>176</v>
      </c>
      <c r="C69" s="12">
        <v>1</v>
      </c>
      <c r="D69" s="8">
        <v>1.49</v>
      </c>
      <c r="E69" s="12">
        <v>1</v>
      </c>
      <c r="F69" s="8">
        <v>2.63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224</v>
      </c>
      <c r="C70" s="12">
        <v>1</v>
      </c>
      <c r="D70" s="8">
        <v>1.49</v>
      </c>
      <c r="E70" s="12">
        <v>1</v>
      </c>
      <c r="F70" s="8">
        <v>2.63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178</v>
      </c>
      <c r="C71" s="12">
        <v>1</v>
      </c>
      <c r="D71" s="8">
        <v>1.49</v>
      </c>
      <c r="E71" s="12">
        <v>0</v>
      </c>
      <c r="F71" s="8">
        <v>0</v>
      </c>
      <c r="G71" s="12">
        <v>1</v>
      </c>
      <c r="H71" s="8">
        <v>3.7</v>
      </c>
      <c r="I71" s="12">
        <v>0</v>
      </c>
    </row>
    <row r="72" spans="2:9" ht="15" customHeight="1" x14ac:dyDescent="0.2">
      <c r="B72" t="s">
        <v>235</v>
      </c>
      <c r="C72" s="12">
        <v>1</v>
      </c>
      <c r="D72" s="8">
        <v>1.49</v>
      </c>
      <c r="E72" s="12">
        <v>0</v>
      </c>
      <c r="F72" s="8">
        <v>0</v>
      </c>
      <c r="G72" s="12">
        <v>1</v>
      </c>
      <c r="H72" s="8">
        <v>3.7</v>
      </c>
      <c r="I72" s="12">
        <v>0</v>
      </c>
    </row>
    <row r="73" spans="2:9" ht="15" customHeight="1" x14ac:dyDescent="0.2">
      <c r="B73" t="s">
        <v>236</v>
      </c>
      <c r="C73" s="12">
        <v>1</v>
      </c>
      <c r="D73" s="8">
        <v>1.49</v>
      </c>
      <c r="E73" s="12">
        <v>1</v>
      </c>
      <c r="F73" s="8">
        <v>2.63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237</v>
      </c>
      <c r="C74" s="12">
        <v>1</v>
      </c>
      <c r="D74" s="8">
        <v>1.49</v>
      </c>
      <c r="E74" s="12">
        <v>0</v>
      </c>
      <c r="F74" s="8">
        <v>0</v>
      </c>
      <c r="G74" s="12">
        <v>1</v>
      </c>
      <c r="H74" s="8">
        <v>3.7</v>
      </c>
      <c r="I74" s="12">
        <v>0</v>
      </c>
    </row>
    <row r="75" spans="2:9" ht="15" customHeight="1" x14ac:dyDescent="0.2">
      <c r="B75" t="s">
        <v>238</v>
      </c>
      <c r="C75" s="12">
        <v>1</v>
      </c>
      <c r="D75" s="8">
        <v>1.49</v>
      </c>
      <c r="E75" s="12">
        <v>0</v>
      </c>
      <c r="F75" s="8">
        <v>0</v>
      </c>
      <c r="G75" s="12">
        <v>1</v>
      </c>
      <c r="H75" s="8">
        <v>3.7</v>
      </c>
      <c r="I75" s="12">
        <v>0</v>
      </c>
    </row>
    <row r="76" spans="2:9" ht="15" customHeight="1" x14ac:dyDescent="0.2">
      <c r="B76" t="s">
        <v>239</v>
      </c>
      <c r="C76" s="12">
        <v>1</v>
      </c>
      <c r="D76" s="8">
        <v>1.49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240</v>
      </c>
      <c r="C77" s="12">
        <v>1</v>
      </c>
      <c r="D77" s="8">
        <v>1.49</v>
      </c>
      <c r="E77" s="12">
        <v>0</v>
      </c>
      <c r="F77" s="8">
        <v>0</v>
      </c>
      <c r="G77" s="12">
        <v>1</v>
      </c>
      <c r="H77" s="8">
        <v>3.7</v>
      </c>
      <c r="I77" s="12">
        <v>0</v>
      </c>
    </row>
    <row r="78" spans="2:9" ht="15" customHeight="1" x14ac:dyDescent="0.2">
      <c r="B78" t="s">
        <v>213</v>
      </c>
      <c r="C78" s="12">
        <v>1</v>
      </c>
      <c r="D78" s="8">
        <v>1.49</v>
      </c>
      <c r="E78" s="12">
        <v>0</v>
      </c>
      <c r="F78" s="8">
        <v>0</v>
      </c>
      <c r="G78" s="12">
        <v>1</v>
      </c>
      <c r="H78" s="8">
        <v>3.7</v>
      </c>
      <c r="I78" s="12">
        <v>0</v>
      </c>
    </row>
    <row r="79" spans="2:9" ht="15" customHeight="1" x14ac:dyDescent="0.2">
      <c r="B79" t="s">
        <v>225</v>
      </c>
      <c r="C79" s="12">
        <v>1</v>
      </c>
      <c r="D79" s="8">
        <v>1.49</v>
      </c>
      <c r="E79" s="12">
        <v>0</v>
      </c>
      <c r="F79" s="8">
        <v>0</v>
      </c>
      <c r="G79" s="12">
        <v>1</v>
      </c>
      <c r="H79" s="8">
        <v>3.7</v>
      </c>
      <c r="I79" s="12">
        <v>0</v>
      </c>
    </row>
    <row r="80" spans="2:9" ht="15" customHeight="1" x14ac:dyDescent="0.2">
      <c r="B80" t="s">
        <v>206</v>
      </c>
      <c r="C80" s="12">
        <v>1</v>
      </c>
      <c r="D80" s="8">
        <v>1.49</v>
      </c>
      <c r="E80" s="12">
        <v>0</v>
      </c>
      <c r="F80" s="8">
        <v>0</v>
      </c>
      <c r="G80" s="12">
        <v>1</v>
      </c>
      <c r="H80" s="8">
        <v>3.7</v>
      </c>
      <c r="I80" s="12">
        <v>0</v>
      </c>
    </row>
    <row r="81" spans="2:9" ht="15" customHeight="1" x14ac:dyDescent="0.2">
      <c r="B81" t="s">
        <v>180</v>
      </c>
      <c r="C81" s="12">
        <v>1</v>
      </c>
      <c r="D81" s="8">
        <v>1.49</v>
      </c>
      <c r="E81" s="12">
        <v>1</v>
      </c>
      <c r="F81" s="8">
        <v>2.63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215</v>
      </c>
      <c r="C82" s="12">
        <v>1</v>
      </c>
      <c r="D82" s="8">
        <v>1.49</v>
      </c>
      <c r="E82" s="12">
        <v>0</v>
      </c>
      <c r="F82" s="8">
        <v>0</v>
      </c>
      <c r="G82" s="12">
        <v>1</v>
      </c>
      <c r="H82" s="8">
        <v>3.7</v>
      </c>
      <c r="I82" s="12">
        <v>0</v>
      </c>
    </row>
    <row r="83" spans="2:9" ht="15" customHeight="1" x14ac:dyDescent="0.2">
      <c r="B83" t="s">
        <v>242</v>
      </c>
      <c r="C83" s="12">
        <v>1</v>
      </c>
      <c r="D83" s="8">
        <v>1.49</v>
      </c>
      <c r="E83" s="12">
        <v>1</v>
      </c>
      <c r="F83" s="8">
        <v>2.63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243</v>
      </c>
      <c r="C84" s="12">
        <v>1</v>
      </c>
      <c r="D84" s="8">
        <v>1.49</v>
      </c>
      <c r="E84" s="12">
        <v>1</v>
      </c>
      <c r="F84" s="8">
        <v>2.63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183</v>
      </c>
      <c r="C85" s="12">
        <v>1</v>
      </c>
      <c r="D85" s="8">
        <v>1.49</v>
      </c>
      <c r="E85" s="12">
        <v>0</v>
      </c>
      <c r="F85" s="8">
        <v>0</v>
      </c>
      <c r="G85" s="12">
        <v>1</v>
      </c>
      <c r="H85" s="8">
        <v>3.7</v>
      </c>
      <c r="I85" s="12">
        <v>0</v>
      </c>
    </row>
    <row r="86" spans="2:9" ht="15" customHeight="1" x14ac:dyDescent="0.2">
      <c r="B86" t="s">
        <v>244</v>
      </c>
      <c r="C86" s="12">
        <v>1</v>
      </c>
      <c r="D86" s="8">
        <v>1.49</v>
      </c>
      <c r="E86" s="12">
        <v>0</v>
      </c>
      <c r="F86" s="8">
        <v>0</v>
      </c>
      <c r="G86" s="12">
        <v>1</v>
      </c>
      <c r="H86" s="8">
        <v>3.7</v>
      </c>
      <c r="I86" s="12">
        <v>0</v>
      </c>
    </row>
    <row r="87" spans="2:9" ht="15" customHeight="1" x14ac:dyDescent="0.2">
      <c r="B87" t="s">
        <v>245</v>
      </c>
      <c r="C87" s="12">
        <v>1</v>
      </c>
      <c r="D87" s="8">
        <v>1.49</v>
      </c>
      <c r="E87" s="12">
        <v>1</v>
      </c>
      <c r="F87" s="8">
        <v>2.63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246</v>
      </c>
      <c r="C88" s="12">
        <v>1</v>
      </c>
      <c r="D88" s="8">
        <v>1.49</v>
      </c>
      <c r="E88" s="12">
        <v>0</v>
      </c>
      <c r="F88" s="8">
        <v>0</v>
      </c>
      <c r="G88" s="12">
        <v>1</v>
      </c>
      <c r="H88" s="8">
        <v>3.7</v>
      </c>
      <c r="I88" s="12">
        <v>0</v>
      </c>
    </row>
    <row r="89" spans="2:9" ht="15" customHeight="1" x14ac:dyDescent="0.2">
      <c r="B89" t="s">
        <v>198</v>
      </c>
      <c r="C89" s="12">
        <v>1</v>
      </c>
      <c r="D89" s="8">
        <v>1.49</v>
      </c>
      <c r="E89" s="12">
        <v>1</v>
      </c>
      <c r="F89" s="8">
        <v>2.63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248</v>
      </c>
      <c r="C90" s="12">
        <v>1</v>
      </c>
      <c r="D90" s="8">
        <v>1.49</v>
      </c>
      <c r="E90" s="12">
        <v>1</v>
      </c>
      <c r="F90" s="8">
        <v>2.63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191</v>
      </c>
      <c r="C91" s="12">
        <v>1</v>
      </c>
      <c r="D91" s="8">
        <v>1.49</v>
      </c>
      <c r="E91" s="12">
        <v>1</v>
      </c>
      <c r="F91" s="8">
        <v>2.63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249</v>
      </c>
      <c r="C92" s="12">
        <v>1</v>
      </c>
      <c r="D92" s="8">
        <v>1.49</v>
      </c>
      <c r="E92" s="12">
        <v>1</v>
      </c>
      <c r="F92" s="8">
        <v>2.63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223</v>
      </c>
      <c r="C93" s="12">
        <v>1</v>
      </c>
      <c r="D93" s="8">
        <v>1.49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192</v>
      </c>
      <c r="C94" s="12">
        <v>1</v>
      </c>
      <c r="D94" s="8">
        <v>1.49</v>
      </c>
      <c r="E94" s="12">
        <v>1</v>
      </c>
      <c r="F94" s="8">
        <v>2.63</v>
      </c>
      <c r="G94" s="12">
        <v>0</v>
      </c>
      <c r="H94" s="8">
        <v>0</v>
      </c>
      <c r="I94" s="12">
        <v>0</v>
      </c>
    </row>
    <row r="95" spans="2:9" ht="15" customHeight="1" x14ac:dyDescent="0.2">
      <c r="B95" t="s">
        <v>193</v>
      </c>
      <c r="C95" s="12">
        <v>1</v>
      </c>
      <c r="D95" s="8">
        <v>1.49</v>
      </c>
      <c r="E95" s="12">
        <v>1</v>
      </c>
      <c r="F95" s="8">
        <v>2.63</v>
      </c>
      <c r="G95" s="12">
        <v>0</v>
      </c>
      <c r="H95" s="8">
        <v>0</v>
      </c>
      <c r="I95" s="12">
        <v>0</v>
      </c>
    </row>
    <row r="96" spans="2:9" ht="15" customHeight="1" x14ac:dyDescent="0.2">
      <c r="B96" t="s">
        <v>250</v>
      </c>
      <c r="C96" s="12">
        <v>1</v>
      </c>
      <c r="D96" s="8">
        <v>1.49</v>
      </c>
      <c r="E96" s="12">
        <v>0</v>
      </c>
      <c r="F96" s="8">
        <v>0</v>
      </c>
      <c r="G96" s="12">
        <v>1</v>
      </c>
      <c r="H96" s="8">
        <v>3.7</v>
      </c>
      <c r="I96" s="12">
        <v>0</v>
      </c>
    </row>
    <row r="97" spans="2:9" ht="15" customHeight="1" x14ac:dyDescent="0.2">
      <c r="B97" t="s">
        <v>251</v>
      </c>
      <c r="C97" s="12">
        <v>1</v>
      </c>
      <c r="D97" s="8">
        <v>1.49</v>
      </c>
      <c r="E97" s="12">
        <v>0</v>
      </c>
      <c r="F97" s="8">
        <v>0</v>
      </c>
      <c r="G97" s="12">
        <v>1</v>
      </c>
      <c r="H97" s="8">
        <v>3.7</v>
      </c>
      <c r="I97" s="12">
        <v>0</v>
      </c>
    </row>
    <row r="99" spans="2:9" ht="15" customHeight="1" x14ac:dyDescent="0.2">
      <c r="B99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5F80D-223D-466C-A5CD-3CF794432482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389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1</v>
      </c>
      <c r="D5" s="8">
        <v>2.33</v>
      </c>
      <c r="E5" s="12">
        <v>1</v>
      </c>
      <c r="F5" s="8">
        <v>4.17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13</v>
      </c>
      <c r="D6" s="8">
        <v>30.23</v>
      </c>
      <c r="E6" s="12">
        <v>9</v>
      </c>
      <c r="F6" s="8">
        <v>37.5</v>
      </c>
      <c r="G6" s="12">
        <v>4</v>
      </c>
      <c r="H6" s="8">
        <v>28.57</v>
      </c>
      <c r="I6" s="12">
        <v>0</v>
      </c>
    </row>
    <row r="7" spans="2:9" ht="15" customHeight="1" x14ac:dyDescent="0.2">
      <c r="B7" t="s">
        <v>80</v>
      </c>
      <c r="C7" s="12">
        <v>2</v>
      </c>
      <c r="D7" s="8">
        <v>4.6500000000000004</v>
      </c>
      <c r="E7" s="12">
        <v>2</v>
      </c>
      <c r="F7" s="8">
        <v>8.33</v>
      </c>
      <c r="G7" s="12">
        <v>0</v>
      </c>
      <c r="H7" s="8">
        <v>0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2.33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1</v>
      </c>
      <c r="D9" s="8">
        <v>2.33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1</v>
      </c>
      <c r="D10" s="8">
        <v>2.33</v>
      </c>
      <c r="E10" s="12">
        <v>0</v>
      </c>
      <c r="F10" s="8">
        <v>0</v>
      </c>
      <c r="G10" s="12">
        <v>1</v>
      </c>
      <c r="H10" s="8">
        <v>7.14</v>
      </c>
      <c r="I10" s="12">
        <v>0</v>
      </c>
    </row>
    <row r="11" spans="2:9" ht="15" customHeight="1" x14ac:dyDescent="0.2">
      <c r="B11" t="s">
        <v>84</v>
      </c>
      <c r="C11" s="12">
        <v>8</v>
      </c>
      <c r="D11" s="8">
        <v>18.600000000000001</v>
      </c>
      <c r="E11" s="12">
        <v>5</v>
      </c>
      <c r="F11" s="8">
        <v>20.83</v>
      </c>
      <c r="G11" s="12">
        <v>3</v>
      </c>
      <c r="H11" s="8">
        <v>21.43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1</v>
      </c>
      <c r="D13" s="8">
        <v>2.33</v>
      </c>
      <c r="E13" s="12">
        <v>0</v>
      </c>
      <c r="F13" s="8">
        <v>0</v>
      </c>
      <c r="G13" s="12">
        <v>1</v>
      </c>
      <c r="H13" s="8">
        <v>7.14</v>
      </c>
      <c r="I13" s="12">
        <v>0</v>
      </c>
    </row>
    <row r="14" spans="2:9" ht="15" customHeight="1" x14ac:dyDescent="0.2">
      <c r="B14" t="s">
        <v>87</v>
      </c>
      <c r="C14" s="12">
        <v>1</v>
      </c>
      <c r="D14" s="8">
        <v>2.33</v>
      </c>
      <c r="E14" s="12">
        <v>0</v>
      </c>
      <c r="F14" s="8">
        <v>0</v>
      </c>
      <c r="G14" s="12">
        <v>1</v>
      </c>
      <c r="H14" s="8">
        <v>7.14</v>
      </c>
      <c r="I14" s="12">
        <v>0</v>
      </c>
    </row>
    <row r="15" spans="2:9" ht="15" customHeight="1" x14ac:dyDescent="0.2">
      <c r="B15" t="s">
        <v>88</v>
      </c>
      <c r="C15" s="12">
        <v>6</v>
      </c>
      <c r="D15" s="8">
        <v>13.95</v>
      </c>
      <c r="E15" s="12">
        <v>3</v>
      </c>
      <c r="F15" s="8">
        <v>12.5</v>
      </c>
      <c r="G15" s="12">
        <v>3</v>
      </c>
      <c r="H15" s="8">
        <v>21.43</v>
      </c>
      <c r="I15" s="12">
        <v>0</v>
      </c>
    </row>
    <row r="16" spans="2:9" ht="15" customHeight="1" x14ac:dyDescent="0.2">
      <c r="B16" t="s">
        <v>89</v>
      </c>
      <c r="C16" s="12">
        <v>5</v>
      </c>
      <c r="D16" s="8">
        <v>11.63</v>
      </c>
      <c r="E16" s="12">
        <v>4</v>
      </c>
      <c r="F16" s="8">
        <v>16.670000000000002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90</v>
      </c>
      <c r="C17" s="12">
        <v>2</v>
      </c>
      <c r="D17" s="8">
        <v>4.6500000000000004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92</v>
      </c>
      <c r="C19" s="12">
        <v>1</v>
      </c>
      <c r="D19" s="8">
        <v>2.33</v>
      </c>
      <c r="E19" s="12">
        <v>0</v>
      </c>
      <c r="F19" s="8">
        <v>0</v>
      </c>
      <c r="G19" s="12">
        <v>1</v>
      </c>
      <c r="H19" s="8">
        <v>7.14</v>
      </c>
      <c r="I19" s="12">
        <v>0</v>
      </c>
    </row>
    <row r="20" spans="2:9" ht="15" customHeight="1" x14ac:dyDescent="0.2">
      <c r="B20" s="9" t="s">
        <v>363</v>
      </c>
      <c r="C20" s="12">
        <f>SUM(LTBL_20306[総数／事業所数])</f>
        <v>43</v>
      </c>
      <c r="E20" s="12">
        <f>SUBTOTAL(109,LTBL_20306[個人／事業所数])</f>
        <v>24</v>
      </c>
      <c r="G20" s="12">
        <f>SUBTOTAL(109,LTBL_20306[法人／事業所数])</f>
        <v>14</v>
      </c>
      <c r="I20" s="12">
        <f>SUBTOTAL(109,LTBL_20306[法人以外の団体／事業所数])</f>
        <v>0</v>
      </c>
    </row>
    <row r="21" spans="2:9" ht="15" customHeight="1" x14ac:dyDescent="0.2">
      <c r="E21" s="11">
        <f>LTBL_20306[[#Totals],[個人／事業所数]]/LTBL_20306[[#Totals],[総数／事業所数]]</f>
        <v>0.55813953488372092</v>
      </c>
      <c r="G21" s="11">
        <f>LTBL_20306[[#Totals],[法人／事業所数]]/LTBL_20306[[#Totals],[総数／事業所数]]</f>
        <v>0.32558139534883723</v>
      </c>
      <c r="I21" s="11">
        <f>LTBL_20306[[#Totals],[法人以外の団体／事業所数]]/LTBL_20306[[#Totals],[総数／事業所数]]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101</v>
      </c>
      <c r="C24" s="12">
        <v>7</v>
      </c>
      <c r="D24" s="8">
        <v>16.28</v>
      </c>
      <c r="E24" s="12">
        <v>4</v>
      </c>
      <c r="F24" s="8">
        <v>16.670000000000002</v>
      </c>
      <c r="G24" s="12">
        <v>3</v>
      </c>
      <c r="H24" s="8">
        <v>21.43</v>
      </c>
      <c r="I24" s="12">
        <v>0</v>
      </c>
    </row>
    <row r="25" spans="2:9" ht="15" customHeight="1" x14ac:dyDescent="0.2">
      <c r="B25" t="s">
        <v>114</v>
      </c>
      <c r="C25" s="12">
        <v>5</v>
      </c>
      <c r="D25" s="8">
        <v>11.63</v>
      </c>
      <c r="E25" s="12">
        <v>2</v>
      </c>
      <c r="F25" s="8">
        <v>8.33</v>
      </c>
      <c r="G25" s="12">
        <v>3</v>
      </c>
      <c r="H25" s="8">
        <v>21.43</v>
      </c>
      <c r="I25" s="12">
        <v>0</v>
      </c>
    </row>
    <row r="26" spans="2:9" ht="15" customHeight="1" x14ac:dyDescent="0.2">
      <c r="B26" t="s">
        <v>102</v>
      </c>
      <c r="C26" s="12">
        <v>4</v>
      </c>
      <c r="D26" s="8">
        <v>9.3000000000000007</v>
      </c>
      <c r="E26" s="12">
        <v>3</v>
      </c>
      <c r="F26" s="8">
        <v>12.5</v>
      </c>
      <c r="G26" s="12">
        <v>1</v>
      </c>
      <c r="H26" s="8">
        <v>7.14</v>
      </c>
      <c r="I26" s="12">
        <v>0</v>
      </c>
    </row>
    <row r="27" spans="2:9" ht="15" customHeight="1" x14ac:dyDescent="0.2">
      <c r="B27" t="s">
        <v>110</v>
      </c>
      <c r="C27" s="12">
        <v>4</v>
      </c>
      <c r="D27" s="8">
        <v>9.3000000000000007</v>
      </c>
      <c r="E27" s="12">
        <v>2</v>
      </c>
      <c r="F27" s="8">
        <v>8.33</v>
      </c>
      <c r="G27" s="12">
        <v>2</v>
      </c>
      <c r="H27" s="8">
        <v>14.29</v>
      </c>
      <c r="I27" s="12">
        <v>0</v>
      </c>
    </row>
    <row r="28" spans="2:9" ht="15" customHeight="1" x14ac:dyDescent="0.2">
      <c r="B28" t="s">
        <v>116</v>
      </c>
      <c r="C28" s="12">
        <v>4</v>
      </c>
      <c r="D28" s="8">
        <v>9.3000000000000007</v>
      </c>
      <c r="E28" s="12">
        <v>3</v>
      </c>
      <c r="F28" s="8">
        <v>12.5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108</v>
      </c>
      <c r="C29" s="12">
        <v>3</v>
      </c>
      <c r="D29" s="8">
        <v>6.98</v>
      </c>
      <c r="E29" s="12">
        <v>3</v>
      </c>
      <c r="F29" s="8">
        <v>12.5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103</v>
      </c>
      <c r="C30" s="12">
        <v>2</v>
      </c>
      <c r="D30" s="8">
        <v>4.6500000000000004</v>
      </c>
      <c r="E30" s="12">
        <v>2</v>
      </c>
      <c r="F30" s="8">
        <v>8.33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117</v>
      </c>
      <c r="C31" s="12">
        <v>2</v>
      </c>
      <c r="D31" s="8">
        <v>4.6500000000000004</v>
      </c>
      <c r="E31" s="12">
        <v>0</v>
      </c>
      <c r="F31" s="8">
        <v>0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149</v>
      </c>
      <c r="C32" s="12">
        <v>1</v>
      </c>
      <c r="D32" s="8">
        <v>2.33</v>
      </c>
      <c r="E32" s="12">
        <v>1</v>
      </c>
      <c r="F32" s="8">
        <v>4.17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137</v>
      </c>
      <c r="C33" s="12">
        <v>1</v>
      </c>
      <c r="D33" s="8">
        <v>2.33</v>
      </c>
      <c r="E33" s="12">
        <v>1</v>
      </c>
      <c r="F33" s="8">
        <v>4.17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135</v>
      </c>
      <c r="C34" s="12">
        <v>1</v>
      </c>
      <c r="D34" s="8">
        <v>2.33</v>
      </c>
      <c r="E34" s="12">
        <v>1</v>
      </c>
      <c r="F34" s="8">
        <v>4.17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139</v>
      </c>
      <c r="C35" s="12">
        <v>1</v>
      </c>
      <c r="D35" s="8">
        <v>2.33</v>
      </c>
      <c r="E35" s="12">
        <v>0</v>
      </c>
      <c r="F35" s="8">
        <v>0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150</v>
      </c>
      <c r="C36" s="12">
        <v>1</v>
      </c>
      <c r="D36" s="8">
        <v>2.33</v>
      </c>
      <c r="E36" s="12">
        <v>0</v>
      </c>
      <c r="F36" s="8">
        <v>0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145</v>
      </c>
      <c r="C37" s="12">
        <v>1</v>
      </c>
      <c r="D37" s="8">
        <v>2.33</v>
      </c>
      <c r="E37" s="12">
        <v>0</v>
      </c>
      <c r="F37" s="8">
        <v>0</v>
      </c>
      <c r="G37" s="12">
        <v>1</v>
      </c>
      <c r="H37" s="8">
        <v>7.14</v>
      </c>
      <c r="I37" s="12">
        <v>0</v>
      </c>
    </row>
    <row r="38" spans="2:9" ht="15" customHeight="1" x14ac:dyDescent="0.2">
      <c r="B38" t="s">
        <v>125</v>
      </c>
      <c r="C38" s="12">
        <v>1</v>
      </c>
      <c r="D38" s="8">
        <v>2.33</v>
      </c>
      <c r="E38" s="12">
        <v>0</v>
      </c>
      <c r="F38" s="8">
        <v>0</v>
      </c>
      <c r="G38" s="12">
        <v>1</v>
      </c>
      <c r="H38" s="8">
        <v>7.14</v>
      </c>
      <c r="I38" s="12">
        <v>0</v>
      </c>
    </row>
    <row r="39" spans="2:9" ht="15" customHeight="1" x14ac:dyDescent="0.2">
      <c r="B39" t="s">
        <v>123</v>
      </c>
      <c r="C39" s="12">
        <v>1</v>
      </c>
      <c r="D39" s="8">
        <v>2.33</v>
      </c>
      <c r="E39" s="12">
        <v>0</v>
      </c>
      <c r="F39" s="8">
        <v>0</v>
      </c>
      <c r="G39" s="12">
        <v>1</v>
      </c>
      <c r="H39" s="8">
        <v>7.14</v>
      </c>
      <c r="I39" s="12">
        <v>0</v>
      </c>
    </row>
    <row r="40" spans="2:9" ht="15" customHeight="1" x14ac:dyDescent="0.2">
      <c r="B40" t="s">
        <v>113</v>
      </c>
      <c r="C40" s="12">
        <v>1</v>
      </c>
      <c r="D40" s="8">
        <v>2.33</v>
      </c>
      <c r="E40" s="12">
        <v>0</v>
      </c>
      <c r="F40" s="8">
        <v>0</v>
      </c>
      <c r="G40" s="12">
        <v>1</v>
      </c>
      <c r="H40" s="8">
        <v>7.14</v>
      </c>
      <c r="I40" s="12">
        <v>0</v>
      </c>
    </row>
    <row r="41" spans="2:9" ht="15" customHeight="1" x14ac:dyDescent="0.2">
      <c r="B41" t="s">
        <v>115</v>
      </c>
      <c r="C41" s="12">
        <v>1</v>
      </c>
      <c r="D41" s="8">
        <v>2.33</v>
      </c>
      <c r="E41" s="12">
        <v>1</v>
      </c>
      <c r="F41" s="8">
        <v>4.17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132</v>
      </c>
      <c r="C42" s="12">
        <v>1</v>
      </c>
      <c r="D42" s="8">
        <v>2.33</v>
      </c>
      <c r="E42" s="12">
        <v>1</v>
      </c>
      <c r="F42" s="8">
        <v>4.17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124</v>
      </c>
      <c r="C43" s="12">
        <v>1</v>
      </c>
      <c r="D43" s="8">
        <v>2.33</v>
      </c>
      <c r="E43" s="12">
        <v>0</v>
      </c>
      <c r="F43" s="8">
        <v>0</v>
      </c>
      <c r="G43" s="12">
        <v>1</v>
      </c>
      <c r="H43" s="8">
        <v>7.14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176</v>
      </c>
      <c r="C47" s="12">
        <v>4</v>
      </c>
      <c r="D47" s="8">
        <v>9.3000000000000007</v>
      </c>
      <c r="E47" s="12">
        <v>2</v>
      </c>
      <c r="F47" s="8">
        <v>8.33</v>
      </c>
      <c r="G47" s="12">
        <v>2</v>
      </c>
      <c r="H47" s="8">
        <v>14.29</v>
      </c>
      <c r="I47" s="12">
        <v>0</v>
      </c>
    </row>
    <row r="48" spans="2:9" ht="15" customHeight="1" x14ac:dyDescent="0.2">
      <c r="B48" t="s">
        <v>210</v>
      </c>
      <c r="C48" s="12">
        <v>3</v>
      </c>
      <c r="D48" s="8">
        <v>6.98</v>
      </c>
      <c r="E48" s="12">
        <v>2</v>
      </c>
      <c r="F48" s="8">
        <v>8.33</v>
      </c>
      <c r="G48" s="12">
        <v>1</v>
      </c>
      <c r="H48" s="8">
        <v>7.14</v>
      </c>
      <c r="I48" s="12">
        <v>0</v>
      </c>
    </row>
    <row r="49" spans="2:9" ht="15" customHeight="1" x14ac:dyDescent="0.2">
      <c r="B49" t="s">
        <v>185</v>
      </c>
      <c r="C49" s="12">
        <v>3</v>
      </c>
      <c r="D49" s="8">
        <v>6.98</v>
      </c>
      <c r="E49" s="12">
        <v>2</v>
      </c>
      <c r="F49" s="8">
        <v>8.33</v>
      </c>
      <c r="G49" s="12">
        <v>1</v>
      </c>
      <c r="H49" s="8">
        <v>7.14</v>
      </c>
      <c r="I49" s="12">
        <v>0</v>
      </c>
    </row>
    <row r="50" spans="2:9" ht="15" customHeight="1" x14ac:dyDescent="0.2">
      <c r="B50" t="s">
        <v>175</v>
      </c>
      <c r="C50" s="12">
        <v>2</v>
      </c>
      <c r="D50" s="8">
        <v>4.6500000000000004</v>
      </c>
      <c r="E50" s="12">
        <v>2</v>
      </c>
      <c r="F50" s="8">
        <v>8.33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179</v>
      </c>
      <c r="C51" s="12">
        <v>2</v>
      </c>
      <c r="D51" s="8">
        <v>4.6500000000000004</v>
      </c>
      <c r="E51" s="12">
        <v>2</v>
      </c>
      <c r="F51" s="8">
        <v>8.33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216</v>
      </c>
      <c r="C52" s="12">
        <v>2</v>
      </c>
      <c r="D52" s="8">
        <v>4.6500000000000004</v>
      </c>
      <c r="E52" s="12">
        <v>0</v>
      </c>
      <c r="F52" s="8">
        <v>0</v>
      </c>
      <c r="G52" s="12">
        <v>2</v>
      </c>
      <c r="H52" s="8">
        <v>14.29</v>
      </c>
      <c r="I52" s="12">
        <v>0</v>
      </c>
    </row>
    <row r="53" spans="2:9" ht="15" customHeight="1" x14ac:dyDescent="0.2">
      <c r="B53" t="s">
        <v>234</v>
      </c>
      <c r="C53" s="12">
        <v>2</v>
      </c>
      <c r="D53" s="8">
        <v>4.6500000000000004</v>
      </c>
      <c r="E53" s="12">
        <v>0</v>
      </c>
      <c r="F53" s="8">
        <v>0</v>
      </c>
      <c r="G53" s="12">
        <v>2</v>
      </c>
      <c r="H53" s="8">
        <v>14.29</v>
      </c>
      <c r="I53" s="12">
        <v>0</v>
      </c>
    </row>
    <row r="54" spans="2:9" ht="15" customHeight="1" x14ac:dyDescent="0.2">
      <c r="B54" t="s">
        <v>191</v>
      </c>
      <c r="C54" s="12">
        <v>2</v>
      </c>
      <c r="D54" s="8">
        <v>4.6500000000000004</v>
      </c>
      <c r="E54" s="12">
        <v>2</v>
      </c>
      <c r="F54" s="8">
        <v>8.33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223</v>
      </c>
      <c r="C55" s="12">
        <v>2</v>
      </c>
      <c r="D55" s="8">
        <v>4.6500000000000004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252</v>
      </c>
      <c r="C56" s="12">
        <v>1</v>
      </c>
      <c r="D56" s="8">
        <v>2.33</v>
      </c>
      <c r="E56" s="12">
        <v>1</v>
      </c>
      <c r="F56" s="8">
        <v>4.17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174</v>
      </c>
      <c r="C57" s="12">
        <v>1</v>
      </c>
      <c r="D57" s="8">
        <v>2.33</v>
      </c>
      <c r="E57" s="12">
        <v>0</v>
      </c>
      <c r="F57" s="8">
        <v>0</v>
      </c>
      <c r="G57" s="12">
        <v>1</v>
      </c>
      <c r="H57" s="8">
        <v>7.14</v>
      </c>
      <c r="I57" s="12">
        <v>0</v>
      </c>
    </row>
    <row r="58" spans="2:9" ht="15" customHeight="1" x14ac:dyDescent="0.2">
      <c r="B58" t="s">
        <v>253</v>
      </c>
      <c r="C58" s="12">
        <v>1</v>
      </c>
      <c r="D58" s="8">
        <v>2.33</v>
      </c>
      <c r="E58" s="12">
        <v>1</v>
      </c>
      <c r="F58" s="8">
        <v>4.17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177</v>
      </c>
      <c r="C59" s="12">
        <v>1</v>
      </c>
      <c r="D59" s="8">
        <v>2.33</v>
      </c>
      <c r="E59" s="12">
        <v>1</v>
      </c>
      <c r="F59" s="8">
        <v>4.17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178</v>
      </c>
      <c r="C60" s="12">
        <v>1</v>
      </c>
      <c r="D60" s="8">
        <v>2.33</v>
      </c>
      <c r="E60" s="12">
        <v>1</v>
      </c>
      <c r="F60" s="8">
        <v>4.17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230</v>
      </c>
      <c r="C61" s="12">
        <v>1</v>
      </c>
      <c r="D61" s="8">
        <v>2.33</v>
      </c>
      <c r="E61" s="12">
        <v>1</v>
      </c>
      <c r="F61" s="8">
        <v>4.17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254</v>
      </c>
      <c r="C62" s="12">
        <v>1</v>
      </c>
      <c r="D62" s="8">
        <v>2.33</v>
      </c>
      <c r="E62" s="12">
        <v>1</v>
      </c>
      <c r="F62" s="8">
        <v>4.17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239</v>
      </c>
      <c r="C63" s="12">
        <v>1</v>
      </c>
      <c r="D63" s="8">
        <v>2.33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255</v>
      </c>
      <c r="C64" s="12">
        <v>1</v>
      </c>
      <c r="D64" s="8">
        <v>2.33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240</v>
      </c>
      <c r="C65" s="12">
        <v>1</v>
      </c>
      <c r="D65" s="8">
        <v>2.33</v>
      </c>
      <c r="E65" s="12">
        <v>0</v>
      </c>
      <c r="F65" s="8">
        <v>0</v>
      </c>
      <c r="G65" s="12">
        <v>1</v>
      </c>
      <c r="H65" s="8">
        <v>7.14</v>
      </c>
      <c r="I65" s="12">
        <v>0</v>
      </c>
    </row>
    <row r="66" spans="2:9" ht="15" customHeight="1" x14ac:dyDescent="0.2">
      <c r="B66" t="s">
        <v>225</v>
      </c>
      <c r="C66" s="12">
        <v>1</v>
      </c>
      <c r="D66" s="8">
        <v>2.33</v>
      </c>
      <c r="E66" s="12">
        <v>0</v>
      </c>
      <c r="F66" s="8">
        <v>0</v>
      </c>
      <c r="G66" s="12">
        <v>1</v>
      </c>
      <c r="H66" s="8">
        <v>7.14</v>
      </c>
      <c r="I66" s="12">
        <v>0</v>
      </c>
    </row>
    <row r="67" spans="2:9" ht="15" customHeight="1" x14ac:dyDescent="0.2">
      <c r="B67" t="s">
        <v>214</v>
      </c>
      <c r="C67" s="12">
        <v>1</v>
      </c>
      <c r="D67" s="8">
        <v>2.33</v>
      </c>
      <c r="E67" s="12">
        <v>1</v>
      </c>
      <c r="F67" s="8">
        <v>4.17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222</v>
      </c>
      <c r="C68" s="12">
        <v>1</v>
      </c>
      <c r="D68" s="8">
        <v>2.33</v>
      </c>
      <c r="E68" s="12">
        <v>1</v>
      </c>
      <c r="F68" s="8">
        <v>4.17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181</v>
      </c>
      <c r="C69" s="12">
        <v>1</v>
      </c>
      <c r="D69" s="8">
        <v>2.33</v>
      </c>
      <c r="E69" s="12">
        <v>1</v>
      </c>
      <c r="F69" s="8">
        <v>4.17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256</v>
      </c>
      <c r="C70" s="12">
        <v>1</v>
      </c>
      <c r="D70" s="8">
        <v>2.33</v>
      </c>
      <c r="E70" s="12">
        <v>0</v>
      </c>
      <c r="F70" s="8">
        <v>0</v>
      </c>
      <c r="G70" s="12">
        <v>1</v>
      </c>
      <c r="H70" s="8">
        <v>7.14</v>
      </c>
      <c r="I70" s="12">
        <v>0</v>
      </c>
    </row>
    <row r="71" spans="2:9" ht="15" customHeight="1" x14ac:dyDescent="0.2">
      <c r="B71" t="s">
        <v>184</v>
      </c>
      <c r="C71" s="12">
        <v>1</v>
      </c>
      <c r="D71" s="8">
        <v>2.33</v>
      </c>
      <c r="E71" s="12">
        <v>0</v>
      </c>
      <c r="F71" s="8">
        <v>0</v>
      </c>
      <c r="G71" s="12">
        <v>1</v>
      </c>
      <c r="H71" s="8">
        <v>7.14</v>
      </c>
      <c r="I71" s="12">
        <v>0</v>
      </c>
    </row>
    <row r="72" spans="2:9" ht="15" customHeight="1" x14ac:dyDescent="0.2">
      <c r="B72" t="s">
        <v>198</v>
      </c>
      <c r="C72" s="12">
        <v>1</v>
      </c>
      <c r="D72" s="8">
        <v>2.33</v>
      </c>
      <c r="E72" s="12">
        <v>1</v>
      </c>
      <c r="F72" s="8">
        <v>4.17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190</v>
      </c>
      <c r="C73" s="12">
        <v>1</v>
      </c>
      <c r="D73" s="8">
        <v>2.33</v>
      </c>
      <c r="E73" s="12">
        <v>1</v>
      </c>
      <c r="F73" s="8">
        <v>4.17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257</v>
      </c>
      <c r="C74" s="12">
        <v>1</v>
      </c>
      <c r="D74" s="8">
        <v>2.33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258</v>
      </c>
      <c r="C75" s="12">
        <v>1</v>
      </c>
      <c r="D75" s="8">
        <v>2.33</v>
      </c>
      <c r="E75" s="12">
        <v>1</v>
      </c>
      <c r="F75" s="8">
        <v>4.17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259</v>
      </c>
      <c r="C76" s="12">
        <v>1</v>
      </c>
      <c r="D76" s="8">
        <v>2.33</v>
      </c>
      <c r="E76" s="12">
        <v>0</v>
      </c>
      <c r="F76" s="8">
        <v>0</v>
      </c>
      <c r="G76" s="12">
        <v>1</v>
      </c>
      <c r="H76" s="8">
        <v>7.14</v>
      </c>
      <c r="I76" s="12">
        <v>0</v>
      </c>
    </row>
    <row r="78" spans="2:9" ht="15" customHeight="1" x14ac:dyDescent="0.2">
      <c r="B78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D24D0-061C-4D73-9943-059EA5CAC630}">
  <sheetPr>
    <pageSetUpPr fitToPage="1"/>
  </sheetPr>
  <dimension ref="B2:I6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390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13</v>
      </c>
      <c r="D6" s="8">
        <v>43.33</v>
      </c>
      <c r="E6" s="12">
        <v>9</v>
      </c>
      <c r="F6" s="8">
        <v>42.86</v>
      </c>
      <c r="G6" s="12">
        <v>4</v>
      </c>
      <c r="H6" s="8">
        <v>80</v>
      </c>
      <c r="I6" s="12">
        <v>0</v>
      </c>
    </row>
    <row r="7" spans="2:9" ht="15" customHeight="1" x14ac:dyDescent="0.2">
      <c r="B7" t="s">
        <v>80</v>
      </c>
      <c r="C7" s="12">
        <v>4</v>
      </c>
      <c r="D7" s="8">
        <v>13.33</v>
      </c>
      <c r="E7" s="12">
        <v>3</v>
      </c>
      <c r="F7" s="8">
        <v>14.29</v>
      </c>
      <c r="G7" s="12">
        <v>1</v>
      </c>
      <c r="H7" s="8">
        <v>20</v>
      </c>
      <c r="I7" s="12">
        <v>0</v>
      </c>
    </row>
    <row r="8" spans="2:9" ht="15" customHeight="1" x14ac:dyDescent="0.2">
      <c r="B8" t="s">
        <v>81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84</v>
      </c>
      <c r="C11" s="12">
        <v>6</v>
      </c>
      <c r="D11" s="8">
        <v>20</v>
      </c>
      <c r="E11" s="12">
        <v>6</v>
      </c>
      <c r="F11" s="8">
        <v>28.57</v>
      </c>
      <c r="G11" s="12">
        <v>0</v>
      </c>
      <c r="H11" s="8">
        <v>0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87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88</v>
      </c>
      <c r="C15" s="12">
        <v>1</v>
      </c>
      <c r="D15" s="8">
        <v>3.33</v>
      </c>
      <c r="E15" s="12">
        <v>1</v>
      </c>
      <c r="F15" s="8">
        <v>4.76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89</v>
      </c>
      <c r="C16" s="12">
        <v>2</v>
      </c>
      <c r="D16" s="8">
        <v>6.67</v>
      </c>
      <c r="E16" s="12">
        <v>1</v>
      </c>
      <c r="F16" s="8">
        <v>4.76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90</v>
      </c>
      <c r="C17" s="12">
        <v>2</v>
      </c>
      <c r="D17" s="8">
        <v>6.67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2</v>
      </c>
      <c r="D18" s="8">
        <v>6.67</v>
      </c>
      <c r="E18" s="12">
        <v>1</v>
      </c>
      <c r="F18" s="8">
        <v>4.76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92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363</v>
      </c>
      <c r="C20" s="12">
        <f>SUM(LTBL_20307[総数／事業所数])</f>
        <v>30</v>
      </c>
      <c r="E20" s="12">
        <f>SUBTOTAL(109,LTBL_20307[個人／事業所数])</f>
        <v>21</v>
      </c>
      <c r="G20" s="12">
        <f>SUBTOTAL(109,LTBL_20307[法人／事業所数])</f>
        <v>5</v>
      </c>
      <c r="I20" s="12">
        <f>SUBTOTAL(109,LTBL_20307[法人以外の団体／事業所数])</f>
        <v>0</v>
      </c>
    </row>
    <row r="21" spans="2:9" ht="15" customHeight="1" x14ac:dyDescent="0.2">
      <c r="E21" s="11">
        <f>LTBL_20307[[#Totals],[個人／事業所数]]/LTBL_20307[[#Totals],[総数／事業所数]]</f>
        <v>0.7</v>
      </c>
      <c r="G21" s="11">
        <f>LTBL_20307[[#Totals],[法人／事業所数]]/LTBL_20307[[#Totals],[総数／事業所数]]</f>
        <v>0.16666666666666666</v>
      </c>
      <c r="I21" s="11">
        <f>LTBL_20307[[#Totals],[法人以外の団体／事業所数]]/LTBL_20307[[#Totals],[総数／事業所数]]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101</v>
      </c>
      <c r="C24" s="12">
        <v>6</v>
      </c>
      <c r="D24" s="8">
        <v>20</v>
      </c>
      <c r="E24" s="12">
        <v>2</v>
      </c>
      <c r="F24" s="8">
        <v>9.52</v>
      </c>
      <c r="G24" s="12">
        <v>4</v>
      </c>
      <c r="H24" s="8">
        <v>80</v>
      </c>
      <c r="I24" s="12">
        <v>0</v>
      </c>
    </row>
    <row r="25" spans="2:9" ht="15" customHeight="1" x14ac:dyDescent="0.2">
      <c r="B25" t="s">
        <v>102</v>
      </c>
      <c r="C25" s="12">
        <v>6</v>
      </c>
      <c r="D25" s="8">
        <v>20</v>
      </c>
      <c r="E25" s="12">
        <v>6</v>
      </c>
      <c r="F25" s="8">
        <v>28.57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130</v>
      </c>
      <c r="C26" s="12">
        <v>2</v>
      </c>
      <c r="D26" s="8">
        <v>6.67</v>
      </c>
      <c r="E26" s="12">
        <v>2</v>
      </c>
      <c r="F26" s="8">
        <v>9.52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108</v>
      </c>
      <c r="C27" s="12">
        <v>2</v>
      </c>
      <c r="D27" s="8">
        <v>6.67</v>
      </c>
      <c r="E27" s="12">
        <v>2</v>
      </c>
      <c r="F27" s="8">
        <v>9.52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110</v>
      </c>
      <c r="C28" s="12">
        <v>2</v>
      </c>
      <c r="D28" s="8">
        <v>6.67</v>
      </c>
      <c r="E28" s="12">
        <v>2</v>
      </c>
      <c r="F28" s="8">
        <v>9.52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117</v>
      </c>
      <c r="C29" s="12">
        <v>2</v>
      </c>
      <c r="D29" s="8">
        <v>6.67</v>
      </c>
      <c r="E29" s="12">
        <v>0</v>
      </c>
      <c r="F29" s="8">
        <v>0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103</v>
      </c>
      <c r="C30" s="12">
        <v>1</v>
      </c>
      <c r="D30" s="8">
        <v>3.33</v>
      </c>
      <c r="E30" s="12">
        <v>1</v>
      </c>
      <c r="F30" s="8">
        <v>4.76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127</v>
      </c>
      <c r="C31" s="12">
        <v>1</v>
      </c>
      <c r="D31" s="8">
        <v>3.33</v>
      </c>
      <c r="E31" s="12">
        <v>0</v>
      </c>
      <c r="F31" s="8">
        <v>0</v>
      </c>
      <c r="G31" s="12">
        <v>1</v>
      </c>
      <c r="H31" s="8">
        <v>20</v>
      </c>
      <c r="I31" s="12">
        <v>0</v>
      </c>
    </row>
    <row r="32" spans="2:9" ht="15" customHeight="1" x14ac:dyDescent="0.2">
      <c r="B32" t="s">
        <v>151</v>
      </c>
      <c r="C32" s="12">
        <v>1</v>
      </c>
      <c r="D32" s="8">
        <v>3.33</v>
      </c>
      <c r="E32" s="12">
        <v>1</v>
      </c>
      <c r="F32" s="8">
        <v>4.76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109</v>
      </c>
      <c r="C33" s="12">
        <v>1</v>
      </c>
      <c r="D33" s="8">
        <v>3.33</v>
      </c>
      <c r="E33" s="12">
        <v>1</v>
      </c>
      <c r="F33" s="8">
        <v>4.76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133</v>
      </c>
      <c r="C34" s="12">
        <v>1</v>
      </c>
      <c r="D34" s="8">
        <v>3.33</v>
      </c>
      <c r="E34" s="12">
        <v>1</v>
      </c>
      <c r="F34" s="8">
        <v>4.76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114</v>
      </c>
      <c r="C35" s="12">
        <v>1</v>
      </c>
      <c r="D35" s="8">
        <v>3.33</v>
      </c>
      <c r="E35" s="12">
        <v>1</v>
      </c>
      <c r="F35" s="8">
        <v>4.76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116</v>
      </c>
      <c r="C36" s="12">
        <v>1</v>
      </c>
      <c r="D36" s="8">
        <v>3.33</v>
      </c>
      <c r="E36" s="12">
        <v>1</v>
      </c>
      <c r="F36" s="8">
        <v>4.76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132</v>
      </c>
      <c r="C37" s="12">
        <v>1</v>
      </c>
      <c r="D37" s="8">
        <v>3.33</v>
      </c>
      <c r="E37" s="12">
        <v>0</v>
      </c>
      <c r="F37" s="8">
        <v>0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118</v>
      </c>
      <c r="C38" s="12">
        <v>1</v>
      </c>
      <c r="D38" s="8">
        <v>3.33</v>
      </c>
      <c r="E38" s="12">
        <v>1</v>
      </c>
      <c r="F38" s="8">
        <v>4.76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119</v>
      </c>
      <c r="C39" s="12">
        <v>1</v>
      </c>
      <c r="D39" s="8">
        <v>3.33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2" spans="2:9" ht="33" customHeight="1" x14ac:dyDescent="0.2">
      <c r="B42" t="s">
        <v>365</v>
      </c>
      <c r="C42" s="10" t="s">
        <v>94</v>
      </c>
      <c r="D42" s="10" t="s">
        <v>95</v>
      </c>
      <c r="E42" s="10" t="s">
        <v>96</v>
      </c>
      <c r="F42" s="10" t="s">
        <v>97</v>
      </c>
      <c r="G42" s="10" t="s">
        <v>98</v>
      </c>
      <c r="H42" s="10" t="s">
        <v>99</v>
      </c>
      <c r="I42" s="10" t="s">
        <v>100</v>
      </c>
    </row>
    <row r="43" spans="2:9" ht="15" customHeight="1" x14ac:dyDescent="0.2">
      <c r="B43" t="s">
        <v>174</v>
      </c>
      <c r="C43" s="12">
        <v>4</v>
      </c>
      <c r="D43" s="8">
        <v>13.33</v>
      </c>
      <c r="E43" s="12">
        <v>0</v>
      </c>
      <c r="F43" s="8">
        <v>0</v>
      </c>
      <c r="G43" s="12">
        <v>4</v>
      </c>
      <c r="H43" s="8">
        <v>80</v>
      </c>
      <c r="I43" s="12">
        <v>0</v>
      </c>
    </row>
    <row r="44" spans="2:9" ht="15" customHeight="1" x14ac:dyDescent="0.2">
      <c r="B44" t="s">
        <v>210</v>
      </c>
      <c r="C44" s="12">
        <v>2</v>
      </c>
      <c r="D44" s="8">
        <v>6.67</v>
      </c>
      <c r="E44" s="12">
        <v>2</v>
      </c>
      <c r="F44" s="8">
        <v>9.52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201</v>
      </c>
      <c r="C45" s="12">
        <v>2</v>
      </c>
      <c r="D45" s="8">
        <v>6.67</v>
      </c>
      <c r="E45" s="12">
        <v>2</v>
      </c>
      <c r="F45" s="8">
        <v>9.52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236</v>
      </c>
      <c r="C46" s="12">
        <v>2</v>
      </c>
      <c r="D46" s="8">
        <v>6.67</v>
      </c>
      <c r="E46" s="12">
        <v>2</v>
      </c>
      <c r="F46" s="8">
        <v>9.52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223</v>
      </c>
      <c r="C47" s="12">
        <v>2</v>
      </c>
      <c r="D47" s="8">
        <v>6.67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260</v>
      </c>
      <c r="C48" s="12">
        <v>1</v>
      </c>
      <c r="D48" s="8">
        <v>3.33</v>
      </c>
      <c r="E48" s="12">
        <v>1</v>
      </c>
      <c r="F48" s="8">
        <v>4.76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208</v>
      </c>
      <c r="C49" s="12">
        <v>1</v>
      </c>
      <c r="D49" s="8">
        <v>3.33</v>
      </c>
      <c r="E49" s="12">
        <v>1</v>
      </c>
      <c r="F49" s="8">
        <v>4.76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224</v>
      </c>
      <c r="C50" s="12">
        <v>1</v>
      </c>
      <c r="D50" s="8">
        <v>3.33</v>
      </c>
      <c r="E50" s="12">
        <v>1</v>
      </c>
      <c r="F50" s="8">
        <v>4.76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261</v>
      </c>
      <c r="C51" s="12">
        <v>1</v>
      </c>
      <c r="D51" s="8">
        <v>3.33</v>
      </c>
      <c r="E51" s="12">
        <v>1</v>
      </c>
      <c r="F51" s="8">
        <v>4.76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177</v>
      </c>
      <c r="C52" s="12">
        <v>1</v>
      </c>
      <c r="D52" s="8">
        <v>3.33</v>
      </c>
      <c r="E52" s="12">
        <v>1</v>
      </c>
      <c r="F52" s="8">
        <v>4.76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262</v>
      </c>
      <c r="C53" s="12">
        <v>1</v>
      </c>
      <c r="D53" s="8">
        <v>3.33</v>
      </c>
      <c r="E53" s="12">
        <v>0</v>
      </c>
      <c r="F53" s="8">
        <v>0</v>
      </c>
      <c r="G53" s="12">
        <v>1</v>
      </c>
      <c r="H53" s="8">
        <v>20</v>
      </c>
      <c r="I53" s="12">
        <v>0</v>
      </c>
    </row>
    <row r="54" spans="2:9" ht="15" customHeight="1" x14ac:dyDescent="0.2">
      <c r="B54" t="s">
        <v>263</v>
      </c>
      <c r="C54" s="12">
        <v>1</v>
      </c>
      <c r="D54" s="8">
        <v>3.33</v>
      </c>
      <c r="E54" s="12">
        <v>1</v>
      </c>
      <c r="F54" s="8">
        <v>4.76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214</v>
      </c>
      <c r="C55" s="12">
        <v>1</v>
      </c>
      <c r="D55" s="8">
        <v>3.33</v>
      </c>
      <c r="E55" s="12">
        <v>1</v>
      </c>
      <c r="F55" s="8">
        <v>4.76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179</v>
      </c>
      <c r="C56" s="12">
        <v>1</v>
      </c>
      <c r="D56" s="8">
        <v>3.33</v>
      </c>
      <c r="E56" s="12">
        <v>1</v>
      </c>
      <c r="F56" s="8">
        <v>4.76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180</v>
      </c>
      <c r="C57" s="12">
        <v>1</v>
      </c>
      <c r="D57" s="8">
        <v>3.33</v>
      </c>
      <c r="E57" s="12">
        <v>1</v>
      </c>
      <c r="F57" s="8">
        <v>4.76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219</v>
      </c>
      <c r="C58" s="12">
        <v>1</v>
      </c>
      <c r="D58" s="8">
        <v>3.33</v>
      </c>
      <c r="E58" s="12">
        <v>1</v>
      </c>
      <c r="F58" s="8">
        <v>4.76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216</v>
      </c>
      <c r="C59" s="12">
        <v>1</v>
      </c>
      <c r="D59" s="8">
        <v>3.33</v>
      </c>
      <c r="E59" s="12">
        <v>1</v>
      </c>
      <c r="F59" s="8">
        <v>4.76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242</v>
      </c>
      <c r="C60" s="12">
        <v>1</v>
      </c>
      <c r="D60" s="8">
        <v>3.33</v>
      </c>
      <c r="E60" s="12">
        <v>1</v>
      </c>
      <c r="F60" s="8">
        <v>4.76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185</v>
      </c>
      <c r="C61" s="12">
        <v>1</v>
      </c>
      <c r="D61" s="8">
        <v>3.33</v>
      </c>
      <c r="E61" s="12">
        <v>1</v>
      </c>
      <c r="F61" s="8">
        <v>4.76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190</v>
      </c>
      <c r="C62" s="12">
        <v>1</v>
      </c>
      <c r="D62" s="8">
        <v>3.33</v>
      </c>
      <c r="E62" s="12">
        <v>1</v>
      </c>
      <c r="F62" s="8">
        <v>4.76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229</v>
      </c>
      <c r="C63" s="12">
        <v>1</v>
      </c>
      <c r="D63" s="8">
        <v>3.33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193</v>
      </c>
      <c r="C64" s="12">
        <v>1</v>
      </c>
      <c r="D64" s="8">
        <v>3.33</v>
      </c>
      <c r="E64" s="12">
        <v>1</v>
      </c>
      <c r="F64" s="8">
        <v>4.76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264</v>
      </c>
      <c r="C65" s="12">
        <v>1</v>
      </c>
      <c r="D65" s="8">
        <v>3.33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7" spans="2:9" ht="15" customHeight="1" x14ac:dyDescent="0.2">
      <c r="B67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CD60E-C89C-4104-B156-1633EDEDDB21}">
  <sheetPr>
    <pageSetUpPr fitToPage="1"/>
  </sheetPr>
  <dimension ref="A1:I1907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172</v>
      </c>
      <c r="B1" s="3" t="s">
        <v>173</v>
      </c>
      <c r="C1" s="7" t="s">
        <v>94</v>
      </c>
      <c r="D1" s="7" t="s">
        <v>95</v>
      </c>
      <c r="E1" s="7" t="s">
        <v>96</v>
      </c>
      <c r="F1" s="7" t="s">
        <v>97</v>
      </c>
      <c r="G1" s="7" t="s">
        <v>98</v>
      </c>
      <c r="H1" s="7" t="s">
        <v>99</v>
      </c>
      <c r="I1" s="7" t="s">
        <v>100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115</v>
      </c>
      <c r="C3" s="4">
        <v>6564</v>
      </c>
      <c r="D3" s="8">
        <v>10.63</v>
      </c>
      <c r="E3" s="4">
        <v>5478</v>
      </c>
      <c r="F3" s="8">
        <v>16.98</v>
      </c>
      <c r="G3" s="4">
        <v>1084</v>
      </c>
      <c r="H3" s="8">
        <v>3.8</v>
      </c>
      <c r="I3" s="4">
        <v>1</v>
      </c>
    </row>
    <row r="4" spans="1:9" x14ac:dyDescent="0.2">
      <c r="A4" s="2">
        <v>2</v>
      </c>
      <c r="B4" s="1" t="s">
        <v>116</v>
      </c>
      <c r="C4" s="4">
        <v>5682</v>
      </c>
      <c r="D4" s="8">
        <v>9.2100000000000009</v>
      </c>
      <c r="E4" s="4">
        <v>4819</v>
      </c>
      <c r="F4" s="8">
        <v>14.93</v>
      </c>
      <c r="G4" s="4">
        <v>851</v>
      </c>
      <c r="H4" s="8">
        <v>2.99</v>
      </c>
      <c r="I4" s="4">
        <v>3</v>
      </c>
    </row>
    <row r="5" spans="1:9" x14ac:dyDescent="0.2">
      <c r="A5" s="2">
        <v>3</v>
      </c>
      <c r="B5" s="1" t="s">
        <v>111</v>
      </c>
      <c r="C5" s="4">
        <v>4844</v>
      </c>
      <c r="D5" s="8">
        <v>7.85</v>
      </c>
      <c r="E5" s="4">
        <v>2929</v>
      </c>
      <c r="F5" s="8">
        <v>9.08</v>
      </c>
      <c r="G5" s="4">
        <v>1896</v>
      </c>
      <c r="H5" s="8">
        <v>6.65</v>
      </c>
      <c r="I5" s="4">
        <v>6</v>
      </c>
    </row>
    <row r="6" spans="1:9" x14ac:dyDescent="0.2">
      <c r="A6" s="2">
        <v>4</v>
      </c>
      <c r="B6" s="1" t="s">
        <v>101</v>
      </c>
      <c r="C6" s="4">
        <v>4178</v>
      </c>
      <c r="D6" s="8">
        <v>6.77</v>
      </c>
      <c r="E6" s="4">
        <v>1204</v>
      </c>
      <c r="F6" s="8">
        <v>3.73</v>
      </c>
      <c r="G6" s="4">
        <v>2974</v>
      </c>
      <c r="H6" s="8">
        <v>10.44</v>
      </c>
      <c r="I6" s="4">
        <v>0</v>
      </c>
    </row>
    <row r="7" spans="1:9" x14ac:dyDescent="0.2">
      <c r="A7" s="2">
        <v>5</v>
      </c>
      <c r="B7" s="1" t="s">
        <v>110</v>
      </c>
      <c r="C7" s="4">
        <v>4027</v>
      </c>
      <c r="D7" s="8">
        <v>6.52</v>
      </c>
      <c r="E7" s="4">
        <v>1880</v>
      </c>
      <c r="F7" s="8">
        <v>5.83</v>
      </c>
      <c r="G7" s="4">
        <v>2144</v>
      </c>
      <c r="H7" s="8">
        <v>7.52</v>
      </c>
      <c r="I7" s="4">
        <v>2</v>
      </c>
    </row>
    <row r="8" spans="1:9" x14ac:dyDescent="0.2">
      <c r="A8" s="2">
        <v>6</v>
      </c>
      <c r="B8" s="1" t="s">
        <v>102</v>
      </c>
      <c r="C8" s="4">
        <v>2954</v>
      </c>
      <c r="D8" s="8">
        <v>4.79</v>
      </c>
      <c r="E8" s="4">
        <v>1675</v>
      </c>
      <c r="F8" s="8">
        <v>5.19</v>
      </c>
      <c r="G8" s="4">
        <v>1279</v>
      </c>
      <c r="H8" s="8">
        <v>4.49</v>
      </c>
      <c r="I8" s="4">
        <v>0</v>
      </c>
    </row>
    <row r="9" spans="1:9" x14ac:dyDescent="0.2">
      <c r="A9" s="2">
        <v>7</v>
      </c>
      <c r="B9" s="1" t="s">
        <v>108</v>
      </c>
      <c r="C9" s="4">
        <v>2683</v>
      </c>
      <c r="D9" s="8">
        <v>4.3499999999999996</v>
      </c>
      <c r="E9" s="4">
        <v>1642</v>
      </c>
      <c r="F9" s="8">
        <v>5.09</v>
      </c>
      <c r="G9" s="4">
        <v>1017</v>
      </c>
      <c r="H9" s="8">
        <v>3.57</v>
      </c>
      <c r="I9" s="4">
        <v>20</v>
      </c>
    </row>
    <row r="10" spans="1:9" x14ac:dyDescent="0.2">
      <c r="A10" s="2">
        <v>8</v>
      </c>
      <c r="B10" s="1" t="s">
        <v>114</v>
      </c>
      <c r="C10" s="4">
        <v>2206</v>
      </c>
      <c r="D10" s="8">
        <v>3.57</v>
      </c>
      <c r="E10" s="4">
        <v>1494</v>
      </c>
      <c r="F10" s="8">
        <v>4.63</v>
      </c>
      <c r="G10" s="4">
        <v>705</v>
      </c>
      <c r="H10" s="8">
        <v>2.4700000000000002</v>
      </c>
      <c r="I10" s="4">
        <v>3</v>
      </c>
    </row>
    <row r="11" spans="1:9" x14ac:dyDescent="0.2">
      <c r="A11" s="2">
        <v>9</v>
      </c>
      <c r="B11" s="1" t="s">
        <v>117</v>
      </c>
      <c r="C11" s="4">
        <v>2177</v>
      </c>
      <c r="D11" s="8">
        <v>3.53</v>
      </c>
      <c r="E11" s="4">
        <v>1266</v>
      </c>
      <c r="F11" s="8">
        <v>3.92</v>
      </c>
      <c r="G11" s="4">
        <v>575</v>
      </c>
      <c r="H11" s="8">
        <v>2.02</v>
      </c>
      <c r="I11" s="4">
        <v>17</v>
      </c>
    </row>
    <row r="12" spans="1:9" x14ac:dyDescent="0.2">
      <c r="A12" s="2">
        <v>10</v>
      </c>
      <c r="B12" s="1" t="s">
        <v>103</v>
      </c>
      <c r="C12" s="4">
        <v>1904</v>
      </c>
      <c r="D12" s="8">
        <v>3.08</v>
      </c>
      <c r="E12" s="4">
        <v>576</v>
      </c>
      <c r="F12" s="8">
        <v>1.79</v>
      </c>
      <c r="G12" s="4">
        <v>1328</v>
      </c>
      <c r="H12" s="8">
        <v>4.66</v>
      </c>
      <c r="I12" s="4">
        <v>0</v>
      </c>
    </row>
    <row r="13" spans="1:9" x14ac:dyDescent="0.2">
      <c r="A13" s="2">
        <v>11</v>
      </c>
      <c r="B13" s="1" t="s">
        <v>118</v>
      </c>
      <c r="C13" s="4">
        <v>1850</v>
      </c>
      <c r="D13" s="8">
        <v>3</v>
      </c>
      <c r="E13" s="4">
        <v>1682</v>
      </c>
      <c r="F13" s="8">
        <v>5.21</v>
      </c>
      <c r="G13" s="4">
        <v>162</v>
      </c>
      <c r="H13" s="8">
        <v>0.56999999999999995</v>
      </c>
      <c r="I13" s="4">
        <v>1</v>
      </c>
    </row>
    <row r="14" spans="1:9" x14ac:dyDescent="0.2">
      <c r="A14" s="2">
        <v>12</v>
      </c>
      <c r="B14" s="1" t="s">
        <v>109</v>
      </c>
      <c r="C14" s="4">
        <v>1824</v>
      </c>
      <c r="D14" s="8">
        <v>2.95</v>
      </c>
      <c r="E14" s="4">
        <v>916</v>
      </c>
      <c r="F14" s="8">
        <v>2.84</v>
      </c>
      <c r="G14" s="4">
        <v>908</v>
      </c>
      <c r="H14" s="8">
        <v>3.19</v>
      </c>
      <c r="I14" s="4">
        <v>0</v>
      </c>
    </row>
    <row r="15" spans="1:9" x14ac:dyDescent="0.2">
      <c r="A15" s="2">
        <v>13</v>
      </c>
      <c r="B15" s="1" t="s">
        <v>112</v>
      </c>
      <c r="C15" s="4">
        <v>1583</v>
      </c>
      <c r="D15" s="8">
        <v>2.56</v>
      </c>
      <c r="E15" s="4">
        <v>1138</v>
      </c>
      <c r="F15" s="8">
        <v>3.53</v>
      </c>
      <c r="G15" s="4">
        <v>444</v>
      </c>
      <c r="H15" s="8">
        <v>1.56</v>
      </c>
      <c r="I15" s="4">
        <v>1</v>
      </c>
    </row>
    <row r="16" spans="1:9" x14ac:dyDescent="0.2">
      <c r="A16" s="2">
        <v>14</v>
      </c>
      <c r="B16" s="1" t="s">
        <v>107</v>
      </c>
      <c r="C16" s="4">
        <v>1381</v>
      </c>
      <c r="D16" s="8">
        <v>2.2400000000000002</v>
      </c>
      <c r="E16" s="4">
        <v>621</v>
      </c>
      <c r="F16" s="8">
        <v>1.92</v>
      </c>
      <c r="G16" s="4">
        <v>759</v>
      </c>
      <c r="H16" s="8">
        <v>2.66</v>
      </c>
      <c r="I16" s="4">
        <v>1</v>
      </c>
    </row>
    <row r="17" spans="1:9" x14ac:dyDescent="0.2">
      <c r="A17" s="2">
        <v>15</v>
      </c>
      <c r="B17" s="1" t="s">
        <v>113</v>
      </c>
      <c r="C17" s="4">
        <v>1334</v>
      </c>
      <c r="D17" s="8">
        <v>2.16</v>
      </c>
      <c r="E17" s="4">
        <v>528</v>
      </c>
      <c r="F17" s="8">
        <v>1.64</v>
      </c>
      <c r="G17" s="4">
        <v>767</v>
      </c>
      <c r="H17" s="8">
        <v>2.69</v>
      </c>
      <c r="I17" s="4">
        <v>5</v>
      </c>
    </row>
    <row r="18" spans="1:9" x14ac:dyDescent="0.2">
      <c r="A18" s="2">
        <v>16</v>
      </c>
      <c r="B18" s="1" t="s">
        <v>119</v>
      </c>
      <c r="C18" s="4">
        <v>902</v>
      </c>
      <c r="D18" s="8">
        <v>1.46</v>
      </c>
      <c r="E18" s="4">
        <v>9</v>
      </c>
      <c r="F18" s="8">
        <v>0.03</v>
      </c>
      <c r="G18" s="4">
        <v>658</v>
      </c>
      <c r="H18" s="8">
        <v>2.31</v>
      </c>
      <c r="I18" s="4">
        <v>5</v>
      </c>
    </row>
    <row r="19" spans="1:9" x14ac:dyDescent="0.2">
      <c r="A19" s="2">
        <v>17</v>
      </c>
      <c r="B19" s="1" t="s">
        <v>105</v>
      </c>
      <c r="C19" s="4">
        <v>845</v>
      </c>
      <c r="D19" s="8">
        <v>1.37</v>
      </c>
      <c r="E19" s="4">
        <v>241</v>
      </c>
      <c r="F19" s="8">
        <v>0.75</v>
      </c>
      <c r="G19" s="4">
        <v>604</v>
      </c>
      <c r="H19" s="8">
        <v>2.12</v>
      </c>
      <c r="I19" s="4">
        <v>0</v>
      </c>
    </row>
    <row r="20" spans="1:9" x14ac:dyDescent="0.2">
      <c r="A20" s="2">
        <v>18</v>
      </c>
      <c r="B20" s="1" t="s">
        <v>106</v>
      </c>
      <c r="C20" s="4">
        <v>826</v>
      </c>
      <c r="D20" s="8">
        <v>1.34</v>
      </c>
      <c r="E20" s="4">
        <v>73</v>
      </c>
      <c r="F20" s="8">
        <v>0.23</v>
      </c>
      <c r="G20" s="4">
        <v>753</v>
      </c>
      <c r="H20" s="8">
        <v>2.64</v>
      </c>
      <c r="I20" s="4">
        <v>0</v>
      </c>
    </row>
    <row r="21" spans="1:9" x14ac:dyDescent="0.2">
      <c r="A21" s="2">
        <v>19</v>
      </c>
      <c r="B21" s="1" t="s">
        <v>120</v>
      </c>
      <c r="C21" s="4">
        <v>749</v>
      </c>
      <c r="D21" s="8">
        <v>1.21</v>
      </c>
      <c r="E21" s="4">
        <v>471</v>
      </c>
      <c r="F21" s="8">
        <v>1.46</v>
      </c>
      <c r="G21" s="4">
        <v>276</v>
      </c>
      <c r="H21" s="8">
        <v>0.97</v>
      </c>
      <c r="I21" s="4">
        <v>0</v>
      </c>
    </row>
    <row r="22" spans="1:9" x14ac:dyDescent="0.2">
      <c r="A22" s="2">
        <v>20</v>
      </c>
      <c r="B22" s="1" t="s">
        <v>104</v>
      </c>
      <c r="C22" s="4">
        <v>696</v>
      </c>
      <c r="D22" s="8">
        <v>1.1299999999999999</v>
      </c>
      <c r="E22" s="4">
        <v>255</v>
      </c>
      <c r="F22" s="8">
        <v>0.79</v>
      </c>
      <c r="G22" s="4">
        <v>441</v>
      </c>
      <c r="H22" s="8">
        <v>1.55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111</v>
      </c>
      <c r="C25" s="4">
        <v>1416</v>
      </c>
      <c r="D25" s="8">
        <v>13.97</v>
      </c>
      <c r="E25" s="4">
        <v>885</v>
      </c>
      <c r="F25" s="8">
        <v>18.95</v>
      </c>
      <c r="G25" s="4">
        <v>528</v>
      </c>
      <c r="H25" s="8">
        <v>9.83</v>
      </c>
      <c r="I25" s="4">
        <v>0</v>
      </c>
    </row>
    <row r="26" spans="1:9" x14ac:dyDescent="0.2">
      <c r="A26" s="2">
        <v>2</v>
      </c>
      <c r="B26" s="1" t="s">
        <v>115</v>
      </c>
      <c r="C26" s="4">
        <v>951</v>
      </c>
      <c r="D26" s="8">
        <v>9.3800000000000008</v>
      </c>
      <c r="E26" s="4">
        <v>740</v>
      </c>
      <c r="F26" s="8">
        <v>15.84</v>
      </c>
      <c r="G26" s="4">
        <v>211</v>
      </c>
      <c r="H26" s="8">
        <v>3.93</v>
      </c>
      <c r="I26" s="4">
        <v>0</v>
      </c>
    </row>
    <row r="27" spans="1:9" x14ac:dyDescent="0.2">
      <c r="A27" s="2">
        <v>3</v>
      </c>
      <c r="B27" s="1" t="s">
        <v>116</v>
      </c>
      <c r="C27" s="4">
        <v>938</v>
      </c>
      <c r="D27" s="8">
        <v>9.26</v>
      </c>
      <c r="E27" s="4">
        <v>754</v>
      </c>
      <c r="F27" s="8">
        <v>16.14</v>
      </c>
      <c r="G27" s="4">
        <v>184</v>
      </c>
      <c r="H27" s="8">
        <v>3.42</v>
      </c>
      <c r="I27" s="4">
        <v>0</v>
      </c>
    </row>
    <row r="28" spans="1:9" x14ac:dyDescent="0.2">
      <c r="A28" s="2">
        <v>4</v>
      </c>
      <c r="B28" s="1" t="s">
        <v>101</v>
      </c>
      <c r="C28" s="4">
        <v>608</v>
      </c>
      <c r="D28" s="8">
        <v>6</v>
      </c>
      <c r="E28" s="4">
        <v>121</v>
      </c>
      <c r="F28" s="8">
        <v>2.59</v>
      </c>
      <c r="G28" s="4">
        <v>487</v>
      </c>
      <c r="H28" s="8">
        <v>9.06</v>
      </c>
      <c r="I28" s="4">
        <v>0</v>
      </c>
    </row>
    <row r="29" spans="1:9" x14ac:dyDescent="0.2">
      <c r="A29" s="2">
        <v>5</v>
      </c>
      <c r="B29" s="1" t="s">
        <v>110</v>
      </c>
      <c r="C29" s="4">
        <v>606</v>
      </c>
      <c r="D29" s="8">
        <v>5.98</v>
      </c>
      <c r="E29" s="4">
        <v>236</v>
      </c>
      <c r="F29" s="8">
        <v>5.05</v>
      </c>
      <c r="G29" s="4">
        <v>369</v>
      </c>
      <c r="H29" s="8">
        <v>6.87</v>
      </c>
      <c r="I29" s="4">
        <v>0</v>
      </c>
    </row>
    <row r="30" spans="1:9" x14ac:dyDescent="0.2">
      <c r="A30" s="2">
        <v>6</v>
      </c>
      <c r="B30" s="1" t="s">
        <v>102</v>
      </c>
      <c r="C30" s="4">
        <v>490</v>
      </c>
      <c r="D30" s="8">
        <v>4.84</v>
      </c>
      <c r="E30" s="4">
        <v>198</v>
      </c>
      <c r="F30" s="8">
        <v>4.24</v>
      </c>
      <c r="G30" s="4">
        <v>292</v>
      </c>
      <c r="H30" s="8">
        <v>5.43</v>
      </c>
      <c r="I30" s="4">
        <v>0</v>
      </c>
    </row>
    <row r="31" spans="1:9" x14ac:dyDescent="0.2">
      <c r="A31" s="2">
        <v>7</v>
      </c>
      <c r="B31" s="1" t="s">
        <v>108</v>
      </c>
      <c r="C31" s="4">
        <v>349</v>
      </c>
      <c r="D31" s="8">
        <v>3.44</v>
      </c>
      <c r="E31" s="4">
        <v>199</v>
      </c>
      <c r="F31" s="8">
        <v>4.26</v>
      </c>
      <c r="G31" s="4">
        <v>149</v>
      </c>
      <c r="H31" s="8">
        <v>2.77</v>
      </c>
      <c r="I31" s="4">
        <v>1</v>
      </c>
    </row>
    <row r="32" spans="1:9" x14ac:dyDescent="0.2">
      <c r="A32" s="2">
        <v>8</v>
      </c>
      <c r="B32" s="1" t="s">
        <v>117</v>
      </c>
      <c r="C32" s="4">
        <v>348</v>
      </c>
      <c r="D32" s="8">
        <v>3.43</v>
      </c>
      <c r="E32" s="4">
        <v>202</v>
      </c>
      <c r="F32" s="8">
        <v>4.32</v>
      </c>
      <c r="G32" s="4">
        <v>118</v>
      </c>
      <c r="H32" s="8">
        <v>2.2000000000000002</v>
      </c>
      <c r="I32" s="4">
        <v>1</v>
      </c>
    </row>
    <row r="33" spans="1:9" x14ac:dyDescent="0.2">
      <c r="A33" s="2">
        <v>9</v>
      </c>
      <c r="B33" s="1" t="s">
        <v>112</v>
      </c>
      <c r="C33" s="4">
        <v>336</v>
      </c>
      <c r="D33" s="8">
        <v>3.32</v>
      </c>
      <c r="E33" s="4">
        <v>223</v>
      </c>
      <c r="F33" s="8">
        <v>4.7699999999999996</v>
      </c>
      <c r="G33" s="4">
        <v>113</v>
      </c>
      <c r="H33" s="8">
        <v>2.1</v>
      </c>
      <c r="I33" s="4">
        <v>0</v>
      </c>
    </row>
    <row r="34" spans="1:9" x14ac:dyDescent="0.2">
      <c r="A34" s="2">
        <v>10</v>
      </c>
      <c r="B34" s="1" t="s">
        <v>103</v>
      </c>
      <c r="C34" s="4">
        <v>328</v>
      </c>
      <c r="D34" s="8">
        <v>3.24</v>
      </c>
      <c r="E34" s="4">
        <v>54</v>
      </c>
      <c r="F34" s="8">
        <v>1.1599999999999999</v>
      </c>
      <c r="G34" s="4">
        <v>274</v>
      </c>
      <c r="H34" s="8">
        <v>5.0999999999999996</v>
      </c>
      <c r="I34" s="4">
        <v>0</v>
      </c>
    </row>
    <row r="35" spans="1:9" x14ac:dyDescent="0.2">
      <c r="A35" s="2">
        <v>11</v>
      </c>
      <c r="B35" s="1" t="s">
        <v>118</v>
      </c>
      <c r="C35" s="4">
        <v>303</v>
      </c>
      <c r="D35" s="8">
        <v>2.99</v>
      </c>
      <c r="E35" s="4">
        <v>264</v>
      </c>
      <c r="F35" s="8">
        <v>5.65</v>
      </c>
      <c r="G35" s="4">
        <v>37</v>
      </c>
      <c r="H35" s="8">
        <v>0.69</v>
      </c>
      <c r="I35" s="4">
        <v>0</v>
      </c>
    </row>
    <row r="36" spans="1:9" x14ac:dyDescent="0.2">
      <c r="A36" s="2">
        <v>12</v>
      </c>
      <c r="B36" s="1" t="s">
        <v>109</v>
      </c>
      <c r="C36" s="4">
        <v>286</v>
      </c>
      <c r="D36" s="8">
        <v>2.82</v>
      </c>
      <c r="E36" s="4">
        <v>116</v>
      </c>
      <c r="F36" s="8">
        <v>2.48</v>
      </c>
      <c r="G36" s="4">
        <v>170</v>
      </c>
      <c r="H36" s="8">
        <v>3.16</v>
      </c>
      <c r="I36" s="4">
        <v>0</v>
      </c>
    </row>
    <row r="37" spans="1:9" x14ac:dyDescent="0.2">
      <c r="A37" s="2">
        <v>13</v>
      </c>
      <c r="B37" s="1" t="s">
        <v>113</v>
      </c>
      <c r="C37" s="4">
        <v>259</v>
      </c>
      <c r="D37" s="8">
        <v>2.56</v>
      </c>
      <c r="E37" s="4">
        <v>77</v>
      </c>
      <c r="F37" s="8">
        <v>1.65</v>
      </c>
      <c r="G37" s="4">
        <v>177</v>
      </c>
      <c r="H37" s="8">
        <v>3.29</v>
      </c>
      <c r="I37" s="4">
        <v>1</v>
      </c>
    </row>
    <row r="38" spans="1:9" x14ac:dyDescent="0.2">
      <c r="A38" s="2">
        <v>14</v>
      </c>
      <c r="B38" s="1" t="s">
        <v>107</v>
      </c>
      <c r="C38" s="4">
        <v>229</v>
      </c>
      <c r="D38" s="8">
        <v>2.2599999999999998</v>
      </c>
      <c r="E38" s="4">
        <v>68</v>
      </c>
      <c r="F38" s="8">
        <v>1.46</v>
      </c>
      <c r="G38" s="4">
        <v>160</v>
      </c>
      <c r="H38" s="8">
        <v>2.98</v>
      </c>
      <c r="I38" s="4">
        <v>1</v>
      </c>
    </row>
    <row r="39" spans="1:9" x14ac:dyDescent="0.2">
      <c r="A39" s="2">
        <v>15</v>
      </c>
      <c r="B39" s="1" t="s">
        <v>122</v>
      </c>
      <c r="C39" s="4">
        <v>168</v>
      </c>
      <c r="D39" s="8">
        <v>1.66</v>
      </c>
      <c r="E39" s="4">
        <v>22</v>
      </c>
      <c r="F39" s="8">
        <v>0.47</v>
      </c>
      <c r="G39" s="4">
        <v>146</v>
      </c>
      <c r="H39" s="8">
        <v>2.72</v>
      </c>
      <c r="I39" s="4">
        <v>0</v>
      </c>
    </row>
    <row r="40" spans="1:9" x14ac:dyDescent="0.2">
      <c r="A40" s="2">
        <v>16</v>
      </c>
      <c r="B40" s="1" t="s">
        <v>106</v>
      </c>
      <c r="C40" s="4">
        <v>164</v>
      </c>
      <c r="D40" s="8">
        <v>1.62</v>
      </c>
      <c r="E40" s="4">
        <v>11</v>
      </c>
      <c r="F40" s="8">
        <v>0.24</v>
      </c>
      <c r="G40" s="4">
        <v>153</v>
      </c>
      <c r="H40" s="8">
        <v>2.85</v>
      </c>
      <c r="I40" s="4">
        <v>0</v>
      </c>
    </row>
    <row r="41" spans="1:9" x14ac:dyDescent="0.2">
      <c r="A41" s="2">
        <v>17</v>
      </c>
      <c r="B41" s="1" t="s">
        <v>119</v>
      </c>
      <c r="C41" s="4">
        <v>160</v>
      </c>
      <c r="D41" s="8">
        <v>1.58</v>
      </c>
      <c r="E41" s="4">
        <v>1</v>
      </c>
      <c r="F41" s="8">
        <v>0.02</v>
      </c>
      <c r="G41" s="4">
        <v>148</v>
      </c>
      <c r="H41" s="8">
        <v>2.75</v>
      </c>
      <c r="I41" s="4">
        <v>3</v>
      </c>
    </row>
    <row r="42" spans="1:9" x14ac:dyDescent="0.2">
      <c r="A42" s="2">
        <v>18</v>
      </c>
      <c r="B42" s="1" t="s">
        <v>123</v>
      </c>
      <c r="C42" s="4">
        <v>139</v>
      </c>
      <c r="D42" s="8">
        <v>1.37</v>
      </c>
      <c r="E42" s="4">
        <v>9</v>
      </c>
      <c r="F42" s="8">
        <v>0.19</v>
      </c>
      <c r="G42" s="4">
        <v>130</v>
      </c>
      <c r="H42" s="8">
        <v>2.42</v>
      </c>
      <c r="I42" s="4">
        <v>0</v>
      </c>
    </row>
    <row r="43" spans="1:9" x14ac:dyDescent="0.2">
      <c r="A43" s="2">
        <v>19</v>
      </c>
      <c r="B43" s="1" t="s">
        <v>124</v>
      </c>
      <c r="C43" s="4">
        <v>129</v>
      </c>
      <c r="D43" s="8">
        <v>1.27</v>
      </c>
      <c r="E43" s="4">
        <v>11</v>
      </c>
      <c r="F43" s="8">
        <v>0.24</v>
      </c>
      <c r="G43" s="4">
        <v>105</v>
      </c>
      <c r="H43" s="8">
        <v>1.95</v>
      </c>
      <c r="I43" s="4">
        <v>10</v>
      </c>
    </row>
    <row r="44" spans="1:9" x14ac:dyDescent="0.2">
      <c r="A44" s="2">
        <v>20</v>
      </c>
      <c r="B44" s="1" t="s">
        <v>121</v>
      </c>
      <c r="C44" s="4">
        <v>128</v>
      </c>
      <c r="D44" s="8">
        <v>1.26</v>
      </c>
      <c r="E44" s="4">
        <v>14</v>
      </c>
      <c r="F44" s="8">
        <v>0.3</v>
      </c>
      <c r="G44" s="4">
        <v>114</v>
      </c>
      <c r="H44" s="8">
        <v>2.12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115</v>
      </c>
      <c r="C47" s="4">
        <v>928</v>
      </c>
      <c r="D47" s="8">
        <v>12.63</v>
      </c>
      <c r="E47" s="4">
        <v>794</v>
      </c>
      <c r="F47" s="8">
        <v>22.01</v>
      </c>
      <c r="G47" s="4">
        <v>133</v>
      </c>
      <c r="H47" s="8">
        <v>3.66</v>
      </c>
      <c r="I47" s="4">
        <v>1</v>
      </c>
    </row>
    <row r="48" spans="1:9" x14ac:dyDescent="0.2">
      <c r="A48" s="2">
        <v>2</v>
      </c>
      <c r="B48" s="1" t="s">
        <v>111</v>
      </c>
      <c r="C48" s="4">
        <v>789</v>
      </c>
      <c r="D48" s="8">
        <v>10.73</v>
      </c>
      <c r="E48" s="4">
        <v>475</v>
      </c>
      <c r="F48" s="8">
        <v>13.17</v>
      </c>
      <c r="G48" s="4">
        <v>313</v>
      </c>
      <c r="H48" s="8">
        <v>8.6199999999999992</v>
      </c>
      <c r="I48" s="4">
        <v>1</v>
      </c>
    </row>
    <row r="49" spans="1:9" x14ac:dyDescent="0.2">
      <c r="A49" s="2">
        <v>3</v>
      </c>
      <c r="B49" s="1" t="s">
        <v>116</v>
      </c>
      <c r="C49" s="4">
        <v>717</v>
      </c>
      <c r="D49" s="8">
        <v>9.76</v>
      </c>
      <c r="E49" s="4">
        <v>575</v>
      </c>
      <c r="F49" s="8">
        <v>15.94</v>
      </c>
      <c r="G49" s="4">
        <v>141</v>
      </c>
      <c r="H49" s="8">
        <v>3.89</v>
      </c>
      <c r="I49" s="4">
        <v>1</v>
      </c>
    </row>
    <row r="50" spans="1:9" x14ac:dyDescent="0.2">
      <c r="A50" s="2">
        <v>4</v>
      </c>
      <c r="B50" s="1" t="s">
        <v>110</v>
      </c>
      <c r="C50" s="4">
        <v>465</v>
      </c>
      <c r="D50" s="8">
        <v>6.33</v>
      </c>
      <c r="E50" s="4">
        <v>211</v>
      </c>
      <c r="F50" s="8">
        <v>5.85</v>
      </c>
      <c r="G50" s="4">
        <v>254</v>
      </c>
      <c r="H50" s="8">
        <v>7</v>
      </c>
      <c r="I50" s="4">
        <v>0</v>
      </c>
    </row>
    <row r="51" spans="1:9" x14ac:dyDescent="0.2">
      <c r="A51" s="2">
        <v>5</v>
      </c>
      <c r="B51" s="1" t="s">
        <v>101</v>
      </c>
      <c r="C51" s="4">
        <v>329</v>
      </c>
      <c r="D51" s="8">
        <v>4.4800000000000004</v>
      </c>
      <c r="E51" s="4">
        <v>54</v>
      </c>
      <c r="F51" s="8">
        <v>1.5</v>
      </c>
      <c r="G51" s="4">
        <v>275</v>
      </c>
      <c r="H51" s="8">
        <v>7.58</v>
      </c>
      <c r="I51" s="4">
        <v>0</v>
      </c>
    </row>
    <row r="52" spans="1:9" x14ac:dyDescent="0.2">
      <c r="A52" s="2">
        <v>6</v>
      </c>
      <c r="B52" s="1" t="s">
        <v>117</v>
      </c>
      <c r="C52" s="4">
        <v>311</v>
      </c>
      <c r="D52" s="8">
        <v>4.2300000000000004</v>
      </c>
      <c r="E52" s="4">
        <v>183</v>
      </c>
      <c r="F52" s="8">
        <v>5.07</v>
      </c>
      <c r="G52" s="4">
        <v>85</v>
      </c>
      <c r="H52" s="8">
        <v>2.34</v>
      </c>
      <c r="I52" s="4">
        <v>1</v>
      </c>
    </row>
    <row r="53" spans="1:9" x14ac:dyDescent="0.2">
      <c r="A53" s="2">
        <v>7</v>
      </c>
      <c r="B53" s="1" t="s">
        <v>108</v>
      </c>
      <c r="C53" s="4">
        <v>279</v>
      </c>
      <c r="D53" s="8">
        <v>3.8</v>
      </c>
      <c r="E53" s="4">
        <v>166</v>
      </c>
      <c r="F53" s="8">
        <v>4.5999999999999996</v>
      </c>
      <c r="G53" s="4">
        <v>111</v>
      </c>
      <c r="H53" s="8">
        <v>3.06</v>
      </c>
      <c r="I53" s="4">
        <v>2</v>
      </c>
    </row>
    <row r="54" spans="1:9" x14ac:dyDescent="0.2">
      <c r="A54" s="2">
        <v>8</v>
      </c>
      <c r="B54" s="1" t="s">
        <v>102</v>
      </c>
      <c r="C54" s="4">
        <v>257</v>
      </c>
      <c r="D54" s="8">
        <v>3.5</v>
      </c>
      <c r="E54" s="4">
        <v>95</v>
      </c>
      <c r="F54" s="8">
        <v>2.63</v>
      </c>
      <c r="G54" s="4">
        <v>162</v>
      </c>
      <c r="H54" s="8">
        <v>4.46</v>
      </c>
      <c r="I54" s="4">
        <v>0</v>
      </c>
    </row>
    <row r="55" spans="1:9" x14ac:dyDescent="0.2">
      <c r="A55" s="2">
        <v>9</v>
      </c>
      <c r="B55" s="1" t="s">
        <v>118</v>
      </c>
      <c r="C55" s="4">
        <v>234</v>
      </c>
      <c r="D55" s="8">
        <v>3.18</v>
      </c>
      <c r="E55" s="4">
        <v>216</v>
      </c>
      <c r="F55" s="8">
        <v>5.99</v>
      </c>
      <c r="G55" s="4">
        <v>18</v>
      </c>
      <c r="H55" s="8">
        <v>0.5</v>
      </c>
      <c r="I55" s="4">
        <v>0</v>
      </c>
    </row>
    <row r="56" spans="1:9" x14ac:dyDescent="0.2">
      <c r="A56" s="2">
        <v>10</v>
      </c>
      <c r="B56" s="1" t="s">
        <v>112</v>
      </c>
      <c r="C56" s="4">
        <v>223</v>
      </c>
      <c r="D56" s="8">
        <v>3.03</v>
      </c>
      <c r="E56" s="4">
        <v>152</v>
      </c>
      <c r="F56" s="8">
        <v>4.21</v>
      </c>
      <c r="G56" s="4">
        <v>71</v>
      </c>
      <c r="H56" s="8">
        <v>1.96</v>
      </c>
      <c r="I56" s="4">
        <v>0</v>
      </c>
    </row>
    <row r="57" spans="1:9" x14ac:dyDescent="0.2">
      <c r="A57" s="2">
        <v>11</v>
      </c>
      <c r="B57" s="1" t="s">
        <v>103</v>
      </c>
      <c r="C57" s="4">
        <v>210</v>
      </c>
      <c r="D57" s="8">
        <v>2.86</v>
      </c>
      <c r="E57" s="4">
        <v>20</v>
      </c>
      <c r="F57" s="8">
        <v>0.55000000000000004</v>
      </c>
      <c r="G57" s="4">
        <v>190</v>
      </c>
      <c r="H57" s="8">
        <v>5.24</v>
      </c>
      <c r="I57" s="4">
        <v>0</v>
      </c>
    </row>
    <row r="58" spans="1:9" x14ac:dyDescent="0.2">
      <c r="A58" s="2">
        <v>12</v>
      </c>
      <c r="B58" s="1" t="s">
        <v>109</v>
      </c>
      <c r="C58" s="4">
        <v>196</v>
      </c>
      <c r="D58" s="8">
        <v>2.67</v>
      </c>
      <c r="E58" s="4">
        <v>91</v>
      </c>
      <c r="F58" s="8">
        <v>2.52</v>
      </c>
      <c r="G58" s="4">
        <v>105</v>
      </c>
      <c r="H58" s="8">
        <v>2.89</v>
      </c>
      <c r="I58" s="4">
        <v>0</v>
      </c>
    </row>
    <row r="59" spans="1:9" x14ac:dyDescent="0.2">
      <c r="A59" s="2">
        <v>13</v>
      </c>
      <c r="B59" s="1" t="s">
        <v>107</v>
      </c>
      <c r="C59" s="4">
        <v>191</v>
      </c>
      <c r="D59" s="8">
        <v>2.6</v>
      </c>
      <c r="E59" s="4">
        <v>78</v>
      </c>
      <c r="F59" s="8">
        <v>2.16</v>
      </c>
      <c r="G59" s="4">
        <v>113</v>
      </c>
      <c r="H59" s="8">
        <v>3.11</v>
      </c>
      <c r="I59" s="4">
        <v>0</v>
      </c>
    </row>
    <row r="60" spans="1:9" x14ac:dyDescent="0.2">
      <c r="A60" s="2">
        <v>14</v>
      </c>
      <c r="B60" s="1" t="s">
        <v>106</v>
      </c>
      <c r="C60" s="4">
        <v>179</v>
      </c>
      <c r="D60" s="8">
        <v>2.44</v>
      </c>
      <c r="E60" s="4">
        <v>6</v>
      </c>
      <c r="F60" s="8">
        <v>0.17</v>
      </c>
      <c r="G60" s="4">
        <v>173</v>
      </c>
      <c r="H60" s="8">
        <v>4.7699999999999996</v>
      </c>
      <c r="I60" s="4">
        <v>0</v>
      </c>
    </row>
    <row r="61" spans="1:9" x14ac:dyDescent="0.2">
      <c r="A61" s="2">
        <v>15</v>
      </c>
      <c r="B61" s="1" t="s">
        <v>114</v>
      </c>
      <c r="C61" s="4">
        <v>162</v>
      </c>
      <c r="D61" s="8">
        <v>2.2000000000000002</v>
      </c>
      <c r="E61" s="4">
        <v>95</v>
      </c>
      <c r="F61" s="8">
        <v>2.63</v>
      </c>
      <c r="G61" s="4">
        <v>67</v>
      </c>
      <c r="H61" s="8">
        <v>1.85</v>
      </c>
      <c r="I61" s="4">
        <v>0</v>
      </c>
    </row>
    <row r="62" spans="1:9" x14ac:dyDescent="0.2">
      <c r="A62" s="2">
        <v>16</v>
      </c>
      <c r="B62" s="1" t="s">
        <v>119</v>
      </c>
      <c r="C62" s="4">
        <v>148</v>
      </c>
      <c r="D62" s="8">
        <v>2.0099999999999998</v>
      </c>
      <c r="E62" s="4">
        <v>3</v>
      </c>
      <c r="F62" s="8">
        <v>0.08</v>
      </c>
      <c r="G62" s="4">
        <v>104</v>
      </c>
      <c r="H62" s="8">
        <v>2.87</v>
      </c>
      <c r="I62" s="4">
        <v>0</v>
      </c>
    </row>
    <row r="63" spans="1:9" x14ac:dyDescent="0.2">
      <c r="A63" s="2">
        <v>17</v>
      </c>
      <c r="B63" s="1" t="s">
        <v>113</v>
      </c>
      <c r="C63" s="4">
        <v>137</v>
      </c>
      <c r="D63" s="8">
        <v>1.86</v>
      </c>
      <c r="E63" s="4">
        <v>38</v>
      </c>
      <c r="F63" s="8">
        <v>1.05</v>
      </c>
      <c r="G63" s="4">
        <v>93</v>
      </c>
      <c r="H63" s="8">
        <v>2.56</v>
      </c>
      <c r="I63" s="4">
        <v>2</v>
      </c>
    </row>
    <row r="64" spans="1:9" x14ac:dyDescent="0.2">
      <c r="A64" s="2">
        <v>18</v>
      </c>
      <c r="B64" s="1" t="s">
        <v>122</v>
      </c>
      <c r="C64" s="4">
        <v>107</v>
      </c>
      <c r="D64" s="8">
        <v>1.46</v>
      </c>
      <c r="E64" s="4">
        <v>18</v>
      </c>
      <c r="F64" s="8">
        <v>0.5</v>
      </c>
      <c r="G64" s="4">
        <v>89</v>
      </c>
      <c r="H64" s="8">
        <v>2.4500000000000002</v>
      </c>
      <c r="I64" s="4">
        <v>0</v>
      </c>
    </row>
    <row r="65" spans="1:9" x14ac:dyDescent="0.2">
      <c r="A65" s="2">
        <v>19</v>
      </c>
      <c r="B65" s="1" t="s">
        <v>123</v>
      </c>
      <c r="C65" s="4">
        <v>104</v>
      </c>
      <c r="D65" s="8">
        <v>1.41</v>
      </c>
      <c r="E65" s="4">
        <v>17</v>
      </c>
      <c r="F65" s="8">
        <v>0.47</v>
      </c>
      <c r="G65" s="4">
        <v>87</v>
      </c>
      <c r="H65" s="8">
        <v>2.4</v>
      </c>
      <c r="I65" s="4">
        <v>0</v>
      </c>
    </row>
    <row r="66" spans="1:9" x14ac:dyDescent="0.2">
      <c r="A66" s="2">
        <v>20</v>
      </c>
      <c r="B66" s="1" t="s">
        <v>125</v>
      </c>
      <c r="C66" s="4">
        <v>90</v>
      </c>
      <c r="D66" s="8">
        <v>1.22</v>
      </c>
      <c r="E66" s="4">
        <v>10</v>
      </c>
      <c r="F66" s="8">
        <v>0.28000000000000003</v>
      </c>
      <c r="G66" s="4">
        <v>80</v>
      </c>
      <c r="H66" s="8">
        <v>2.2000000000000002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115</v>
      </c>
      <c r="C69" s="4">
        <v>431</v>
      </c>
      <c r="D69" s="8">
        <v>10.02</v>
      </c>
      <c r="E69" s="4">
        <v>360</v>
      </c>
      <c r="F69" s="8">
        <v>16.34</v>
      </c>
      <c r="G69" s="4">
        <v>71</v>
      </c>
      <c r="H69" s="8">
        <v>3.45</v>
      </c>
      <c r="I69" s="4">
        <v>0</v>
      </c>
    </row>
    <row r="70" spans="1:9" x14ac:dyDescent="0.2">
      <c r="A70" s="2">
        <v>2</v>
      </c>
      <c r="B70" s="1" t="s">
        <v>116</v>
      </c>
      <c r="C70" s="4">
        <v>396</v>
      </c>
      <c r="D70" s="8">
        <v>9.2100000000000009</v>
      </c>
      <c r="E70" s="4">
        <v>345</v>
      </c>
      <c r="F70" s="8">
        <v>15.66</v>
      </c>
      <c r="G70" s="4">
        <v>51</v>
      </c>
      <c r="H70" s="8">
        <v>2.48</v>
      </c>
      <c r="I70" s="4">
        <v>0</v>
      </c>
    </row>
    <row r="71" spans="1:9" x14ac:dyDescent="0.2">
      <c r="A71" s="2">
        <v>3</v>
      </c>
      <c r="B71" s="1" t="s">
        <v>111</v>
      </c>
      <c r="C71" s="4">
        <v>378</v>
      </c>
      <c r="D71" s="8">
        <v>8.7899999999999991</v>
      </c>
      <c r="E71" s="4">
        <v>232</v>
      </c>
      <c r="F71" s="8">
        <v>10.53</v>
      </c>
      <c r="G71" s="4">
        <v>145</v>
      </c>
      <c r="H71" s="8">
        <v>7.06</v>
      </c>
      <c r="I71" s="4">
        <v>0</v>
      </c>
    </row>
    <row r="72" spans="1:9" x14ac:dyDescent="0.2">
      <c r="A72" s="2">
        <v>4</v>
      </c>
      <c r="B72" s="1" t="s">
        <v>110</v>
      </c>
      <c r="C72" s="4">
        <v>284</v>
      </c>
      <c r="D72" s="8">
        <v>6.6</v>
      </c>
      <c r="E72" s="4">
        <v>107</v>
      </c>
      <c r="F72" s="8">
        <v>4.8600000000000003</v>
      </c>
      <c r="G72" s="4">
        <v>177</v>
      </c>
      <c r="H72" s="8">
        <v>8.61</v>
      </c>
      <c r="I72" s="4">
        <v>0</v>
      </c>
    </row>
    <row r="73" spans="1:9" x14ac:dyDescent="0.2">
      <c r="A73" s="2">
        <v>5</v>
      </c>
      <c r="B73" s="1" t="s">
        <v>101</v>
      </c>
      <c r="C73" s="4">
        <v>279</v>
      </c>
      <c r="D73" s="8">
        <v>6.49</v>
      </c>
      <c r="E73" s="4">
        <v>83</v>
      </c>
      <c r="F73" s="8">
        <v>3.77</v>
      </c>
      <c r="G73" s="4">
        <v>196</v>
      </c>
      <c r="H73" s="8">
        <v>9.5399999999999991</v>
      </c>
      <c r="I73" s="4">
        <v>0</v>
      </c>
    </row>
    <row r="74" spans="1:9" x14ac:dyDescent="0.2">
      <c r="A74" s="2">
        <v>6</v>
      </c>
      <c r="B74" s="1" t="s">
        <v>102</v>
      </c>
      <c r="C74" s="4">
        <v>175</v>
      </c>
      <c r="D74" s="8">
        <v>4.07</v>
      </c>
      <c r="E74" s="4">
        <v>98</v>
      </c>
      <c r="F74" s="8">
        <v>4.45</v>
      </c>
      <c r="G74" s="4">
        <v>77</v>
      </c>
      <c r="H74" s="8">
        <v>3.75</v>
      </c>
      <c r="I74" s="4">
        <v>0</v>
      </c>
    </row>
    <row r="75" spans="1:9" x14ac:dyDescent="0.2">
      <c r="A75" s="2">
        <v>7</v>
      </c>
      <c r="B75" s="1" t="s">
        <v>108</v>
      </c>
      <c r="C75" s="4">
        <v>152</v>
      </c>
      <c r="D75" s="8">
        <v>3.53</v>
      </c>
      <c r="E75" s="4">
        <v>92</v>
      </c>
      <c r="F75" s="8">
        <v>4.18</v>
      </c>
      <c r="G75" s="4">
        <v>60</v>
      </c>
      <c r="H75" s="8">
        <v>2.92</v>
      </c>
      <c r="I75" s="4">
        <v>0</v>
      </c>
    </row>
    <row r="76" spans="1:9" x14ac:dyDescent="0.2">
      <c r="A76" s="2">
        <v>7</v>
      </c>
      <c r="B76" s="1" t="s">
        <v>109</v>
      </c>
      <c r="C76" s="4">
        <v>152</v>
      </c>
      <c r="D76" s="8">
        <v>3.53</v>
      </c>
      <c r="E76" s="4">
        <v>73</v>
      </c>
      <c r="F76" s="8">
        <v>3.31</v>
      </c>
      <c r="G76" s="4">
        <v>79</v>
      </c>
      <c r="H76" s="8">
        <v>3.84</v>
      </c>
      <c r="I76" s="4">
        <v>0</v>
      </c>
    </row>
    <row r="77" spans="1:9" x14ac:dyDescent="0.2">
      <c r="A77" s="2">
        <v>9</v>
      </c>
      <c r="B77" s="1" t="s">
        <v>118</v>
      </c>
      <c r="C77" s="4">
        <v>136</v>
      </c>
      <c r="D77" s="8">
        <v>3.16</v>
      </c>
      <c r="E77" s="4">
        <v>123</v>
      </c>
      <c r="F77" s="8">
        <v>5.58</v>
      </c>
      <c r="G77" s="4">
        <v>13</v>
      </c>
      <c r="H77" s="8">
        <v>0.63</v>
      </c>
      <c r="I77" s="4">
        <v>0</v>
      </c>
    </row>
    <row r="78" spans="1:9" x14ac:dyDescent="0.2">
      <c r="A78" s="2">
        <v>10</v>
      </c>
      <c r="B78" s="1" t="s">
        <v>105</v>
      </c>
      <c r="C78" s="4">
        <v>128</v>
      </c>
      <c r="D78" s="8">
        <v>2.98</v>
      </c>
      <c r="E78" s="4">
        <v>36</v>
      </c>
      <c r="F78" s="8">
        <v>1.63</v>
      </c>
      <c r="G78" s="4">
        <v>92</v>
      </c>
      <c r="H78" s="8">
        <v>4.4800000000000004</v>
      </c>
      <c r="I78" s="4">
        <v>0</v>
      </c>
    </row>
    <row r="79" spans="1:9" x14ac:dyDescent="0.2">
      <c r="A79" s="2">
        <v>10</v>
      </c>
      <c r="B79" s="1" t="s">
        <v>112</v>
      </c>
      <c r="C79" s="4">
        <v>128</v>
      </c>
      <c r="D79" s="8">
        <v>2.98</v>
      </c>
      <c r="E79" s="4">
        <v>98</v>
      </c>
      <c r="F79" s="8">
        <v>4.45</v>
      </c>
      <c r="G79" s="4">
        <v>29</v>
      </c>
      <c r="H79" s="8">
        <v>1.41</v>
      </c>
      <c r="I79" s="4">
        <v>1</v>
      </c>
    </row>
    <row r="80" spans="1:9" x14ac:dyDescent="0.2">
      <c r="A80" s="2">
        <v>12</v>
      </c>
      <c r="B80" s="1" t="s">
        <v>103</v>
      </c>
      <c r="C80" s="4">
        <v>126</v>
      </c>
      <c r="D80" s="8">
        <v>2.93</v>
      </c>
      <c r="E80" s="4">
        <v>50</v>
      </c>
      <c r="F80" s="8">
        <v>2.27</v>
      </c>
      <c r="G80" s="4">
        <v>76</v>
      </c>
      <c r="H80" s="8">
        <v>3.7</v>
      </c>
      <c r="I80" s="4">
        <v>0</v>
      </c>
    </row>
    <row r="81" spans="1:9" x14ac:dyDescent="0.2">
      <c r="A81" s="2">
        <v>13</v>
      </c>
      <c r="B81" s="1" t="s">
        <v>117</v>
      </c>
      <c r="C81" s="4">
        <v>122</v>
      </c>
      <c r="D81" s="8">
        <v>2.84</v>
      </c>
      <c r="E81" s="4">
        <v>71</v>
      </c>
      <c r="F81" s="8">
        <v>3.22</v>
      </c>
      <c r="G81" s="4">
        <v>35</v>
      </c>
      <c r="H81" s="8">
        <v>1.7</v>
      </c>
      <c r="I81" s="4">
        <v>2</v>
      </c>
    </row>
    <row r="82" spans="1:9" x14ac:dyDescent="0.2">
      <c r="A82" s="2">
        <v>14</v>
      </c>
      <c r="B82" s="1" t="s">
        <v>113</v>
      </c>
      <c r="C82" s="4">
        <v>99</v>
      </c>
      <c r="D82" s="8">
        <v>2.2999999999999998</v>
      </c>
      <c r="E82" s="4">
        <v>48</v>
      </c>
      <c r="F82" s="8">
        <v>2.1800000000000002</v>
      </c>
      <c r="G82" s="4">
        <v>50</v>
      </c>
      <c r="H82" s="8">
        <v>2.4300000000000002</v>
      </c>
      <c r="I82" s="4">
        <v>0</v>
      </c>
    </row>
    <row r="83" spans="1:9" x14ac:dyDescent="0.2">
      <c r="A83" s="2">
        <v>15</v>
      </c>
      <c r="B83" s="1" t="s">
        <v>106</v>
      </c>
      <c r="C83" s="4">
        <v>84</v>
      </c>
      <c r="D83" s="8">
        <v>1.95</v>
      </c>
      <c r="E83" s="4">
        <v>3</v>
      </c>
      <c r="F83" s="8">
        <v>0.14000000000000001</v>
      </c>
      <c r="G83" s="4">
        <v>81</v>
      </c>
      <c r="H83" s="8">
        <v>3.94</v>
      </c>
      <c r="I83" s="4">
        <v>0</v>
      </c>
    </row>
    <row r="84" spans="1:9" x14ac:dyDescent="0.2">
      <c r="A84" s="2">
        <v>15</v>
      </c>
      <c r="B84" s="1" t="s">
        <v>114</v>
      </c>
      <c r="C84" s="4">
        <v>84</v>
      </c>
      <c r="D84" s="8">
        <v>1.95</v>
      </c>
      <c r="E84" s="4">
        <v>47</v>
      </c>
      <c r="F84" s="8">
        <v>2.13</v>
      </c>
      <c r="G84" s="4">
        <v>37</v>
      </c>
      <c r="H84" s="8">
        <v>1.8</v>
      </c>
      <c r="I84" s="4">
        <v>0</v>
      </c>
    </row>
    <row r="85" spans="1:9" x14ac:dyDescent="0.2">
      <c r="A85" s="2">
        <v>17</v>
      </c>
      <c r="B85" s="1" t="s">
        <v>107</v>
      </c>
      <c r="C85" s="4">
        <v>82</v>
      </c>
      <c r="D85" s="8">
        <v>1.91</v>
      </c>
      <c r="E85" s="4">
        <v>30</v>
      </c>
      <c r="F85" s="8">
        <v>1.36</v>
      </c>
      <c r="G85" s="4">
        <v>52</v>
      </c>
      <c r="H85" s="8">
        <v>2.5299999999999998</v>
      </c>
      <c r="I85" s="4">
        <v>0</v>
      </c>
    </row>
    <row r="86" spans="1:9" x14ac:dyDescent="0.2">
      <c r="A86" s="2">
        <v>18</v>
      </c>
      <c r="B86" s="1" t="s">
        <v>120</v>
      </c>
      <c r="C86" s="4">
        <v>63</v>
      </c>
      <c r="D86" s="8">
        <v>1.46</v>
      </c>
      <c r="E86" s="4">
        <v>38</v>
      </c>
      <c r="F86" s="8">
        <v>1.72</v>
      </c>
      <c r="G86" s="4">
        <v>25</v>
      </c>
      <c r="H86" s="8">
        <v>1.22</v>
      </c>
      <c r="I86" s="4">
        <v>0</v>
      </c>
    </row>
    <row r="87" spans="1:9" x14ac:dyDescent="0.2">
      <c r="A87" s="2">
        <v>19</v>
      </c>
      <c r="B87" s="1" t="s">
        <v>104</v>
      </c>
      <c r="C87" s="4">
        <v>60</v>
      </c>
      <c r="D87" s="8">
        <v>1.39</v>
      </c>
      <c r="E87" s="4">
        <v>22</v>
      </c>
      <c r="F87" s="8">
        <v>1</v>
      </c>
      <c r="G87" s="4">
        <v>38</v>
      </c>
      <c r="H87" s="8">
        <v>1.85</v>
      </c>
      <c r="I87" s="4">
        <v>0</v>
      </c>
    </row>
    <row r="88" spans="1:9" x14ac:dyDescent="0.2">
      <c r="A88" s="2">
        <v>20</v>
      </c>
      <c r="B88" s="1" t="s">
        <v>121</v>
      </c>
      <c r="C88" s="4">
        <v>59</v>
      </c>
      <c r="D88" s="8">
        <v>1.37</v>
      </c>
      <c r="E88" s="4">
        <v>5</v>
      </c>
      <c r="F88" s="8">
        <v>0.23</v>
      </c>
      <c r="G88" s="4">
        <v>54</v>
      </c>
      <c r="H88" s="8">
        <v>2.63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116</v>
      </c>
      <c r="C91" s="4">
        <v>135</v>
      </c>
      <c r="D91" s="8">
        <v>8.75</v>
      </c>
      <c r="E91" s="4">
        <v>118</v>
      </c>
      <c r="F91" s="8">
        <v>17.100000000000001</v>
      </c>
      <c r="G91" s="4">
        <v>17</v>
      </c>
      <c r="H91" s="8">
        <v>2.0699999999999998</v>
      </c>
      <c r="I91" s="4">
        <v>0</v>
      </c>
    </row>
    <row r="92" spans="1:9" x14ac:dyDescent="0.2">
      <c r="A92" s="2">
        <v>2</v>
      </c>
      <c r="B92" s="1" t="s">
        <v>115</v>
      </c>
      <c r="C92" s="4">
        <v>113</v>
      </c>
      <c r="D92" s="8">
        <v>7.32</v>
      </c>
      <c r="E92" s="4">
        <v>88</v>
      </c>
      <c r="F92" s="8">
        <v>12.75</v>
      </c>
      <c r="G92" s="4">
        <v>25</v>
      </c>
      <c r="H92" s="8">
        <v>3.04</v>
      </c>
      <c r="I92" s="4">
        <v>0</v>
      </c>
    </row>
    <row r="93" spans="1:9" x14ac:dyDescent="0.2">
      <c r="A93" s="2">
        <v>3</v>
      </c>
      <c r="B93" s="1" t="s">
        <v>111</v>
      </c>
      <c r="C93" s="4">
        <v>105</v>
      </c>
      <c r="D93" s="8">
        <v>6.8</v>
      </c>
      <c r="E93" s="4">
        <v>45</v>
      </c>
      <c r="F93" s="8">
        <v>6.52</v>
      </c>
      <c r="G93" s="4">
        <v>57</v>
      </c>
      <c r="H93" s="8">
        <v>6.93</v>
      </c>
      <c r="I93" s="4">
        <v>2</v>
      </c>
    </row>
    <row r="94" spans="1:9" x14ac:dyDescent="0.2">
      <c r="A94" s="2">
        <v>4</v>
      </c>
      <c r="B94" s="1" t="s">
        <v>110</v>
      </c>
      <c r="C94" s="4">
        <v>87</v>
      </c>
      <c r="D94" s="8">
        <v>5.64</v>
      </c>
      <c r="E94" s="4">
        <v>37</v>
      </c>
      <c r="F94" s="8">
        <v>5.36</v>
      </c>
      <c r="G94" s="4">
        <v>50</v>
      </c>
      <c r="H94" s="8">
        <v>6.08</v>
      </c>
      <c r="I94" s="4">
        <v>0</v>
      </c>
    </row>
    <row r="95" spans="1:9" x14ac:dyDescent="0.2">
      <c r="A95" s="2">
        <v>5</v>
      </c>
      <c r="B95" s="1" t="s">
        <v>105</v>
      </c>
      <c r="C95" s="4">
        <v>80</v>
      </c>
      <c r="D95" s="8">
        <v>5.18</v>
      </c>
      <c r="E95" s="4">
        <v>22</v>
      </c>
      <c r="F95" s="8">
        <v>3.19</v>
      </c>
      <c r="G95" s="4">
        <v>58</v>
      </c>
      <c r="H95" s="8">
        <v>7.06</v>
      </c>
      <c r="I95" s="4">
        <v>0</v>
      </c>
    </row>
    <row r="96" spans="1:9" x14ac:dyDescent="0.2">
      <c r="A96" s="2">
        <v>6</v>
      </c>
      <c r="B96" s="1" t="s">
        <v>101</v>
      </c>
      <c r="C96" s="4">
        <v>73</v>
      </c>
      <c r="D96" s="8">
        <v>4.7300000000000004</v>
      </c>
      <c r="E96" s="4">
        <v>17</v>
      </c>
      <c r="F96" s="8">
        <v>2.46</v>
      </c>
      <c r="G96" s="4">
        <v>56</v>
      </c>
      <c r="H96" s="8">
        <v>6.81</v>
      </c>
      <c r="I96" s="4">
        <v>0</v>
      </c>
    </row>
    <row r="97" spans="1:9" x14ac:dyDescent="0.2">
      <c r="A97" s="2">
        <v>6</v>
      </c>
      <c r="B97" s="1" t="s">
        <v>102</v>
      </c>
      <c r="C97" s="4">
        <v>73</v>
      </c>
      <c r="D97" s="8">
        <v>4.7300000000000004</v>
      </c>
      <c r="E97" s="4">
        <v>34</v>
      </c>
      <c r="F97" s="8">
        <v>4.93</v>
      </c>
      <c r="G97" s="4">
        <v>39</v>
      </c>
      <c r="H97" s="8">
        <v>4.74</v>
      </c>
      <c r="I97" s="4">
        <v>0</v>
      </c>
    </row>
    <row r="98" spans="1:9" x14ac:dyDescent="0.2">
      <c r="A98" s="2">
        <v>8</v>
      </c>
      <c r="B98" s="1" t="s">
        <v>108</v>
      </c>
      <c r="C98" s="4">
        <v>58</v>
      </c>
      <c r="D98" s="8">
        <v>3.76</v>
      </c>
      <c r="E98" s="4">
        <v>34</v>
      </c>
      <c r="F98" s="8">
        <v>4.93</v>
      </c>
      <c r="G98" s="4">
        <v>24</v>
      </c>
      <c r="H98" s="8">
        <v>2.92</v>
      </c>
      <c r="I98" s="4">
        <v>0</v>
      </c>
    </row>
    <row r="99" spans="1:9" x14ac:dyDescent="0.2">
      <c r="A99" s="2">
        <v>9</v>
      </c>
      <c r="B99" s="1" t="s">
        <v>104</v>
      </c>
      <c r="C99" s="4">
        <v>56</v>
      </c>
      <c r="D99" s="8">
        <v>3.63</v>
      </c>
      <c r="E99" s="4">
        <v>22</v>
      </c>
      <c r="F99" s="8">
        <v>3.19</v>
      </c>
      <c r="G99" s="4">
        <v>34</v>
      </c>
      <c r="H99" s="8">
        <v>4.1399999999999997</v>
      </c>
      <c r="I99" s="4">
        <v>0</v>
      </c>
    </row>
    <row r="100" spans="1:9" x14ac:dyDescent="0.2">
      <c r="A100" s="2">
        <v>10</v>
      </c>
      <c r="B100" s="1" t="s">
        <v>109</v>
      </c>
      <c r="C100" s="4">
        <v>54</v>
      </c>
      <c r="D100" s="8">
        <v>3.5</v>
      </c>
      <c r="E100" s="4">
        <v>23</v>
      </c>
      <c r="F100" s="8">
        <v>3.33</v>
      </c>
      <c r="G100" s="4">
        <v>31</v>
      </c>
      <c r="H100" s="8">
        <v>3.77</v>
      </c>
      <c r="I100" s="4">
        <v>0</v>
      </c>
    </row>
    <row r="101" spans="1:9" x14ac:dyDescent="0.2">
      <c r="A101" s="2">
        <v>11</v>
      </c>
      <c r="B101" s="1" t="s">
        <v>117</v>
      </c>
      <c r="C101" s="4">
        <v>47</v>
      </c>
      <c r="D101" s="8">
        <v>3.05</v>
      </c>
      <c r="E101" s="4">
        <v>23</v>
      </c>
      <c r="F101" s="8">
        <v>3.33</v>
      </c>
      <c r="G101" s="4">
        <v>15</v>
      </c>
      <c r="H101" s="8">
        <v>1.82</v>
      </c>
      <c r="I101" s="4">
        <v>2</v>
      </c>
    </row>
    <row r="102" spans="1:9" x14ac:dyDescent="0.2">
      <c r="A102" s="2">
        <v>12</v>
      </c>
      <c r="B102" s="1" t="s">
        <v>118</v>
      </c>
      <c r="C102" s="4">
        <v>38</v>
      </c>
      <c r="D102" s="8">
        <v>2.46</v>
      </c>
      <c r="E102" s="4">
        <v>35</v>
      </c>
      <c r="F102" s="8">
        <v>5.07</v>
      </c>
      <c r="G102" s="4">
        <v>3</v>
      </c>
      <c r="H102" s="8">
        <v>0.36</v>
      </c>
      <c r="I102" s="4">
        <v>0</v>
      </c>
    </row>
    <row r="103" spans="1:9" x14ac:dyDescent="0.2">
      <c r="A103" s="2">
        <v>13</v>
      </c>
      <c r="B103" s="1" t="s">
        <v>107</v>
      </c>
      <c r="C103" s="4">
        <v>36</v>
      </c>
      <c r="D103" s="8">
        <v>2.33</v>
      </c>
      <c r="E103" s="4">
        <v>16</v>
      </c>
      <c r="F103" s="8">
        <v>2.3199999999999998</v>
      </c>
      <c r="G103" s="4">
        <v>20</v>
      </c>
      <c r="H103" s="8">
        <v>2.4300000000000002</v>
      </c>
      <c r="I103" s="4">
        <v>0</v>
      </c>
    </row>
    <row r="104" spans="1:9" x14ac:dyDescent="0.2">
      <c r="A104" s="2">
        <v>13</v>
      </c>
      <c r="B104" s="1" t="s">
        <v>113</v>
      </c>
      <c r="C104" s="4">
        <v>36</v>
      </c>
      <c r="D104" s="8">
        <v>2.33</v>
      </c>
      <c r="E104" s="4">
        <v>16</v>
      </c>
      <c r="F104" s="8">
        <v>2.3199999999999998</v>
      </c>
      <c r="G104" s="4">
        <v>19</v>
      </c>
      <c r="H104" s="8">
        <v>2.31</v>
      </c>
      <c r="I104" s="4">
        <v>0</v>
      </c>
    </row>
    <row r="105" spans="1:9" x14ac:dyDescent="0.2">
      <c r="A105" s="2">
        <v>15</v>
      </c>
      <c r="B105" s="1" t="s">
        <v>112</v>
      </c>
      <c r="C105" s="4">
        <v>35</v>
      </c>
      <c r="D105" s="8">
        <v>2.27</v>
      </c>
      <c r="E105" s="4">
        <v>26</v>
      </c>
      <c r="F105" s="8">
        <v>3.77</v>
      </c>
      <c r="G105" s="4">
        <v>9</v>
      </c>
      <c r="H105" s="8">
        <v>1.0900000000000001</v>
      </c>
      <c r="I105" s="4">
        <v>0</v>
      </c>
    </row>
    <row r="106" spans="1:9" x14ac:dyDescent="0.2">
      <c r="A106" s="2">
        <v>16</v>
      </c>
      <c r="B106" s="1" t="s">
        <v>103</v>
      </c>
      <c r="C106" s="4">
        <v>33</v>
      </c>
      <c r="D106" s="8">
        <v>2.14</v>
      </c>
      <c r="E106" s="4">
        <v>8</v>
      </c>
      <c r="F106" s="8">
        <v>1.1599999999999999</v>
      </c>
      <c r="G106" s="4">
        <v>25</v>
      </c>
      <c r="H106" s="8">
        <v>3.04</v>
      </c>
      <c r="I106" s="4">
        <v>0</v>
      </c>
    </row>
    <row r="107" spans="1:9" x14ac:dyDescent="0.2">
      <c r="A107" s="2">
        <v>16</v>
      </c>
      <c r="B107" s="1" t="s">
        <v>106</v>
      </c>
      <c r="C107" s="4">
        <v>33</v>
      </c>
      <c r="D107" s="8">
        <v>2.14</v>
      </c>
      <c r="E107" s="4">
        <v>3</v>
      </c>
      <c r="F107" s="8">
        <v>0.43</v>
      </c>
      <c r="G107" s="4">
        <v>30</v>
      </c>
      <c r="H107" s="8">
        <v>3.65</v>
      </c>
      <c r="I107" s="4">
        <v>0</v>
      </c>
    </row>
    <row r="108" spans="1:9" x14ac:dyDescent="0.2">
      <c r="A108" s="2">
        <v>18</v>
      </c>
      <c r="B108" s="1" t="s">
        <v>126</v>
      </c>
      <c r="C108" s="4">
        <v>32</v>
      </c>
      <c r="D108" s="8">
        <v>2.0699999999999998</v>
      </c>
      <c r="E108" s="4">
        <v>5</v>
      </c>
      <c r="F108" s="8">
        <v>0.72</v>
      </c>
      <c r="G108" s="4">
        <v>27</v>
      </c>
      <c r="H108" s="8">
        <v>3.28</v>
      </c>
      <c r="I108" s="4">
        <v>0</v>
      </c>
    </row>
    <row r="109" spans="1:9" x14ac:dyDescent="0.2">
      <c r="A109" s="2">
        <v>19</v>
      </c>
      <c r="B109" s="1" t="s">
        <v>121</v>
      </c>
      <c r="C109" s="4">
        <v>28</v>
      </c>
      <c r="D109" s="8">
        <v>1.81</v>
      </c>
      <c r="E109" s="4">
        <v>4</v>
      </c>
      <c r="F109" s="8">
        <v>0.57999999999999996</v>
      </c>
      <c r="G109" s="4">
        <v>24</v>
      </c>
      <c r="H109" s="8">
        <v>2.92</v>
      </c>
      <c r="I109" s="4">
        <v>0</v>
      </c>
    </row>
    <row r="110" spans="1:9" x14ac:dyDescent="0.2">
      <c r="A110" s="2">
        <v>20</v>
      </c>
      <c r="B110" s="1" t="s">
        <v>119</v>
      </c>
      <c r="C110" s="4">
        <v>27</v>
      </c>
      <c r="D110" s="8">
        <v>1.75</v>
      </c>
      <c r="E110" s="4">
        <v>0</v>
      </c>
      <c r="F110" s="8">
        <v>0</v>
      </c>
      <c r="G110" s="4">
        <v>15</v>
      </c>
      <c r="H110" s="8">
        <v>1.82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115</v>
      </c>
      <c r="C113" s="4">
        <v>472</v>
      </c>
      <c r="D113" s="8">
        <v>13.22</v>
      </c>
      <c r="E113" s="4">
        <v>385</v>
      </c>
      <c r="F113" s="8">
        <v>19.170000000000002</v>
      </c>
      <c r="G113" s="4">
        <v>87</v>
      </c>
      <c r="H113" s="8">
        <v>5.84</v>
      </c>
      <c r="I113" s="4">
        <v>0</v>
      </c>
    </row>
    <row r="114" spans="1:9" x14ac:dyDescent="0.2">
      <c r="A114" s="2">
        <v>2</v>
      </c>
      <c r="B114" s="1" t="s">
        <v>111</v>
      </c>
      <c r="C114" s="4">
        <v>384</v>
      </c>
      <c r="D114" s="8">
        <v>10.76</v>
      </c>
      <c r="E114" s="4">
        <v>272</v>
      </c>
      <c r="F114" s="8">
        <v>13.55</v>
      </c>
      <c r="G114" s="4">
        <v>111</v>
      </c>
      <c r="H114" s="8">
        <v>7.44</v>
      </c>
      <c r="I114" s="4">
        <v>0</v>
      </c>
    </row>
    <row r="115" spans="1:9" x14ac:dyDescent="0.2">
      <c r="A115" s="2">
        <v>3</v>
      </c>
      <c r="B115" s="1" t="s">
        <v>116</v>
      </c>
      <c r="C115" s="4">
        <v>359</v>
      </c>
      <c r="D115" s="8">
        <v>10.06</v>
      </c>
      <c r="E115" s="4">
        <v>320</v>
      </c>
      <c r="F115" s="8">
        <v>15.94</v>
      </c>
      <c r="G115" s="4">
        <v>39</v>
      </c>
      <c r="H115" s="8">
        <v>2.62</v>
      </c>
      <c r="I115" s="4">
        <v>0</v>
      </c>
    </row>
    <row r="116" spans="1:9" x14ac:dyDescent="0.2">
      <c r="A116" s="2">
        <v>4</v>
      </c>
      <c r="B116" s="1" t="s">
        <v>110</v>
      </c>
      <c r="C116" s="4">
        <v>239</v>
      </c>
      <c r="D116" s="8">
        <v>6.7</v>
      </c>
      <c r="E116" s="4">
        <v>124</v>
      </c>
      <c r="F116" s="8">
        <v>6.18</v>
      </c>
      <c r="G116" s="4">
        <v>115</v>
      </c>
      <c r="H116" s="8">
        <v>7.71</v>
      </c>
      <c r="I116" s="4">
        <v>0</v>
      </c>
    </row>
    <row r="117" spans="1:9" x14ac:dyDescent="0.2">
      <c r="A117" s="2">
        <v>5</v>
      </c>
      <c r="B117" s="1" t="s">
        <v>101</v>
      </c>
      <c r="C117" s="4">
        <v>183</v>
      </c>
      <c r="D117" s="8">
        <v>5.13</v>
      </c>
      <c r="E117" s="4">
        <v>54</v>
      </c>
      <c r="F117" s="8">
        <v>2.69</v>
      </c>
      <c r="G117" s="4">
        <v>129</v>
      </c>
      <c r="H117" s="8">
        <v>8.65</v>
      </c>
      <c r="I117" s="4">
        <v>0</v>
      </c>
    </row>
    <row r="118" spans="1:9" x14ac:dyDescent="0.2">
      <c r="A118" s="2">
        <v>6</v>
      </c>
      <c r="B118" s="1" t="s">
        <v>102</v>
      </c>
      <c r="C118" s="4">
        <v>155</v>
      </c>
      <c r="D118" s="8">
        <v>4.34</v>
      </c>
      <c r="E118" s="4">
        <v>91</v>
      </c>
      <c r="F118" s="8">
        <v>4.53</v>
      </c>
      <c r="G118" s="4">
        <v>64</v>
      </c>
      <c r="H118" s="8">
        <v>4.29</v>
      </c>
      <c r="I118" s="4">
        <v>0</v>
      </c>
    </row>
    <row r="119" spans="1:9" x14ac:dyDescent="0.2">
      <c r="A119" s="2">
        <v>7</v>
      </c>
      <c r="B119" s="1" t="s">
        <v>108</v>
      </c>
      <c r="C119" s="4">
        <v>125</v>
      </c>
      <c r="D119" s="8">
        <v>3.5</v>
      </c>
      <c r="E119" s="4">
        <v>77</v>
      </c>
      <c r="F119" s="8">
        <v>3.83</v>
      </c>
      <c r="G119" s="4">
        <v>47</v>
      </c>
      <c r="H119" s="8">
        <v>3.15</v>
      </c>
      <c r="I119" s="4">
        <v>1</v>
      </c>
    </row>
    <row r="120" spans="1:9" x14ac:dyDescent="0.2">
      <c r="A120" s="2">
        <v>8</v>
      </c>
      <c r="B120" s="1" t="s">
        <v>118</v>
      </c>
      <c r="C120" s="4">
        <v>117</v>
      </c>
      <c r="D120" s="8">
        <v>3.28</v>
      </c>
      <c r="E120" s="4">
        <v>109</v>
      </c>
      <c r="F120" s="8">
        <v>5.43</v>
      </c>
      <c r="G120" s="4">
        <v>8</v>
      </c>
      <c r="H120" s="8">
        <v>0.54</v>
      </c>
      <c r="I120" s="4">
        <v>0</v>
      </c>
    </row>
    <row r="121" spans="1:9" x14ac:dyDescent="0.2">
      <c r="A121" s="2">
        <v>9</v>
      </c>
      <c r="B121" s="1" t="s">
        <v>117</v>
      </c>
      <c r="C121" s="4">
        <v>115</v>
      </c>
      <c r="D121" s="8">
        <v>3.22</v>
      </c>
      <c r="E121" s="4">
        <v>66</v>
      </c>
      <c r="F121" s="8">
        <v>3.29</v>
      </c>
      <c r="G121" s="4">
        <v>23</v>
      </c>
      <c r="H121" s="8">
        <v>1.54</v>
      </c>
      <c r="I121" s="4">
        <v>1</v>
      </c>
    </row>
    <row r="122" spans="1:9" x14ac:dyDescent="0.2">
      <c r="A122" s="2">
        <v>10</v>
      </c>
      <c r="B122" s="1" t="s">
        <v>107</v>
      </c>
      <c r="C122" s="4">
        <v>109</v>
      </c>
      <c r="D122" s="8">
        <v>3.05</v>
      </c>
      <c r="E122" s="4">
        <v>56</v>
      </c>
      <c r="F122" s="8">
        <v>2.79</v>
      </c>
      <c r="G122" s="4">
        <v>53</v>
      </c>
      <c r="H122" s="8">
        <v>3.55</v>
      </c>
      <c r="I122" s="4">
        <v>0</v>
      </c>
    </row>
    <row r="123" spans="1:9" x14ac:dyDescent="0.2">
      <c r="A123" s="2">
        <v>11</v>
      </c>
      <c r="B123" s="1" t="s">
        <v>103</v>
      </c>
      <c r="C123" s="4">
        <v>100</v>
      </c>
      <c r="D123" s="8">
        <v>2.8</v>
      </c>
      <c r="E123" s="4">
        <v>26</v>
      </c>
      <c r="F123" s="8">
        <v>1.29</v>
      </c>
      <c r="G123" s="4">
        <v>74</v>
      </c>
      <c r="H123" s="8">
        <v>4.96</v>
      </c>
      <c r="I123" s="4">
        <v>0</v>
      </c>
    </row>
    <row r="124" spans="1:9" x14ac:dyDescent="0.2">
      <c r="A124" s="2">
        <v>12</v>
      </c>
      <c r="B124" s="1" t="s">
        <v>109</v>
      </c>
      <c r="C124" s="4">
        <v>93</v>
      </c>
      <c r="D124" s="8">
        <v>2.61</v>
      </c>
      <c r="E124" s="4">
        <v>45</v>
      </c>
      <c r="F124" s="8">
        <v>2.2400000000000002</v>
      </c>
      <c r="G124" s="4">
        <v>48</v>
      </c>
      <c r="H124" s="8">
        <v>3.22</v>
      </c>
      <c r="I124" s="4">
        <v>0</v>
      </c>
    </row>
    <row r="125" spans="1:9" x14ac:dyDescent="0.2">
      <c r="A125" s="2">
        <v>12</v>
      </c>
      <c r="B125" s="1" t="s">
        <v>112</v>
      </c>
      <c r="C125" s="4">
        <v>93</v>
      </c>
      <c r="D125" s="8">
        <v>2.61</v>
      </c>
      <c r="E125" s="4">
        <v>65</v>
      </c>
      <c r="F125" s="8">
        <v>3.24</v>
      </c>
      <c r="G125" s="4">
        <v>28</v>
      </c>
      <c r="H125" s="8">
        <v>1.88</v>
      </c>
      <c r="I125" s="4">
        <v>0</v>
      </c>
    </row>
    <row r="126" spans="1:9" x14ac:dyDescent="0.2">
      <c r="A126" s="2">
        <v>14</v>
      </c>
      <c r="B126" s="1" t="s">
        <v>113</v>
      </c>
      <c r="C126" s="4">
        <v>86</v>
      </c>
      <c r="D126" s="8">
        <v>2.41</v>
      </c>
      <c r="E126" s="4">
        <v>31</v>
      </c>
      <c r="F126" s="8">
        <v>1.54</v>
      </c>
      <c r="G126" s="4">
        <v>48</v>
      </c>
      <c r="H126" s="8">
        <v>3.22</v>
      </c>
      <c r="I126" s="4">
        <v>1</v>
      </c>
    </row>
    <row r="127" spans="1:9" x14ac:dyDescent="0.2">
      <c r="A127" s="2">
        <v>15</v>
      </c>
      <c r="B127" s="1" t="s">
        <v>119</v>
      </c>
      <c r="C127" s="4">
        <v>60</v>
      </c>
      <c r="D127" s="8">
        <v>1.68</v>
      </c>
      <c r="E127" s="4">
        <v>1</v>
      </c>
      <c r="F127" s="8">
        <v>0.05</v>
      </c>
      <c r="G127" s="4">
        <v>38</v>
      </c>
      <c r="H127" s="8">
        <v>2.5499999999999998</v>
      </c>
      <c r="I127" s="4">
        <v>0</v>
      </c>
    </row>
    <row r="128" spans="1:9" x14ac:dyDescent="0.2">
      <c r="A128" s="2">
        <v>16</v>
      </c>
      <c r="B128" s="1" t="s">
        <v>120</v>
      </c>
      <c r="C128" s="4">
        <v>48</v>
      </c>
      <c r="D128" s="8">
        <v>1.34</v>
      </c>
      <c r="E128" s="4">
        <v>32</v>
      </c>
      <c r="F128" s="8">
        <v>1.59</v>
      </c>
      <c r="G128" s="4">
        <v>15</v>
      </c>
      <c r="H128" s="8">
        <v>1.01</v>
      </c>
      <c r="I128" s="4">
        <v>0</v>
      </c>
    </row>
    <row r="129" spans="1:9" x14ac:dyDescent="0.2">
      <c r="A129" s="2">
        <v>17</v>
      </c>
      <c r="B129" s="1" t="s">
        <v>127</v>
      </c>
      <c r="C129" s="4">
        <v>39</v>
      </c>
      <c r="D129" s="8">
        <v>1.0900000000000001</v>
      </c>
      <c r="E129" s="4">
        <v>9</v>
      </c>
      <c r="F129" s="8">
        <v>0.45</v>
      </c>
      <c r="G129" s="4">
        <v>30</v>
      </c>
      <c r="H129" s="8">
        <v>2.0099999999999998</v>
      </c>
      <c r="I129" s="4">
        <v>0</v>
      </c>
    </row>
    <row r="130" spans="1:9" x14ac:dyDescent="0.2">
      <c r="A130" s="2">
        <v>18</v>
      </c>
      <c r="B130" s="1" t="s">
        <v>105</v>
      </c>
      <c r="C130" s="4">
        <v>38</v>
      </c>
      <c r="D130" s="8">
        <v>1.06</v>
      </c>
      <c r="E130" s="4">
        <v>10</v>
      </c>
      <c r="F130" s="8">
        <v>0.5</v>
      </c>
      <c r="G130" s="4">
        <v>28</v>
      </c>
      <c r="H130" s="8">
        <v>1.88</v>
      </c>
      <c r="I130" s="4">
        <v>0</v>
      </c>
    </row>
    <row r="131" spans="1:9" x14ac:dyDescent="0.2">
      <c r="A131" s="2">
        <v>19</v>
      </c>
      <c r="B131" s="1" t="s">
        <v>128</v>
      </c>
      <c r="C131" s="4">
        <v>34</v>
      </c>
      <c r="D131" s="8">
        <v>0.95</v>
      </c>
      <c r="E131" s="4">
        <v>8</v>
      </c>
      <c r="F131" s="8">
        <v>0.4</v>
      </c>
      <c r="G131" s="4">
        <v>26</v>
      </c>
      <c r="H131" s="8">
        <v>1.74</v>
      </c>
      <c r="I131" s="4">
        <v>0</v>
      </c>
    </row>
    <row r="132" spans="1:9" x14ac:dyDescent="0.2">
      <c r="A132" s="2">
        <v>19</v>
      </c>
      <c r="B132" s="1" t="s">
        <v>106</v>
      </c>
      <c r="C132" s="4">
        <v>34</v>
      </c>
      <c r="D132" s="8">
        <v>0.95</v>
      </c>
      <c r="E132" s="4">
        <v>6</v>
      </c>
      <c r="F132" s="8">
        <v>0.3</v>
      </c>
      <c r="G132" s="4">
        <v>28</v>
      </c>
      <c r="H132" s="8">
        <v>1.88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111</v>
      </c>
      <c r="C135" s="4">
        <v>261</v>
      </c>
      <c r="D135" s="8">
        <v>13.76</v>
      </c>
      <c r="E135" s="4">
        <v>192</v>
      </c>
      <c r="F135" s="8">
        <v>20.96</v>
      </c>
      <c r="G135" s="4">
        <v>68</v>
      </c>
      <c r="H135" s="8">
        <v>7.08</v>
      </c>
      <c r="I135" s="4">
        <v>0</v>
      </c>
    </row>
    <row r="136" spans="1:9" x14ac:dyDescent="0.2">
      <c r="A136" s="2">
        <v>2</v>
      </c>
      <c r="B136" s="1" t="s">
        <v>115</v>
      </c>
      <c r="C136" s="4">
        <v>209</v>
      </c>
      <c r="D136" s="8">
        <v>11.02</v>
      </c>
      <c r="E136" s="4">
        <v>172</v>
      </c>
      <c r="F136" s="8">
        <v>18.78</v>
      </c>
      <c r="G136" s="4">
        <v>37</v>
      </c>
      <c r="H136" s="8">
        <v>3.85</v>
      </c>
      <c r="I136" s="4">
        <v>0</v>
      </c>
    </row>
    <row r="137" spans="1:9" x14ac:dyDescent="0.2">
      <c r="A137" s="2">
        <v>3</v>
      </c>
      <c r="B137" s="1" t="s">
        <v>116</v>
      </c>
      <c r="C137" s="4">
        <v>148</v>
      </c>
      <c r="D137" s="8">
        <v>7.8</v>
      </c>
      <c r="E137" s="4">
        <v>118</v>
      </c>
      <c r="F137" s="8">
        <v>12.88</v>
      </c>
      <c r="G137" s="4">
        <v>29</v>
      </c>
      <c r="H137" s="8">
        <v>3.02</v>
      </c>
      <c r="I137" s="4">
        <v>1</v>
      </c>
    </row>
    <row r="138" spans="1:9" x14ac:dyDescent="0.2">
      <c r="A138" s="2">
        <v>4</v>
      </c>
      <c r="B138" s="1" t="s">
        <v>101</v>
      </c>
      <c r="C138" s="4">
        <v>104</v>
      </c>
      <c r="D138" s="8">
        <v>5.48</v>
      </c>
      <c r="E138" s="4">
        <v>22</v>
      </c>
      <c r="F138" s="8">
        <v>2.4</v>
      </c>
      <c r="G138" s="4">
        <v>82</v>
      </c>
      <c r="H138" s="8">
        <v>8.5399999999999991</v>
      </c>
      <c r="I138" s="4">
        <v>0</v>
      </c>
    </row>
    <row r="139" spans="1:9" x14ac:dyDescent="0.2">
      <c r="A139" s="2">
        <v>5</v>
      </c>
      <c r="B139" s="1" t="s">
        <v>110</v>
      </c>
      <c r="C139" s="4">
        <v>91</v>
      </c>
      <c r="D139" s="8">
        <v>4.8</v>
      </c>
      <c r="E139" s="4">
        <v>41</v>
      </c>
      <c r="F139" s="8">
        <v>4.4800000000000004</v>
      </c>
      <c r="G139" s="4">
        <v>50</v>
      </c>
      <c r="H139" s="8">
        <v>5.21</v>
      </c>
      <c r="I139" s="4">
        <v>0</v>
      </c>
    </row>
    <row r="140" spans="1:9" x14ac:dyDescent="0.2">
      <c r="A140" s="2">
        <v>6</v>
      </c>
      <c r="B140" s="1" t="s">
        <v>102</v>
      </c>
      <c r="C140" s="4">
        <v>65</v>
      </c>
      <c r="D140" s="8">
        <v>3.43</v>
      </c>
      <c r="E140" s="4">
        <v>26</v>
      </c>
      <c r="F140" s="8">
        <v>2.84</v>
      </c>
      <c r="G140" s="4">
        <v>39</v>
      </c>
      <c r="H140" s="8">
        <v>4.0599999999999996</v>
      </c>
      <c r="I140" s="4">
        <v>0</v>
      </c>
    </row>
    <row r="141" spans="1:9" x14ac:dyDescent="0.2">
      <c r="A141" s="2">
        <v>6</v>
      </c>
      <c r="B141" s="1" t="s">
        <v>103</v>
      </c>
      <c r="C141" s="4">
        <v>65</v>
      </c>
      <c r="D141" s="8">
        <v>3.43</v>
      </c>
      <c r="E141" s="4">
        <v>14</v>
      </c>
      <c r="F141" s="8">
        <v>1.53</v>
      </c>
      <c r="G141" s="4">
        <v>51</v>
      </c>
      <c r="H141" s="8">
        <v>5.31</v>
      </c>
      <c r="I141" s="4">
        <v>0</v>
      </c>
    </row>
    <row r="142" spans="1:9" x14ac:dyDescent="0.2">
      <c r="A142" s="2">
        <v>8</v>
      </c>
      <c r="B142" s="1" t="s">
        <v>117</v>
      </c>
      <c r="C142" s="4">
        <v>63</v>
      </c>
      <c r="D142" s="8">
        <v>3.32</v>
      </c>
      <c r="E142" s="4">
        <v>36</v>
      </c>
      <c r="F142" s="8">
        <v>3.93</v>
      </c>
      <c r="G142" s="4">
        <v>19</v>
      </c>
      <c r="H142" s="8">
        <v>1.98</v>
      </c>
      <c r="I142" s="4">
        <v>0</v>
      </c>
    </row>
    <row r="143" spans="1:9" x14ac:dyDescent="0.2">
      <c r="A143" s="2">
        <v>9</v>
      </c>
      <c r="B143" s="1" t="s">
        <v>112</v>
      </c>
      <c r="C143" s="4">
        <v>60</v>
      </c>
      <c r="D143" s="8">
        <v>3.16</v>
      </c>
      <c r="E143" s="4">
        <v>43</v>
      </c>
      <c r="F143" s="8">
        <v>4.6900000000000004</v>
      </c>
      <c r="G143" s="4">
        <v>17</v>
      </c>
      <c r="H143" s="8">
        <v>1.77</v>
      </c>
      <c r="I143" s="4">
        <v>0</v>
      </c>
    </row>
    <row r="144" spans="1:9" x14ac:dyDescent="0.2">
      <c r="A144" s="2">
        <v>10</v>
      </c>
      <c r="B144" s="1" t="s">
        <v>108</v>
      </c>
      <c r="C144" s="4">
        <v>59</v>
      </c>
      <c r="D144" s="8">
        <v>3.11</v>
      </c>
      <c r="E144" s="4">
        <v>30</v>
      </c>
      <c r="F144" s="8">
        <v>3.28</v>
      </c>
      <c r="G144" s="4">
        <v>29</v>
      </c>
      <c r="H144" s="8">
        <v>3.02</v>
      </c>
      <c r="I144" s="4">
        <v>0</v>
      </c>
    </row>
    <row r="145" spans="1:9" x14ac:dyDescent="0.2">
      <c r="A145" s="2">
        <v>11</v>
      </c>
      <c r="B145" s="1" t="s">
        <v>118</v>
      </c>
      <c r="C145" s="4">
        <v>52</v>
      </c>
      <c r="D145" s="8">
        <v>2.74</v>
      </c>
      <c r="E145" s="4">
        <v>43</v>
      </c>
      <c r="F145" s="8">
        <v>4.6900000000000004</v>
      </c>
      <c r="G145" s="4">
        <v>9</v>
      </c>
      <c r="H145" s="8">
        <v>0.94</v>
      </c>
      <c r="I145" s="4">
        <v>0</v>
      </c>
    </row>
    <row r="146" spans="1:9" x14ac:dyDescent="0.2">
      <c r="A146" s="2">
        <v>12</v>
      </c>
      <c r="B146" s="1" t="s">
        <v>106</v>
      </c>
      <c r="C146" s="4">
        <v>46</v>
      </c>
      <c r="D146" s="8">
        <v>2.42</v>
      </c>
      <c r="E146" s="4">
        <v>2</v>
      </c>
      <c r="F146" s="8">
        <v>0.22</v>
      </c>
      <c r="G146" s="4">
        <v>44</v>
      </c>
      <c r="H146" s="8">
        <v>4.58</v>
      </c>
      <c r="I146" s="4">
        <v>0</v>
      </c>
    </row>
    <row r="147" spans="1:9" x14ac:dyDescent="0.2">
      <c r="A147" s="2">
        <v>13</v>
      </c>
      <c r="B147" s="1" t="s">
        <v>107</v>
      </c>
      <c r="C147" s="4">
        <v>42</v>
      </c>
      <c r="D147" s="8">
        <v>2.21</v>
      </c>
      <c r="E147" s="4">
        <v>21</v>
      </c>
      <c r="F147" s="8">
        <v>2.29</v>
      </c>
      <c r="G147" s="4">
        <v>21</v>
      </c>
      <c r="H147" s="8">
        <v>2.19</v>
      </c>
      <c r="I147" s="4">
        <v>0</v>
      </c>
    </row>
    <row r="148" spans="1:9" x14ac:dyDescent="0.2">
      <c r="A148" s="2">
        <v>14</v>
      </c>
      <c r="B148" s="1" t="s">
        <v>109</v>
      </c>
      <c r="C148" s="4">
        <v>41</v>
      </c>
      <c r="D148" s="8">
        <v>2.16</v>
      </c>
      <c r="E148" s="4">
        <v>18</v>
      </c>
      <c r="F148" s="8">
        <v>1.97</v>
      </c>
      <c r="G148" s="4">
        <v>23</v>
      </c>
      <c r="H148" s="8">
        <v>2.4</v>
      </c>
      <c r="I148" s="4">
        <v>0</v>
      </c>
    </row>
    <row r="149" spans="1:9" x14ac:dyDescent="0.2">
      <c r="A149" s="2">
        <v>14</v>
      </c>
      <c r="B149" s="1" t="s">
        <v>113</v>
      </c>
      <c r="C149" s="4">
        <v>41</v>
      </c>
      <c r="D149" s="8">
        <v>2.16</v>
      </c>
      <c r="E149" s="4">
        <v>14</v>
      </c>
      <c r="F149" s="8">
        <v>1.53</v>
      </c>
      <c r="G149" s="4">
        <v>27</v>
      </c>
      <c r="H149" s="8">
        <v>2.81</v>
      </c>
      <c r="I149" s="4">
        <v>0</v>
      </c>
    </row>
    <row r="150" spans="1:9" x14ac:dyDescent="0.2">
      <c r="A150" s="2">
        <v>16</v>
      </c>
      <c r="B150" s="1" t="s">
        <v>105</v>
      </c>
      <c r="C150" s="4">
        <v>39</v>
      </c>
      <c r="D150" s="8">
        <v>2.06</v>
      </c>
      <c r="E150" s="4">
        <v>5</v>
      </c>
      <c r="F150" s="8">
        <v>0.55000000000000004</v>
      </c>
      <c r="G150" s="4">
        <v>34</v>
      </c>
      <c r="H150" s="8">
        <v>3.54</v>
      </c>
      <c r="I150" s="4">
        <v>0</v>
      </c>
    </row>
    <row r="151" spans="1:9" x14ac:dyDescent="0.2">
      <c r="A151" s="2">
        <v>17</v>
      </c>
      <c r="B151" s="1" t="s">
        <v>104</v>
      </c>
      <c r="C151" s="4">
        <v>33</v>
      </c>
      <c r="D151" s="8">
        <v>1.74</v>
      </c>
      <c r="E151" s="4">
        <v>6</v>
      </c>
      <c r="F151" s="8">
        <v>0.66</v>
      </c>
      <c r="G151" s="4">
        <v>27</v>
      </c>
      <c r="H151" s="8">
        <v>2.81</v>
      </c>
      <c r="I151" s="4">
        <v>0</v>
      </c>
    </row>
    <row r="152" spans="1:9" x14ac:dyDescent="0.2">
      <c r="A152" s="2">
        <v>18</v>
      </c>
      <c r="B152" s="1" t="s">
        <v>123</v>
      </c>
      <c r="C152" s="4">
        <v>28</v>
      </c>
      <c r="D152" s="8">
        <v>1.48</v>
      </c>
      <c r="E152" s="4">
        <v>3</v>
      </c>
      <c r="F152" s="8">
        <v>0.33</v>
      </c>
      <c r="G152" s="4">
        <v>25</v>
      </c>
      <c r="H152" s="8">
        <v>2.6</v>
      </c>
      <c r="I152" s="4">
        <v>0</v>
      </c>
    </row>
    <row r="153" spans="1:9" x14ac:dyDescent="0.2">
      <c r="A153" s="2">
        <v>19</v>
      </c>
      <c r="B153" s="1" t="s">
        <v>122</v>
      </c>
      <c r="C153" s="4">
        <v>27</v>
      </c>
      <c r="D153" s="8">
        <v>1.42</v>
      </c>
      <c r="E153" s="4">
        <v>6</v>
      </c>
      <c r="F153" s="8">
        <v>0.66</v>
      </c>
      <c r="G153" s="4">
        <v>21</v>
      </c>
      <c r="H153" s="8">
        <v>2.19</v>
      </c>
      <c r="I153" s="4">
        <v>0</v>
      </c>
    </row>
    <row r="154" spans="1:9" x14ac:dyDescent="0.2">
      <c r="A154" s="2">
        <v>19</v>
      </c>
      <c r="B154" s="1" t="s">
        <v>129</v>
      </c>
      <c r="C154" s="4">
        <v>27</v>
      </c>
      <c r="D154" s="8">
        <v>1.42</v>
      </c>
      <c r="E154" s="4">
        <v>4</v>
      </c>
      <c r="F154" s="8">
        <v>0.44</v>
      </c>
      <c r="G154" s="4">
        <v>23</v>
      </c>
      <c r="H154" s="8">
        <v>2.4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115</v>
      </c>
      <c r="C157" s="4">
        <v>153</v>
      </c>
      <c r="D157" s="8">
        <v>11</v>
      </c>
      <c r="E157" s="4">
        <v>134</v>
      </c>
      <c r="F157" s="8">
        <v>18.260000000000002</v>
      </c>
      <c r="G157" s="4">
        <v>19</v>
      </c>
      <c r="H157" s="8">
        <v>2.97</v>
      </c>
      <c r="I157" s="4">
        <v>0</v>
      </c>
    </row>
    <row r="158" spans="1:9" x14ac:dyDescent="0.2">
      <c r="A158" s="2">
        <v>2</v>
      </c>
      <c r="B158" s="1" t="s">
        <v>116</v>
      </c>
      <c r="C158" s="4">
        <v>133</v>
      </c>
      <c r="D158" s="8">
        <v>9.56</v>
      </c>
      <c r="E158" s="4">
        <v>117</v>
      </c>
      <c r="F158" s="8">
        <v>15.94</v>
      </c>
      <c r="G158" s="4">
        <v>16</v>
      </c>
      <c r="H158" s="8">
        <v>2.5</v>
      </c>
      <c r="I158" s="4">
        <v>0</v>
      </c>
    </row>
    <row r="159" spans="1:9" x14ac:dyDescent="0.2">
      <c r="A159" s="2">
        <v>3</v>
      </c>
      <c r="B159" s="1" t="s">
        <v>111</v>
      </c>
      <c r="C159" s="4">
        <v>105</v>
      </c>
      <c r="D159" s="8">
        <v>7.55</v>
      </c>
      <c r="E159" s="4">
        <v>53</v>
      </c>
      <c r="F159" s="8">
        <v>7.22</v>
      </c>
      <c r="G159" s="4">
        <v>51</v>
      </c>
      <c r="H159" s="8">
        <v>7.98</v>
      </c>
      <c r="I159" s="4">
        <v>1</v>
      </c>
    </row>
    <row r="160" spans="1:9" x14ac:dyDescent="0.2">
      <c r="A160" s="2">
        <v>4</v>
      </c>
      <c r="B160" s="1" t="s">
        <v>110</v>
      </c>
      <c r="C160" s="4">
        <v>98</v>
      </c>
      <c r="D160" s="8">
        <v>7.05</v>
      </c>
      <c r="E160" s="4">
        <v>39</v>
      </c>
      <c r="F160" s="8">
        <v>5.31</v>
      </c>
      <c r="G160" s="4">
        <v>59</v>
      </c>
      <c r="H160" s="8">
        <v>9.23</v>
      </c>
      <c r="I160" s="4">
        <v>0</v>
      </c>
    </row>
    <row r="161" spans="1:9" x14ac:dyDescent="0.2">
      <c r="A161" s="2">
        <v>5</v>
      </c>
      <c r="B161" s="1" t="s">
        <v>101</v>
      </c>
      <c r="C161" s="4">
        <v>78</v>
      </c>
      <c r="D161" s="8">
        <v>5.61</v>
      </c>
      <c r="E161" s="4">
        <v>17</v>
      </c>
      <c r="F161" s="8">
        <v>2.3199999999999998</v>
      </c>
      <c r="G161" s="4">
        <v>61</v>
      </c>
      <c r="H161" s="8">
        <v>9.5500000000000007</v>
      </c>
      <c r="I161" s="4">
        <v>0</v>
      </c>
    </row>
    <row r="162" spans="1:9" x14ac:dyDescent="0.2">
      <c r="A162" s="2">
        <v>6</v>
      </c>
      <c r="B162" s="1" t="s">
        <v>117</v>
      </c>
      <c r="C162" s="4">
        <v>71</v>
      </c>
      <c r="D162" s="8">
        <v>5.0999999999999996</v>
      </c>
      <c r="E162" s="4">
        <v>43</v>
      </c>
      <c r="F162" s="8">
        <v>5.86</v>
      </c>
      <c r="G162" s="4">
        <v>17</v>
      </c>
      <c r="H162" s="8">
        <v>2.66</v>
      </c>
      <c r="I162" s="4">
        <v>0</v>
      </c>
    </row>
    <row r="163" spans="1:9" x14ac:dyDescent="0.2">
      <c r="A163" s="2">
        <v>7</v>
      </c>
      <c r="B163" s="1" t="s">
        <v>102</v>
      </c>
      <c r="C163" s="4">
        <v>57</v>
      </c>
      <c r="D163" s="8">
        <v>4.0999999999999996</v>
      </c>
      <c r="E163" s="4">
        <v>27</v>
      </c>
      <c r="F163" s="8">
        <v>3.68</v>
      </c>
      <c r="G163" s="4">
        <v>30</v>
      </c>
      <c r="H163" s="8">
        <v>4.6900000000000004</v>
      </c>
      <c r="I163" s="4">
        <v>0</v>
      </c>
    </row>
    <row r="164" spans="1:9" x14ac:dyDescent="0.2">
      <c r="A164" s="2">
        <v>7</v>
      </c>
      <c r="B164" s="1" t="s">
        <v>108</v>
      </c>
      <c r="C164" s="4">
        <v>57</v>
      </c>
      <c r="D164" s="8">
        <v>4.0999999999999996</v>
      </c>
      <c r="E164" s="4">
        <v>35</v>
      </c>
      <c r="F164" s="8">
        <v>4.7699999999999996</v>
      </c>
      <c r="G164" s="4">
        <v>22</v>
      </c>
      <c r="H164" s="8">
        <v>3.44</v>
      </c>
      <c r="I164" s="4">
        <v>0</v>
      </c>
    </row>
    <row r="165" spans="1:9" x14ac:dyDescent="0.2">
      <c r="A165" s="2">
        <v>9</v>
      </c>
      <c r="B165" s="1" t="s">
        <v>109</v>
      </c>
      <c r="C165" s="4">
        <v>52</v>
      </c>
      <c r="D165" s="8">
        <v>3.74</v>
      </c>
      <c r="E165" s="4">
        <v>29</v>
      </c>
      <c r="F165" s="8">
        <v>3.95</v>
      </c>
      <c r="G165" s="4">
        <v>23</v>
      </c>
      <c r="H165" s="8">
        <v>3.6</v>
      </c>
      <c r="I165" s="4">
        <v>0</v>
      </c>
    </row>
    <row r="166" spans="1:9" x14ac:dyDescent="0.2">
      <c r="A166" s="2">
        <v>10</v>
      </c>
      <c r="B166" s="1" t="s">
        <v>103</v>
      </c>
      <c r="C166" s="4">
        <v>49</v>
      </c>
      <c r="D166" s="8">
        <v>3.52</v>
      </c>
      <c r="E166" s="4">
        <v>11</v>
      </c>
      <c r="F166" s="8">
        <v>1.5</v>
      </c>
      <c r="G166" s="4">
        <v>38</v>
      </c>
      <c r="H166" s="8">
        <v>5.95</v>
      </c>
      <c r="I166" s="4">
        <v>0</v>
      </c>
    </row>
    <row r="167" spans="1:9" x14ac:dyDescent="0.2">
      <c r="A167" s="2">
        <v>11</v>
      </c>
      <c r="B167" s="1" t="s">
        <v>114</v>
      </c>
      <c r="C167" s="4">
        <v>43</v>
      </c>
      <c r="D167" s="8">
        <v>3.09</v>
      </c>
      <c r="E167" s="4">
        <v>40</v>
      </c>
      <c r="F167" s="8">
        <v>5.45</v>
      </c>
      <c r="G167" s="4">
        <v>3</v>
      </c>
      <c r="H167" s="8">
        <v>0.47</v>
      </c>
      <c r="I167" s="4">
        <v>0</v>
      </c>
    </row>
    <row r="168" spans="1:9" x14ac:dyDescent="0.2">
      <c r="A168" s="2">
        <v>12</v>
      </c>
      <c r="B168" s="1" t="s">
        <v>118</v>
      </c>
      <c r="C168" s="4">
        <v>42</v>
      </c>
      <c r="D168" s="8">
        <v>3.02</v>
      </c>
      <c r="E168" s="4">
        <v>37</v>
      </c>
      <c r="F168" s="8">
        <v>5.04</v>
      </c>
      <c r="G168" s="4">
        <v>5</v>
      </c>
      <c r="H168" s="8">
        <v>0.78</v>
      </c>
      <c r="I168" s="4">
        <v>0</v>
      </c>
    </row>
    <row r="169" spans="1:9" x14ac:dyDescent="0.2">
      <c r="A169" s="2">
        <v>13</v>
      </c>
      <c r="B169" s="1" t="s">
        <v>107</v>
      </c>
      <c r="C169" s="4">
        <v>37</v>
      </c>
      <c r="D169" s="8">
        <v>2.66</v>
      </c>
      <c r="E169" s="4">
        <v>28</v>
      </c>
      <c r="F169" s="8">
        <v>3.81</v>
      </c>
      <c r="G169" s="4">
        <v>9</v>
      </c>
      <c r="H169" s="8">
        <v>1.41</v>
      </c>
      <c r="I169" s="4">
        <v>0</v>
      </c>
    </row>
    <row r="170" spans="1:9" x14ac:dyDescent="0.2">
      <c r="A170" s="2">
        <v>13</v>
      </c>
      <c r="B170" s="1" t="s">
        <v>112</v>
      </c>
      <c r="C170" s="4">
        <v>37</v>
      </c>
      <c r="D170" s="8">
        <v>2.66</v>
      </c>
      <c r="E170" s="4">
        <v>31</v>
      </c>
      <c r="F170" s="8">
        <v>4.22</v>
      </c>
      <c r="G170" s="4">
        <v>6</v>
      </c>
      <c r="H170" s="8">
        <v>0.94</v>
      </c>
      <c r="I170" s="4">
        <v>0</v>
      </c>
    </row>
    <row r="171" spans="1:9" x14ac:dyDescent="0.2">
      <c r="A171" s="2">
        <v>15</v>
      </c>
      <c r="B171" s="1" t="s">
        <v>113</v>
      </c>
      <c r="C171" s="4">
        <v>26</v>
      </c>
      <c r="D171" s="8">
        <v>1.87</v>
      </c>
      <c r="E171" s="4">
        <v>6</v>
      </c>
      <c r="F171" s="8">
        <v>0.82</v>
      </c>
      <c r="G171" s="4">
        <v>20</v>
      </c>
      <c r="H171" s="8">
        <v>3.13</v>
      </c>
      <c r="I171" s="4">
        <v>0</v>
      </c>
    </row>
    <row r="172" spans="1:9" x14ac:dyDescent="0.2">
      <c r="A172" s="2">
        <v>16</v>
      </c>
      <c r="B172" s="1" t="s">
        <v>104</v>
      </c>
      <c r="C172" s="4">
        <v>24</v>
      </c>
      <c r="D172" s="8">
        <v>1.73</v>
      </c>
      <c r="E172" s="4">
        <v>8</v>
      </c>
      <c r="F172" s="8">
        <v>1.0900000000000001</v>
      </c>
      <c r="G172" s="4">
        <v>16</v>
      </c>
      <c r="H172" s="8">
        <v>2.5</v>
      </c>
      <c r="I172" s="4">
        <v>0</v>
      </c>
    </row>
    <row r="173" spans="1:9" x14ac:dyDescent="0.2">
      <c r="A173" s="2">
        <v>17</v>
      </c>
      <c r="B173" s="1" t="s">
        <v>105</v>
      </c>
      <c r="C173" s="4">
        <v>21</v>
      </c>
      <c r="D173" s="8">
        <v>1.51</v>
      </c>
      <c r="E173" s="4">
        <v>1</v>
      </c>
      <c r="F173" s="8">
        <v>0.14000000000000001</v>
      </c>
      <c r="G173" s="4">
        <v>20</v>
      </c>
      <c r="H173" s="8">
        <v>3.13</v>
      </c>
      <c r="I173" s="4">
        <v>0</v>
      </c>
    </row>
    <row r="174" spans="1:9" x14ac:dyDescent="0.2">
      <c r="A174" s="2">
        <v>18</v>
      </c>
      <c r="B174" s="1" t="s">
        <v>127</v>
      </c>
      <c r="C174" s="4">
        <v>20</v>
      </c>
      <c r="D174" s="8">
        <v>1.44</v>
      </c>
      <c r="E174" s="4">
        <v>4</v>
      </c>
      <c r="F174" s="8">
        <v>0.54</v>
      </c>
      <c r="G174" s="4">
        <v>16</v>
      </c>
      <c r="H174" s="8">
        <v>2.5</v>
      </c>
      <c r="I174" s="4">
        <v>0</v>
      </c>
    </row>
    <row r="175" spans="1:9" x14ac:dyDescent="0.2">
      <c r="A175" s="2">
        <v>19</v>
      </c>
      <c r="B175" s="1" t="s">
        <v>125</v>
      </c>
      <c r="C175" s="4">
        <v>18</v>
      </c>
      <c r="D175" s="8">
        <v>1.29</v>
      </c>
      <c r="E175" s="4">
        <v>3</v>
      </c>
      <c r="F175" s="8">
        <v>0.41</v>
      </c>
      <c r="G175" s="4">
        <v>15</v>
      </c>
      <c r="H175" s="8">
        <v>2.35</v>
      </c>
      <c r="I175" s="4">
        <v>0</v>
      </c>
    </row>
    <row r="176" spans="1:9" x14ac:dyDescent="0.2">
      <c r="A176" s="2">
        <v>20</v>
      </c>
      <c r="B176" s="1" t="s">
        <v>130</v>
      </c>
      <c r="C176" s="4">
        <v>17</v>
      </c>
      <c r="D176" s="8">
        <v>1.22</v>
      </c>
      <c r="E176" s="4">
        <v>10</v>
      </c>
      <c r="F176" s="8">
        <v>1.36</v>
      </c>
      <c r="G176" s="4">
        <v>7</v>
      </c>
      <c r="H176" s="8">
        <v>1.1000000000000001</v>
      </c>
      <c r="I176" s="4">
        <v>0</v>
      </c>
    </row>
    <row r="177" spans="1:9" x14ac:dyDescent="0.2">
      <c r="A177" s="1"/>
      <c r="C177" s="4"/>
      <c r="D177" s="8"/>
      <c r="E177" s="4"/>
      <c r="F177" s="8"/>
      <c r="G177" s="4"/>
      <c r="H177" s="8"/>
      <c r="I177" s="4"/>
    </row>
    <row r="178" spans="1:9" x14ac:dyDescent="0.2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2">
      <c r="A179" s="2">
        <v>1</v>
      </c>
      <c r="B179" s="1" t="s">
        <v>115</v>
      </c>
      <c r="C179" s="4">
        <v>147</v>
      </c>
      <c r="D179" s="8">
        <v>12.71</v>
      </c>
      <c r="E179" s="4">
        <v>131</v>
      </c>
      <c r="F179" s="8">
        <v>20.86</v>
      </c>
      <c r="G179" s="4">
        <v>16</v>
      </c>
      <c r="H179" s="8">
        <v>3.09</v>
      </c>
      <c r="I179" s="4">
        <v>0</v>
      </c>
    </row>
    <row r="180" spans="1:9" x14ac:dyDescent="0.2">
      <c r="A180" s="2">
        <v>2</v>
      </c>
      <c r="B180" s="1" t="s">
        <v>116</v>
      </c>
      <c r="C180" s="4">
        <v>111</v>
      </c>
      <c r="D180" s="8">
        <v>9.59</v>
      </c>
      <c r="E180" s="4">
        <v>95</v>
      </c>
      <c r="F180" s="8">
        <v>15.13</v>
      </c>
      <c r="G180" s="4">
        <v>16</v>
      </c>
      <c r="H180" s="8">
        <v>3.09</v>
      </c>
      <c r="I180" s="4">
        <v>0</v>
      </c>
    </row>
    <row r="181" spans="1:9" x14ac:dyDescent="0.2">
      <c r="A181" s="2">
        <v>3</v>
      </c>
      <c r="B181" s="1" t="s">
        <v>101</v>
      </c>
      <c r="C181" s="4">
        <v>79</v>
      </c>
      <c r="D181" s="8">
        <v>6.83</v>
      </c>
      <c r="E181" s="4">
        <v>23</v>
      </c>
      <c r="F181" s="8">
        <v>3.66</v>
      </c>
      <c r="G181" s="4">
        <v>56</v>
      </c>
      <c r="H181" s="8">
        <v>10.81</v>
      </c>
      <c r="I181" s="4">
        <v>0</v>
      </c>
    </row>
    <row r="182" spans="1:9" x14ac:dyDescent="0.2">
      <c r="A182" s="2">
        <v>4</v>
      </c>
      <c r="B182" s="1" t="s">
        <v>111</v>
      </c>
      <c r="C182" s="4">
        <v>77</v>
      </c>
      <c r="D182" s="8">
        <v>6.66</v>
      </c>
      <c r="E182" s="4">
        <v>40</v>
      </c>
      <c r="F182" s="8">
        <v>6.37</v>
      </c>
      <c r="G182" s="4">
        <v>37</v>
      </c>
      <c r="H182" s="8">
        <v>7.14</v>
      </c>
      <c r="I182" s="4">
        <v>0</v>
      </c>
    </row>
    <row r="183" spans="1:9" x14ac:dyDescent="0.2">
      <c r="A183" s="2">
        <v>5</v>
      </c>
      <c r="B183" s="1" t="s">
        <v>110</v>
      </c>
      <c r="C183" s="4">
        <v>73</v>
      </c>
      <c r="D183" s="8">
        <v>6.31</v>
      </c>
      <c r="E183" s="4">
        <v>29</v>
      </c>
      <c r="F183" s="8">
        <v>4.62</v>
      </c>
      <c r="G183" s="4">
        <v>44</v>
      </c>
      <c r="H183" s="8">
        <v>8.49</v>
      </c>
      <c r="I183" s="4">
        <v>0</v>
      </c>
    </row>
    <row r="184" spans="1:9" x14ac:dyDescent="0.2">
      <c r="A184" s="2">
        <v>6</v>
      </c>
      <c r="B184" s="1" t="s">
        <v>102</v>
      </c>
      <c r="C184" s="4">
        <v>67</v>
      </c>
      <c r="D184" s="8">
        <v>5.79</v>
      </c>
      <c r="E184" s="4">
        <v>48</v>
      </c>
      <c r="F184" s="8">
        <v>7.64</v>
      </c>
      <c r="G184" s="4">
        <v>19</v>
      </c>
      <c r="H184" s="8">
        <v>3.67</v>
      </c>
      <c r="I184" s="4">
        <v>0</v>
      </c>
    </row>
    <row r="185" spans="1:9" x14ac:dyDescent="0.2">
      <c r="A185" s="2">
        <v>7</v>
      </c>
      <c r="B185" s="1" t="s">
        <v>108</v>
      </c>
      <c r="C185" s="4">
        <v>55</v>
      </c>
      <c r="D185" s="8">
        <v>4.75</v>
      </c>
      <c r="E185" s="4">
        <v>36</v>
      </c>
      <c r="F185" s="8">
        <v>5.73</v>
      </c>
      <c r="G185" s="4">
        <v>17</v>
      </c>
      <c r="H185" s="8">
        <v>3.28</v>
      </c>
      <c r="I185" s="4">
        <v>2</v>
      </c>
    </row>
    <row r="186" spans="1:9" x14ac:dyDescent="0.2">
      <c r="A186" s="2">
        <v>8</v>
      </c>
      <c r="B186" s="1" t="s">
        <v>109</v>
      </c>
      <c r="C186" s="4">
        <v>38</v>
      </c>
      <c r="D186" s="8">
        <v>3.28</v>
      </c>
      <c r="E186" s="4">
        <v>21</v>
      </c>
      <c r="F186" s="8">
        <v>3.34</v>
      </c>
      <c r="G186" s="4">
        <v>17</v>
      </c>
      <c r="H186" s="8">
        <v>3.28</v>
      </c>
      <c r="I186" s="4">
        <v>0</v>
      </c>
    </row>
    <row r="187" spans="1:9" x14ac:dyDescent="0.2">
      <c r="A187" s="2">
        <v>9</v>
      </c>
      <c r="B187" s="1" t="s">
        <v>103</v>
      </c>
      <c r="C187" s="4">
        <v>34</v>
      </c>
      <c r="D187" s="8">
        <v>2.94</v>
      </c>
      <c r="E187" s="4">
        <v>11</v>
      </c>
      <c r="F187" s="8">
        <v>1.75</v>
      </c>
      <c r="G187" s="4">
        <v>23</v>
      </c>
      <c r="H187" s="8">
        <v>4.4400000000000004</v>
      </c>
      <c r="I187" s="4">
        <v>0</v>
      </c>
    </row>
    <row r="188" spans="1:9" x14ac:dyDescent="0.2">
      <c r="A188" s="2">
        <v>10</v>
      </c>
      <c r="B188" s="1" t="s">
        <v>113</v>
      </c>
      <c r="C188" s="4">
        <v>31</v>
      </c>
      <c r="D188" s="8">
        <v>2.68</v>
      </c>
      <c r="E188" s="4">
        <v>15</v>
      </c>
      <c r="F188" s="8">
        <v>2.39</v>
      </c>
      <c r="G188" s="4">
        <v>16</v>
      </c>
      <c r="H188" s="8">
        <v>3.09</v>
      </c>
      <c r="I188" s="4">
        <v>0</v>
      </c>
    </row>
    <row r="189" spans="1:9" x14ac:dyDescent="0.2">
      <c r="A189" s="2">
        <v>10</v>
      </c>
      <c r="B189" s="1" t="s">
        <v>118</v>
      </c>
      <c r="C189" s="4">
        <v>31</v>
      </c>
      <c r="D189" s="8">
        <v>2.68</v>
      </c>
      <c r="E189" s="4">
        <v>27</v>
      </c>
      <c r="F189" s="8">
        <v>4.3</v>
      </c>
      <c r="G189" s="4">
        <v>4</v>
      </c>
      <c r="H189" s="8">
        <v>0.77</v>
      </c>
      <c r="I189" s="4">
        <v>0</v>
      </c>
    </row>
    <row r="190" spans="1:9" x14ac:dyDescent="0.2">
      <c r="A190" s="2">
        <v>12</v>
      </c>
      <c r="B190" s="1" t="s">
        <v>112</v>
      </c>
      <c r="C190" s="4">
        <v>30</v>
      </c>
      <c r="D190" s="8">
        <v>2.59</v>
      </c>
      <c r="E190" s="4">
        <v>23</v>
      </c>
      <c r="F190" s="8">
        <v>3.66</v>
      </c>
      <c r="G190" s="4">
        <v>7</v>
      </c>
      <c r="H190" s="8">
        <v>1.35</v>
      </c>
      <c r="I190" s="4">
        <v>0</v>
      </c>
    </row>
    <row r="191" spans="1:9" x14ac:dyDescent="0.2">
      <c r="A191" s="2">
        <v>12</v>
      </c>
      <c r="B191" s="1" t="s">
        <v>117</v>
      </c>
      <c r="C191" s="4">
        <v>30</v>
      </c>
      <c r="D191" s="8">
        <v>2.59</v>
      </c>
      <c r="E191" s="4">
        <v>14</v>
      </c>
      <c r="F191" s="8">
        <v>2.23</v>
      </c>
      <c r="G191" s="4">
        <v>12</v>
      </c>
      <c r="H191" s="8">
        <v>2.3199999999999998</v>
      </c>
      <c r="I191" s="4">
        <v>0</v>
      </c>
    </row>
    <row r="192" spans="1:9" x14ac:dyDescent="0.2">
      <c r="A192" s="2">
        <v>14</v>
      </c>
      <c r="B192" s="1" t="s">
        <v>120</v>
      </c>
      <c r="C192" s="4">
        <v>19</v>
      </c>
      <c r="D192" s="8">
        <v>1.64</v>
      </c>
      <c r="E192" s="4">
        <v>12</v>
      </c>
      <c r="F192" s="8">
        <v>1.91</v>
      </c>
      <c r="G192" s="4">
        <v>7</v>
      </c>
      <c r="H192" s="8">
        <v>1.35</v>
      </c>
      <c r="I192" s="4">
        <v>0</v>
      </c>
    </row>
    <row r="193" spans="1:9" x14ac:dyDescent="0.2">
      <c r="A193" s="2">
        <v>15</v>
      </c>
      <c r="B193" s="1" t="s">
        <v>107</v>
      </c>
      <c r="C193" s="4">
        <v>18</v>
      </c>
      <c r="D193" s="8">
        <v>1.56</v>
      </c>
      <c r="E193" s="4">
        <v>9</v>
      </c>
      <c r="F193" s="8">
        <v>1.43</v>
      </c>
      <c r="G193" s="4">
        <v>9</v>
      </c>
      <c r="H193" s="8">
        <v>1.74</v>
      </c>
      <c r="I193" s="4">
        <v>0</v>
      </c>
    </row>
    <row r="194" spans="1:9" x14ac:dyDescent="0.2">
      <c r="A194" s="2">
        <v>16</v>
      </c>
      <c r="B194" s="1" t="s">
        <v>121</v>
      </c>
      <c r="C194" s="4">
        <v>17</v>
      </c>
      <c r="D194" s="8">
        <v>1.47</v>
      </c>
      <c r="E194" s="4">
        <v>2</v>
      </c>
      <c r="F194" s="8">
        <v>0.32</v>
      </c>
      <c r="G194" s="4">
        <v>15</v>
      </c>
      <c r="H194" s="8">
        <v>2.9</v>
      </c>
      <c r="I194" s="4">
        <v>0</v>
      </c>
    </row>
    <row r="195" spans="1:9" x14ac:dyDescent="0.2">
      <c r="A195" s="2">
        <v>17</v>
      </c>
      <c r="B195" s="1" t="s">
        <v>104</v>
      </c>
      <c r="C195" s="4">
        <v>16</v>
      </c>
      <c r="D195" s="8">
        <v>1.38</v>
      </c>
      <c r="E195" s="4">
        <v>7</v>
      </c>
      <c r="F195" s="8">
        <v>1.1100000000000001</v>
      </c>
      <c r="G195" s="4">
        <v>9</v>
      </c>
      <c r="H195" s="8">
        <v>1.74</v>
      </c>
      <c r="I195" s="4">
        <v>0</v>
      </c>
    </row>
    <row r="196" spans="1:9" x14ac:dyDescent="0.2">
      <c r="A196" s="2">
        <v>17</v>
      </c>
      <c r="B196" s="1" t="s">
        <v>125</v>
      </c>
      <c r="C196" s="4">
        <v>16</v>
      </c>
      <c r="D196" s="8">
        <v>1.38</v>
      </c>
      <c r="E196" s="4">
        <v>4</v>
      </c>
      <c r="F196" s="8">
        <v>0.64</v>
      </c>
      <c r="G196" s="4">
        <v>12</v>
      </c>
      <c r="H196" s="8">
        <v>2.3199999999999998</v>
      </c>
      <c r="I196" s="4">
        <v>0</v>
      </c>
    </row>
    <row r="197" spans="1:9" x14ac:dyDescent="0.2">
      <c r="A197" s="2">
        <v>19</v>
      </c>
      <c r="B197" s="1" t="s">
        <v>123</v>
      </c>
      <c r="C197" s="4">
        <v>15</v>
      </c>
      <c r="D197" s="8">
        <v>1.3</v>
      </c>
      <c r="E197" s="4">
        <v>0</v>
      </c>
      <c r="F197" s="8">
        <v>0</v>
      </c>
      <c r="G197" s="4">
        <v>15</v>
      </c>
      <c r="H197" s="8">
        <v>2.9</v>
      </c>
      <c r="I197" s="4">
        <v>0</v>
      </c>
    </row>
    <row r="198" spans="1:9" x14ac:dyDescent="0.2">
      <c r="A198" s="2">
        <v>19</v>
      </c>
      <c r="B198" s="1" t="s">
        <v>131</v>
      </c>
      <c r="C198" s="4">
        <v>15</v>
      </c>
      <c r="D198" s="8">
        <v>1.3</v>
      </c>
      <c r="E198" s="4">
        <v>6</v>
      </c>
      <c r="F198" s="8">
        <v>0.96</v>
      </c>
      <c r="G198" s="4">
        <v>9</v>
      </c>
      <c r="H198" s="8">
        <v>1.74</v>
      </c>
      <c r="I198" s="4">
        <v>0</v>
      </c>
    </row>
    <row r="199" spans="1:9" x14ac:dyDescent="0.2">
      <c r="A199" s="1"/>
      <c r="C199" s="4"/>
      <c r="D199" s="8"/>
      <c r="E199" s="4"/>
      <c r="F199" s="8"/>
      <c r="G199" s="4"/>
      <c r="H199" s="8"/>
      <c r="I199" s="4"/>
    </row>
    <row r="200" spans="1:9" x14ac:dyDescent="0.2">
      <c r="A200" s="1" t="s">
        <v>9</v>
      </c>
      <c r="C200" s="4"/>
      <c r="D200" s="8"/>
      <c r="E200" s="4"/>
      <c r="F200" s="8"/>
      <c r="G200" s="4"/>
      <c r="H200" s="8"/>
      <c r="I200" s="4"/>
    </row>
    <row r="201" spans="1:9" x14ac:dyDescent="0.2">
      <c r="A201" s="2">
        <v>1</v>
      </c>
      <c r="B201" s="1" t="s">
        <v>115</v>
      </c>
      <c r="C201" s="4">
        <v>243</v>
      </c>
      <c r="D201" s="8">
        <v>12.73</v>
      </c>
      <c r="E201" s="4">
        <v>197</v>
      </c>
      <c r="F201" s="8">
        <v>20.309999999999999</v>
      </c>
      <c r="G201" s="4">
        <v>46</v>
      </c>
      <c r="H201" s="8">
        <v>5.05</v>
      </c>
      <c r="I201" s="4">
        <v>0</v>
      </c>
    </row>
    <row r="202" spans="1:9" x14ac:dyDescent="0.2">
      <c r="A202" s="2">
        <v>2</v>
      </c>
      <c r="B202" s="1" t="s">
        <v>116</v>
      </c>
      <c r="C202" s="4">
        <v>216</v>
      </c>
      <c r="D202" s="8">
        <v>11.31</v>
      </c>
      <c r="E202" s="4">
        <v>183</v>
      </c>
      <c r="F202" s="8">
        <v>18.87</v>
      </c>
      <c r="G202" s="4">
        <v>33</v>
      </c>
      <c r="H202" s="8">
        <v>3.62</v>
      </c>
      <c r="I202" s="4">
        <v>0</v>
      </c>
    </row>
    <row r="203" spans="1:9" x14ac:dyDescent="0.2">
      <c r="A203" s="2">
        <v>3</v>
      </c>
      <c r="B203" s="1" t="s">
        <v>110</v>
      </c>
      <c r="C203" s="4">
        <v>136</v>
      </c>
      <c r="D203" s="8">
        <v>7.12</v>
      </c>
      <c r="E203" s="4">
        <v>63</v>
      </c>
      <c r="F203" s="8">
        <v>6.49</v>
      </c>
      <c r="G203" s="4">
        <v>73</v>
      </c>
      <c r="H203" s="8">
        <v>8.01</v>
      </c>
      <c r="I203" s="4">
        <v>0</v>
      </c>
    </row>
    <row r="204" spans="1:9" x14ac:dyDescent="0.2">
      <c r="A204" s="2">
        <v>4</v>
      </c>
      <c r="B204" s="1" t="s">
        <v>101</v>
      </c>
      <c r="C204" s="4">
        <v>132</v>
      </c>
      <c r="D204" s="8">
        <v>6.91</v>
      </c>
      <c r="E204" s="4">
        <v>30</v>
      </c>
      <c r="F204" s="8">
        <v>3.09</v>
      </c>
      <c r="G204" s="4">
        <v>102</v>
      </c>
      <c r="H204" s="8">
        <v>11.2</v>
      </c>
      <c r="I204" s="4">
        <v>0</v>
      </c>
    </row>
    <row r="205" spans="1:9" x14ac:dyDescent="0.2">
      <c r="A205" s="2">
        <v>5</v>
      </c>
      <c r="B205" s="1" t="s">
        <v>111</v>
      </c>
      <c r="C205" s="4">
        <v>95</v>
      </c>
      <c r="D205" s="8">
        <v>4.9800000000000004</v>
      </c>
      <c r="E205" s="4">
        <v>53</v>
      </c>
      <c r="F205" s="8">
        <v>5.46</v>
      </c>
      <c r="G205" s="4">
        <v>41</v>
      </c>
      <c r="H205" s="8">
        <v>4.5</v>
      </c>
      <c r="I205" s="4">
        <v>0</v>
      </c>
    </row>
    <row r="206" spans="1:9" x14ac:dyDescent="0.2">
      <c r="A206" s="2">
        <v>6</v>
      </c>
      <c r="B206" s="1" t="s">
        <v>108</v>
      </c>
      <c r="C206" s="4">
        <v>86</v>
      </c>
      <c r="D206" s="8">
        <v>4.5</v>
      </c>
      <c r="E206" s="4">
        <v>52</v>
      </c>
      <c r="F206" s="8">
        <v>5.36</v>
      </c>
      <c r="G206" s="4">
        <v>33</v>
      </c>
      <c r="H206" s="8">
        <v>3.62</v>
      </c>
      <c r="I206" s="4">
        <v>1</v>
      </c>
    </row>
    <row r="207" spans="1:9" x14ac:dyDescent="0.2">
      <c r="A207" s="2">
        <v>7</v>
      </c>
      <c r="B207" s="1" t="s">
        <v>102</v>
      </c>
      <c r="C207" s="4">
        <v>83</v>
      </c>
      <c r="D207" s="8">
        <v>4.3499999999999996</v>
      </c>
      <c r="E207" s="4">
        <v>45</v>
      </c>
      <c r="F207" s="8">
        <v>4.6399999999999997</v>
      </c>
      <c r="G207" s="4">
        <v>38</v>
      </c>
      <c r="H207" s="8">
        <v>4.17</v>
      </c>
      <c r="I207" s="4">
        <v>0</v>
      </c>
    </row>
    <row r="208" spans="1:9" x14ac:dyDescent="0.2">
      <c r="A208" s="2">
        <v>8</v>
      </c>
      <c r="B208" s="1" t="s">
        <v>117</v>
      </c>
      <c r="C208" s="4">
        <v>71</v>
      </c>
      <c r="D208" s="8">
        <v>3.72</v>
      </c>
      <c r="E208" s="4">
        <v>38</v>
      </c>
      <c r="F208" s="8">
        <v>3.92</v>
      </c>
      <c r="G208" s="4">
        <v>17</v>
      </c>
      <c r="H208" s="8">
        <v>1.87</v>
      </c>
      <c r="I208" s="4">
        <v>3</v>
      </c>
    </row>
    <row r="209" spans="1:9" x14ac:dyDescent="0.2">
      <c r="A209" s="2">
        <v>9</v>
      </c>
      <c r="B209" s="1" t="s">
        <v>109</v>
      </c>
      <c r="C209" s="4">
        <v>62</v>
      </c>
      <c r="D209" s="8">
        <v>3.25</v>
      </c>
      <c r="E209" s="4">
        <v>29</v>
      </c>
      <c r="F209" s="8">
        <v>2.99</v>
      </c>
      <c r="G209" s="4">
        <v>33</v>
      </c>
      <c r="H209" s="8">
        <v>3.62</v>
      </c>
      <c r="I209" s="4">
        <v>0</v>
      </c>
    </row>
    <row r="210" spans="1:9" x14ac:dyDescent="0.2">
      <c r="A210" s="2">
        <v>10</v>
      </c>
      <c r="B210" s="1" t="s">
        <v>107</v>
      </c>
      <c r="C210" s="4">
        <v>61</v>
      </c>
      <c r="D210" s="8">
        <v>3.2</v>
      </c>
      <c r="E210" s="4">
        <v>28</v>
      </c>
      <c r="F210" s="8">
        <v>2.89</v>
      </c>
      <c r="G210" s="4">
        <v>33</v>
      </c>
      <c r="H210" s="8">
        <v>3.62</v>
      </c>
      <c r="I210" s="4">
        <v>0</v>
      </c>
    </row>
    <row r="211" spans="1:9" x14ac:dyDescent="0.2">
      <c r="A211" s="2">
        <v>11</v>
      </c>
      <c r="B211" s="1" t="s">
        <v>118</v>
      </c>
      <c r="C211" s="4">
        <v>57</v>
      </c>
      <c r="D211" s="8">
        <v>2.99</v>
      </c>
      <c r="E211" s="4">
        <v>50</v>
      </c>
      <c r="F211" s="8">
        <v>5.15</v>
      </c>
      <c r="G211" s="4">
        <v>7</v>
      </c>
      <c r="H211" s="8">
        <v>0.77</v>
      </c>
      <c r="I211" s="4">
        <v>0</v>
      </c>
    </row>
    <row r="212" spans="1:9" x14ac:dyDescent="0.2">
      <c r="A212" s="2">
        <v>12</v>
      </c>
      <c r="B212" s="1" t="s">
        <v>113</v>
      </c>
      <c r="C212" s="4">
        <v>56</v>
      </c>
      <c r="D212" s="8">
        <v>2.93</v>
      </c>
      <c r="E212" s="4">
        <v>22</v>
      </c>
      <c r="F212" s="8">
        <v>2.27</v>
      </c>
      <c r="G212" s="4">
        <v>32</v>
      </c>
      <c r="H212" s="8">
        <v>3.51</v>
      </c>
      <c r="I212" s="4">
        <v>0</v>
      </c>
    </row>
    <row r="213" spans="1:9" x14ac:dyDescent="0.2">
      <c r="A213" s="2">
        <v>13</v>
      </c>
      <c r="B213" s="1" t="s">
        <v>103</v>
      </c>
      <c r="C213" s="4">
        <v>54</v>
      </c>
      <c r="D213" s="8">
        <v>2.83</v>
      </c>
      <c r="E213" s="4">
        <v>12</v>
      </c>
      <c r="F213" s="8">
        <v>1.24</v>
      </c>
      <c r="G213" s="4">
        <v>42</v>
      </c>
      <c r="H213" s="8">
        <v>4.6100000000000003</v>
      </c>
      <c r="I213" s="4">
        <v>0</v>
      </c>
    </row>
    <row r="214" spans="1:9" x14ac:dyDescent="0.2">
      <c r="A214" s="2">
        <v>14</v>
      </c>
      <c r="B214" s="1" t="s">
        <v>112</v>
      </c>
      <c r="C214" s="4">
        <v>37</v>
      </c>
      <c r="D214" s="8">
        <v>1.94</v>
      </c>
      <c r="E214" s="4">
        <v>28</v>
      </c>
      <c r="F214" s="8">
        <v>2.89</v>
      </c>
      <c r="G214" s="4">
        <v>9</v>
      </c>
      <c r="H214" s="8">
        <v>0.99</v>
      </c>
      <c r="I214" s="4">
        <v>0</v>
      </c>
    </row>
    <row r="215" spans="1:9" x14ac:dyDescent="0.2">
      <c r="A215" s="2">
        <v>15</v>
      </c>
      <c r="B215" s="1" t="s">
        <v>120</v>
      </c>
      <c r="C215" s="4">
        <v>32</v>
      </c>
      <c r="D215" s="8">
        <v>1.68</v>
      </c>
      <c r="E215" s="4">
        <v>22</v>
      </c>
      <c r="F215" s="8">
        <v>2.27</v>
      </c>
      <c r="G215" s="4">
        <v>10</v>
      </c>
      <c r="H215" s="8">
        <v>1.1000000000000001</v>
      </c>
      <c r="I215" s="4">
        <v>0</v>
      </c>
    </row>
    <row r="216" spans="1:9" x14ac:dyDescent="0.2">
      <c r="A216" s="2">
        <v>16</v>
      </c>
      <c r="B216" s="1" t="s">
        <v>114</v>
      </c>
      <c r="C216" s="4">
        <v>26</v>
      </c>
      <c r="D216" s="8">
        <v>1.36</v>
      </c>
      <c r="E216" s="4">
        <v>14</v>
      </c>
      <c r="F216" s="8">
        <v>1.44</v>
      </c>
      <c r="G216" s="4">
        <v>12</v>
      </c>
      <c r="H216" s="8">
        <v>1.32</v>
      </c>
      <c r="I216" s="4">
        <v>0</v>
      </c>
    </row>
    <row r="217" spans="1:9" x14ac:dyDescent="0.2">
      <c r="A217" s="2">
        <v>17</v>
      </c>
      <c r="B217" s="1" t="s">
        <v>104</v>
      </c>
      <c r="C217" s="4">
        <v>24</v>
      </c>
      <c r="D217" s="8">
        <v>1.26</v>
      </c>
      <c r="E217" s="4">
        <v>6</v>
      </c>
      <c r="F217" s="8">
        <v>0.62</v>
      </c>
      <c r="G217" s="4">
        <v>18</v>
      </c>
      <c r="H217" s="8">
        <v>1.98</v>
      </c>
      <c r="I217" s="4">
        <v>0</v>
      </c>
    </row>
    <row r="218" spans="1:9" x14ac:dyDescent="0.2">
      <c r="A218" s="2">
        <v>17</v>
      </c>
      <c r="B218" s="1" t="s">
        <v>106</v>
      </c>
      <c r="C218" s="4">
        <v>24</v>
      </c>
      <c r="D218" s="8">
        <v>1.26</v>
      </c>
      <c r="E218" s="4">
        <v>2</v>
      </c>
      <c r="F218" s="8">
        <v>0.21</v>
      </c>
      <c r="G218" s="4">
        <v>22</v>
      </c>
      <c r="H218" s="8">
        <v>2.41</v>
      </c>
      <c r="I218" s="4">
        <v>0</v>
      </c>
    </row>
    <row r="219" spans="1:9" x14ac:dyDescent="0.2">
      <c r="A219" s="2">
        <v>17</v>
      </c>
      <c r="B219" s="1" t="s">
        <v>132</v>
      </c>
      <c r="C219" s="4">
        <v>24</v>
      </c>
      <c r="D219" s="8">
        <v>1.26</v>
      </c>
      <c r="E219" s="4">
        <v>7</v>
      </c>
      <c r="F219" s="8">
        <v>0.72</v>
      </c>
      <c r="G219" s="4">
        <v>16</v>
      </c>
      <c r="H219" s="8">
        <v>1.76</v>
      </c>
      <c r="I219" s="4">
        <v>1</v>
      </c>
    </row>
    <row r="220" spans="1:9" x14ac:dyDescent="0.2">
      <c r="A220" s="2">
        <v>20</v>
      </c>
      <c r="B220" s="1" t="s">
        <v>105</v>
      </c>
      <c r="C220" s="4">
        <v>21</v>
      </c>
      <c r="D220" s="8">
        <v>1.1000000000000001</v>
      </c>
      <c r="E220" s="4">
        <v>3</v>
      </c>
      <c r="F220" s="8">
        <v>0.31</v>
      </c>
      <c r="G220" s="4">
        <v>18</v>
      </c>
      <c r="H220" s="8">
        <v>1.98</v>
      </c>
      <c r="I220" s="4">
        <v>0</v>
      </c>
    </row>
    <row r="221" spans="1:9" x14ac:dyDescent="0.2">
      <c r="A221" s="1"/>
      <c r="C221" s="4"/>
      <c r="D221" s="8"/>
      <c r="E221" s="4"/>
      <c r="F221" s="8"/>
      <c r="G221" s="4"/>
      <c r="H221" s="8"/>
      <c r="I221" s="4"/>
    </row>
    <row r="222" spans="1:9" x14ac:dyDescent="0.2">
      <c r="A222" s="1" t="s">
        <v>10</v>
      </c>
      <c r="C222" s="4"/>
      <c r="D222" s="8"/>
      <c r="E222" s="4"/>
      <c r="F222" s="8"/>
      <c r="G222" s="4"/>
      <c r="H222" s="8"/>
      <c r="I222" s="4"/>
    </row>
    <row r="223" spans="1:9" x14ac:dyDescent="0.2">
      <c r="A223" s="2">
        <v>1</v>
      </c>
      <c r="B223" s="1" t="s">
        <v>115</v>
      </c>
      <c r="C223" s="4">
        <v>128</v>
      </c>
      <c r="D223" s="8">
        <v>12.5</v>
      </c>
      <c r="E223" s="4">
        <v>105</v>
      </c>
      <c r="F223" s="8">
        <v>18.36</v>
      </c>
      <c r="G223" s="4">
        <v>23</v>
      </c>
      <c r="H223" s="8">
        <v>5.2</v>
      </c>
      <c r="I223" s="4">
        <v>0</v>
      </c>
    </row>
    <row r="224" spans="1:9" x14ac:dyDescent="0.2">
      <c r="A224" s="2">
        <v>2</v>
      </c>
      <c r="B224" s="1" t="s">
        <v>116</v>
      </c>
      <c r="C224" s="4">
        <v>110</v>
      </c>
      <c r="D224" s="8">
        <v>10.74</v>
      </c>
      <c r="E224" s="4">
        <v>95</v>
      </c>
      <c r="F224" s="8">
        <v>16.61</v>
      </c>
      <c r="G224" s="4">
        <v>15</v>
      </c>
      <c r="H224" s="8">
        <v>3.39</v>
      </c>
      <c r="I224" s="4">
        <v>0</v>
      </c>
    </row>
    <row r="225" spans="1:9" x14ac:dyDescent="0.2">
      <c r="A225" s="2">
        <v>3</v>
      </c>
      <c r="B225" s="1" t="s">
        <v>111</v>
      </c>
      <c r="C225" s="4">
        <v>93</v>
      </c>
      <c r="D225" s="8">
        <v>9.08</v>
      </c>
      <c r="E225" s="4">
        <v>69</v>
      </c>
      <c r="F225" s="8">
        <v>12.06</v>
      </c>
      <c r="G225" s="4">
        <v>24</v>
      </c>
      <c r="H225" s="8">
        <v>5.43</v>
      </c>
      <c r="I225" s="4">
        <v>0</v>
      </c>
    </row>
    <row r="226" spans="1:9" x14ac:dyDescent="0.2">
      <c r="A226" s="2">
        <v>4</v>
      </c>
      <c r="B226" s="1" t="s">
        <v>110</v>
      </c>
      <c r="C226" s="4">
        <v>69</v>
      </c>
      <c r="D226" s="8">
        <v>6.74</v>
      </c>
      <c r="E226" s="4">
        <v>35</v>
      </c>
      <c r="F226" s="8">
        <v>6.12</v>
      </c>
      <c r="G226" s="4">
        <v>34</v>
      </c>
      <c r="H226" s="8">
        <v>7.69</v>
      </c>
      <c r="I226" s="4">
        <v>0</v>
      </c>
    </row>
    <row r="227" spans="1:9" x14ac:dyDescent="0.2">
      <c r="A227" s="2">
        <v>5</v>
      </c>
      <c r="B227" s="1" t="s">
        <v>102</v>
      </c>
      <c r="C227" s="4">
        <v>55</v>
      </c>
      <c r="D227" s="8">
        <v>5.37</v>
      </c>
      <c r="E227" s="4">
        <v>29</v>
      </c>
      <c r="F227" s="8">
        <v>5.07</v>
      </c>
      <c r="G227" s="4">
        <v>26</v>
      </c>
      <c r="H227" s="8">
        <v>5.88</v>
      </c>
      <c r="I227" s="4">
        <v>0</v>
      </c>
    </row>
    <row r="228" spans="1:9" x14ac:dyDescent="0.2">
      <c r="A228" s="2">
        <v>6</v>
      </c>
      <c r="B228" s="1" t="s">
        <v>108</v>
      </c>
      <c r="C228" s="4">
        <v>50</v>
      </c>
      <c r="D228" s="8">
        <v>4.88</v>
      </c>
      <c r="E228" s="4">
        <v>30</v>
      </c>
      <c r="F228" s="8">
        <v>5.24</v>
      </c>
      <c r="G228" s="4">
        <v>20</v>
      </c>
      <c r="H228" s="8">
        <v>4.5199999999999996</v>
      </c>
      <c r="I228" s="4">
        <v>0</v>
      </c>
    </row>
    <row r="229" spans="1:9" x14ac:dyDescent="0.2">
      <c r="A229" s="2">
        <v>7</v>
      </c>
      <c r="B229" s="1" t="s">
        <v>101</v>
      </c>
      <c r="C229" s="4">
        <v>48</v>
      </c>
      <c r="D229" s="8">
        <v>4.6900000000000004</v>
      </c>
      <c r="E229" s="4">
        <v>13</v>
      </c>
      <c r="F229" s="8">
        <v>2.27</v>
      </c>
      <c r="G229" s="4">
        <v>35</v>
      </c>
      <c r="H229" s="8">
        <v>7.92</v>
      </c>
      <c r="I229" s="4">
        <v>0</v>
      </c>
    </row>
    <row r="230" spans="1:9" x14ac:dyDescent="0.2">
      <c r="A230" s="2">
        <v>8</v>
      </c>
      <c r="B230" s="1" t="s">
        <v>117</v>
      </c>
      <c r="C230" s="4">
        <v>43</v>
      </c>
      <c r="D230" s="8">
        <v>4.2</v>
      </c>
      <c r="E230" s="4">
        <v>32</v>
      </c>
      <c r="F230" s="8">
        <v>5.59</v>
      </c>
      <c r="G230" s="4">
        <v>8</v>
      </c>
      <c r="H230" s="8">
        <v>1.81</v>
      </c>
      <c r="I230" s="4">
        <v>0</v>
      </c>
    </row>
    <row r="231" spans="1:9" x14ac:dyDescent="0.2">
      <c r="A231" s="2">
        <v>9</v>
      </c>
      <c r="B231" s="1" t="s">
        <v>118</v>
      </c>
      <c r="C231" s="4">
        <v>37</v>
      </c>
      <c r="D231" s="8">
        <v>3.61</v>
      </c>
      <c r="E231" s="4">
        <v>33</v>
      </c>
      <c r="F231" s="8">
        <v>5.77</v>
      </c>
      <c r="G231" s="4">
        <v>4</v>
      </c>
      <c r="H231" s="8">
        <v>0.9</v>
      </c>
      <c r="I231" s="4">
        <v>0</v>
      </c>
    </row>
    <row r="232" spans="1:9" x14ac:dyDescent="0.2">
      <c r="A232" s="2">
        <v>10</v>
      </c>
      <c r="B232" s="1" t="s">
        <v>107</v>
      </c>
      <c r="C232" s="4">
        <v>34</v>
      </c>
      <c r="D232" s="8">
        <v>3.32</v>
      </c>
      <c r="E232" s="4">
        <v>13</v>
      </c>
      <c r="F232" s="8">
        <v>2.27</v>
      </c>
      <c r="G232" s="4">
        <v>21</v>
      </c>
      <c r="H232" s="8">
        <v>4.75</v>
      </c>
      <c r="I232" s="4">
        <v>0</v>
      </c>
    </row>
    <row r="233" spans="1:9" x14ac:dyDescent="0.2">
      <c r="A233" s="2">
        <v>11</v>
      </c>
      <c r="B233" s="1" t="s">
        <v>112</v>
      </c>
      <c r="C233" s="4">
        <v>28</v>
      </c>
      <c r="D233" s="8">
        <v>2.73</v>
      </c>
      <c r="E233" s="4">
        <v>22</v>
      </c>
      <c r="F233" s="8">
        <v>3.85</v>
      </c>
      <c r="G233" s="4">
        <v>6</v>
      </c>
      <c r="H233" s="8">
        <v>1.36</v>
      </c>
      <c r="I233" s="4">
        <v>0</v>
      </c>
    </row>
    <row r="234" spans="1:9" x14ac:dyDescent="0.2">
      <c r="A234" s="2">
        <v>12</v>
      </c>
      <c r="B234" s="1" t="s">
        <v>109</v>
      </c>
      <c r="C234" s="4">
        <v>26</v>
      </c>
      <c r="D234" s="8">
        <v>2.54</v>
      </c>
      <c r="E234" s="4">
        <v>12</v>
      </c>
      <c r="F234" s="8">
        <v>2.1</v>
      </c>
      <c r="G234" s="4">
        <v>14</v>
      </c>
      <c r="H234" s="8">
        <v>3.17</v>
      </c>
      <c r="I234" s="4">
        <v>0</v>
      </c>
    </row>
    <row r="235" spans="1:9" x14ac:dyDescent="0.2">
      <c r="A235" s="2">
        <v>13</v>
      </c>
      <c r="B235" s="1" t="s">
        <v>113</v>
      </c>
      <c r="C235" s="4">
        <v>22</v>
      </c>
      <c r="D235" s="8">
        <v>2.15</v>
      </c>
      <c r="E235" s="4">
        <v>7</v>
      </c>
      <c r="F235" s="8">
        <v>1.22</v>
      </c>
      <c r="G235" s="4">
        <v>14</v>
      </c>
      <c r="H235" s="8">
        <v>3.17</v>
      </c>
      <c r="I235" s="4">
        <v>0</v>
      </c>
    </row>
    <row r="236" spans="1:9" x14ac:dyDescent="0.2">
      <c r="A236" s="2">
        <v>14</v>
      </c>
      <c r="B236" s="1" t="s">
        <v>103</v>
      </c>
      <c r="C236" s="4">
        <v>19</v>
      </c>
      <c r="D236" s="8">
        <v>1.86</v>
      </c>
      <c r="E236" s="4">
        <v>4</v>
      </c>
      <c r="F236" s="8">
        <v>0.7</v>
      </c>
      <c r="G236" s="4">
        <v>15</v>
      </c>
      <c r="H236" s="8">
        <v>3.39</v>
      </c>
      <c r="I236" s="4">
        <v>0</v>
      </c>
    </row>
    <row r="237" spans="1:9" x14ac:dyDescent="0.2">
      <c r="A237" s="2">
        <v>15</v>
      </c>
      <c r="B237" s="1" t="s">
        <v>134</v>
      </c>
      <c r="C237" s="4">
        <v>16</v>
      </c>
      <c r="D237" s="8">
        <v>1.56</v>
      </c>
      <c r="E237" s="4">
        <v>7</v>
      </c>
      <c r="F237" s="8">
        <v>1.22</v>
      </c>
      <c r="G237" s="4">
        <v>9</v>
      </c>
      <c r="H237" s="8">
        <v>2.04</v>
      </c>
      <c r="I237" s="4">
        <v>0</v>
      </c>
    </row>
    <row r="238" spans="1:9" x14ac:dyDescent="0.2">
      <c r="A238" s="2">
        <v>16</v>
      </c>
      <c r="B238" s="1" t="s">
        <v>131</v>
      </c>
      <c r="C238" s="4">
        <v>14</v>
      </c>
      <c r="D238" s="8">
        <v>1.37</v>
      </c>
      <c r="E238" s="4">
        <v>8</v>
      </c>
      <c r="F238" s="8">
        <v>1.4</v>
      </c>
      <c r="G238" s="4">
        <v>5</v>
      </c>
      <c r="H238" s="8">
        <v>1.1299999999999999</v>
      </c>
      <c r="I238" s="4">
        <v>0</v>
      </c>
    </row>
    <row r="239" spans="1:9" x14ac:dyDescent="0.2">
      <c r="A239" s="2">
        <v>17</v>
      </c>
      <c r="B239" s="1" t="s">
        <v>129</v>
      </c>
      <c r="C239" s="4">
        <v>13</v>
      </c>
      <c r="D239" s="8">
        <v>1.27</v>
      </c>
      <c r="E239" s="4">
        <v>1</v>
      </c>
      <c r="F239" s="8">
        <v>0.17</v>
      </c>
      <c r="G239" s="4">
        <v>11</v>
      </c>
      <c r="H239" s="8">
        <v>2.4900000000000002</v>
      </c>
      <c r="I239" s="4">
        <v>0</v>
      </c>
    </row>
    <row r="240" spans="1:9" x14ac:dyDescent="0.2">
      <c r="A240" s="2">
        <v>17</v>
      </c>
      <c r="B240" s="1" t="s">
        <v>119</v>
      </c>
      <c r="C240" s="4">
        <v>13</v>
      </c>
      <c r="D240" s="8">
        <v>1.27</v>
      </c>
      <c r="E240" s="4">
        <v>0</v>
      </c>
      <c r="F240" s="8">
        <v>0</v>
      </c>
      <c r="G240" s="4">
        <v>13</v>
      </c>
      <c r="H240" s="8">
        <v>2.94</v>
      </c>
      <c r="I240" s="4">
        <v>0</v>
      </c>
    </row>
    <row r="241" spans="1:9" x14ac:dyDescent="0.2">
      <c r="A241" s="2">
        <v>19</v>
      </c>
      <c r="B241" s="1" t="s">
        <v>121</v>
      </c>
      <c r="C241" s="4">
        <v>12</v>
      </c>
      <c r="D241" s="8">
        <v>1.17</v>
      </c>
      <c r="E241" s="4">
        <v>4</v>
      </c>
      <c r="F241" s="8">
        <v>0.7</v>
      </c>
      <c r="G241" s="4">
        <v>8</v>
      </c>
      <c r="H241" s="8">
        <v>1.81</v>
      </c>
      <c r="I241" s="4">
        <v>0</v>
      </c>
    </row>
    <row r="242" spans="1:9" x14ac:dyDescent="0.2">
      <c r="A242" s="2">
        <v>20</v>
      </c>
      <c r="B242" s="1" t="s">
        <v>130</v>
      </c>
      <c r="C242" s="4">
        <v>11</v>
      </c>
      <c r="D242" s="8">
        <v>1.07</v>
      </c>
      <c r="E242" s="4">
        <v>2</v>
      </c>
      <c r="F242" s="8">
        <v>0.35</v>
      </c>
      <c r="G242" s="4">
        <v>9</v>
      </c>
      <c r="H242" s="8">
        <v>2.04</v>
      </c>
      <c r="I242" s="4">
        <v>0</v>
      </c>
    </row>
    <row r="243" spans="1:9" x14ac:dyDescent="0.2">
      <c r="A243" s="2">
        <v>20</v>
      </c>
      <c r="B243" s="1" t="s">
        <v>133</v>
      </c>
      <c r="C243" s="4">
        <v>11</v>
      </c>
      <c r="D243" s="8">
        <v>1.07</v>
      </c>
      <c r="E243" s="4">
        <v>1</v>
      </c>
      <c r="F243" s="8">
        <v>0.17</v>
      </c>
      <c r="G243" s="4">
        <v>10</v>
      </c>
      <c r="H243" s="8">
        <v>2.2599999999999998</v>
      </c>
      <c r="I243" s="4">
        <v>0</v>
      </c>
    </row>
    <row r="244" spans="1:9" x14ac:dyDescent="0.2">
      <c r="A244" s="1"/>
      <c r="C244" s="4"/>
      <c r="D244" s="8"/>
      <c r="E244" s="4"/>
      <c r="F244" s="8"/>
      <c r="G244" s="4"/>
      <c r="H244" s="8"/>
      <c r="I244" s="4"/>
    </row>
    <row r="245" spans="1:9" x14ac:dyDescent="0.2">
      <c r="A245" s="1" t="s">
        <v>11</v>
      </c>
      <c r="C245" s="4"/>
      <c r="D245" s="8"/>
      <c r="E245" s="4"/>
      <c r="F245" s="8"/>
      <c r="G245" s="4"/>
      <c r="H245" s="8"/>
      <c r="I245" s="4"/>
    </row>
    <row r="246" spans="1:9" x14ac:dyDescent="0.2">
      <c r="A246" s="2">
        <v>1</v>
      </c>
      <c r="B246" s="1" t="s">
        <v>115</v>
      </c>
      <c r="C246" s="4">
        <v>119</v>
      </c>
      <c r="D246" s="8">
        <v>9.85</v>
      </c>
      <c r="E246" s="4">
        <v>108</v>
      </c>
      <c r="F246" s="8">
        <v>16.82</v>
      </c>
      <c r="G246" s="4">
        <v>11</v>
      </c>
      <c r="H246" s="8">
        <v>2</v>
      </c>
      <c r="I246" s="4">
        <v>0</v>
      </c>
    </row>
    <row r="247" spans="1:9" x14ac:dyDescent="0.2">
      <c r="A247" s="2">
        <v>1</v>
      </c>
      <c r="B247" s="1" t="s">
        <v>116</v>
      </c>
      <c r="C247" s="4">
        <v>119</v>
      </c>
      <c r="D247" s="8">
        <v>9.85</v>
      </c>
      <c r="E247" s="4">
        <v>102</v>
      </c>
      <c r="F247" s="8">
        <v>15.89</v>
      </c>
      <c r="G247" s="4">
        <v>17</v>
      </c>
      <c r="H247" s="8">
        <v>3.09</v>
      </c>
      <c r="I247" s="4">
        <v>0</v>
      </c>
    </row>
    <row r="248" spans="1:9" x14ac:dyDescent="0.2">
      <c r="A248" s="2">
        <v>3</v>
      </c>
      <c r="B248" s="1" t="s">
        <v>110</v>
      </c>
      <c r="C248" s="4">
        <v>117</v>
      </c>
      <c r="D248" s="8">
        <v>9.69</v>
      </c>
      <c r="E248" s="4">
        <v>52</v>
      </c>
      <c r="F248" s="8">
        <v>8.1</v>
      </c>
      <c r="G248" s="4">
        <v>65</v>
      </c>
      <c r="H248" s="8">
        <v>11.8</v>
      </c>
      <c r="I248" s="4">
        <v>0</v>
      </c>
    </row>
    <row r="249" spans="1:9" x14ac:dyDescent="0.2">
      <c r="A249" s="2">
        <v>4</v>
      </c>
      <c r="B249" s="1" t="s">
        <v>101</v>
      </c>
      <c r="C249" s="4">
        <v>92</v>
      </c>
      <c r="D249" s="8">
        <v>7.62</v>
      </c>
      <c r="E249" s="4">
        <v>30</v>
      </c>
      <c r="F249" s="8">
        <v>4.67</v>
      </c>
      <c r="G249" s="4">
        <v>62</v>
      </c>
      <c r="H249" s="8">
        <v>11.25</v>
      </c>
      <c r="I249" s="4">
        <v>0</v>
      </c>
    </row>
    <row r="250" spans="1:9" x14ac:dyDescent="0.2">
      <c r="A250" s="2">
        <v>5</v>
      </c>
      <c r="B250" s="1" t="s">
        <v>111</v>
      </c>
      <c r="C250" s="4">
        <v>70</v>
      </c>
      <c r="D250" s="8">
        <v>5.79</v>
      </c>
      <c r="E250" s="4">
        <v>40</v>
      </c>
      <c r="F250" s="8">
        <v>6.23</v>
      </c>
      <c r="G250" s="4">
        <v>30</v>
      </c>
      <c r="H250" s="8">
        <v>5.44</v>
      </c>
      <c r="I250" s="4">
        <v>0</v>
      </c>
    </row>
    <row r="251" spans="1:9" x14ac:dyDescent="0.2">
      <c r="A251" s="2">
        <v>6</v>
      </c>
      <c r="B251" s="1" t="s">
        <v>108</v>
      </c>
      <c r="C251" s="4">
        <v>65</v>
      </c>
      <c r="D251" s="8">
        <v>5.38</v>
      </c>
      <c r="E251" s="4">
        <v>40</v>
      </c>
      <c r="F251" s="8">
        <v>6.23</v>
      </c>
      <c r="G251" s="4">
        <v>25</v>
      </c>
      <c r="H251" s="8">
        <v>4.54</v>
      </c>
      <c r="I251" s="4">
        <v>0</v>
      </c>
    </row>
    <row r="252" spans="1:9" x14ac:dyDescent="0.2">
      <c r="A252" s="2">
        <v>7</v>
      </c>
      <c r="B252" s="1" t="s">
        <v>102</v>
      </c>
      <c r="C252" s="4">
        <v>64</v>
      </c>
      <c r="D252" s="8">
        <v>5.3</v>
      </c>
      <c r="E252" s="4">
        <v>29</v>
      </c>
      <c r="F252" s="8">
        <v>4.5199999999999996</v>
      </c>
      <c r="G252" s="4">
        <v>35</v>
      </c>
      <c r="H252" s="8">
        <v>6.35</v>
      </c>
      <c r="I252" s="4">
        <v>0</v>
      </c>
    </row>
    <row r="253" spans="1:9" x14ac:dyDescent="0.2">
      <c r="A253" s="2">
        <v>8</v>
      </c>
      <c r="B253" s="1" t="s">
        <v>109</v>
      </c>
      <c r="C253" s="4">
        <v>54</v>
      </c>
      <c r="D253" s="8">
        <v>4.47</v>
      </c>
      <c r="E253" s="4">
        <v>33</v>
      </c>
      <c r="F253" s="8">
        <v>5.14</v>
      </c>
      <c r="G253" s="4">
        <v>21</v>
      </c>
      <c r="H253" s="8">
        <v>3.81</v>
      </c>
      <c r="I253" s="4">
        <v>0</v>
      </c>
    </row>
    <row r="254" spans="1:9" x14ac:dyDescent="0.2">
      <c r="A254" s="2">
        <v>9</v>
      </c>
      <c r="B254" s="1" t="s">
        <v>117</v>
      </c>
      <c r="C254" s="4">
        <v>40</v>
      </c>
      <c r="D254" s="8">
        <v>3.31</v>
      </c>
      <c r="E254" s="4">
        <v>23</v>
      </c>
      <c r="F254" s="8">
        <v>3.58</v>
      </c>
      <c r="G254" s="4">
        <v>11</v>
      </c>
      <c r="H254" s="8">
        <v>2</v>
      </c>
      <c r="I254" s="4">
        <v>0</v>
      </c>
    </row>
    <row r="255" spans="1:9" x14ac:dyDescent="0.2">
      <c r="A255" s="2">
        <v>10</v>
      </c>
      <c r="B255" s="1" t="s">
        <v>118</v>
      </c>
      <c r="C255" s="4">
        <v>37</v>
      </c>
      <c r="D255" s="8">
        <v>3.06</v>
      </c>
      <c r="E255" s="4">
        <v>36</v>
      </c>
      <c r="F255" s="8">
        <v>5.61</v>
      </c>
      <c r="G255" s="4">
        <v>1</v>
      </c>
      <c r="H255" s="8">
        <v>0.18</v>
      </c>
      <c r="I255" s="4">
        <v>0</v>
      </c>
    </row>
    <row r="256" spans="1:9" x14ac:dyDescent="0.2">
      <c r="A256" s="2">
        <v>11</v>
      </c>
      <c r="B256" s="1" t="s">
        <v>103</v>
      </c>
      <c r="C256" s="4">
        <v>33</v>
      </c>
      <c r="D256" s="8">
        <v>2.73</v>
      </c>
      <c r="E256" s="4">
        <v>8</v>
      </c>
      <c r="F256" s="8">
        <v>1.25</v>
      </c>
      <c r="G256" s="4">
        <v>25</v>
      </c>
      <c r="H256" s="8">
        <v>4.54</v>
      </c>
      <c r="I256" s="4">
        <v>0</v>
      </c>
    </row>
    <row r="257" spans="1:9" x14ac:dyDescent="0.2">
      <c r="A257" s="2">
        <v>12</v>
      </c>
      <c r="B257" s="1" t="s">
        <v>112</v>
      </c>
      <c r="C257" s="4">
        <v>31</v>
      </c>
      <c r="D257" s="8">
        <v>2.57</v>
      </c>
      <c r="E257" s="4">
        <v>25</v>
      </c>
      <c r="F257" s="8">
        <v>3.89</v>
      </c>
      <c r="G257" s="4">
        <v>6</v>
      </c>
      <c r="H257" s="8">
        <v>1.0900000000000001</v>
      </c>
      <c r="I257" s="4">
        <v>0</v>
      </c>
    </row>
    <row r="258" spans="1:9" x14ac:dyDescent="0.2">
      <c r="A258" s="2">
        <v>13</v>
      </c>
      <c r="B258" s="1" t="s">
        <v>113</v>
      </c>
      <c r="C258" s="4">
        <v>27</v>
      </c>
      <c r="D258" s="8">
        <v>2.2400000000000002</v>
      </c>
      <c r="E258" s="4">
        <v>10</v>
      </c>
      <c r="F258" s="8">
        <v>1.56</v>
      </c>
      <c r="G258" s="4">
        <v>17</v>
      </c>
      <c r="H258" s="8">
        <v>3.09</v>
      </c>
      <c r="I258" s="4">
        <v>0</v>
      </c>
    </row>
    <row r="259" spans="1:9" x14ac:dyDescent="0.2">
      <c r="A259" s="2">
        <v>14</v>
      </c>
      <c r="B259" s="1" t="s">
        <v>107</v>
      </c>
      <c r="C259" s="4">
        <v>26</v>
      </c>
      <c r="D259" s="8">
        <v>2.15</v>
      </c>
      <c r="E259" s="4">
        <v>8</v>
      </c>
      <c r="F259" s="8">
        <v>1.25</v>
      </c>
      <c r="G259" s="4">
        <v>18</v>
      </c>
      <c r="H259" s="8">
        <v>3.27</v>
      </c>
      <c r="I259" s="4">
        <v>0</v>
      </c>
    </row>
    <row r="260" spans="1:9" x14ac:dyDescent="0.2">
      <c r="A260" s="2">
        <v>15</v>
      </c>
      <c r="B260" s="1" t="s">
        <v>125</v>
      </c>
      <c r="C260" s="4">
        <v>23</v>
      </c>
      <c r="D260" s="8">
        <v>1.9</v>
      </c>
      <c r="E260" s="4">
        <v>4</v>
      </c>
      <c r="F260" s="8">
        <v>0.62</v>
      </c>
      <c r="G260" s="4">
        <v>19</v>
      </c>
      <c r="H260" s="8">
        <v>3.45</v>
      </c>
      <c r="I260" s="4">
        <v>0</v>
      </c>
    </row>
    <row r="261" spans="1:9" x14ac:dyDescent="0.2">
      <c r="A261" s="2">
        <v>16</v>
      </c>
      <c r="B261" s="1" t="s">
        <v>119</v>
      </c>
      <c r="C261" s="4">
        <v>20</v>
      </c>
      <c r="D261" s="8">
        <v>1.66</v>
      </c>
      <c r="E261" s="4">
        <v>0</v>
      </c>
      <c r="F261" s="8">
        <v>0</v>
      </c>
      <c r="G261" s="4">
        <v>15</v>
      </c>
      <c r="H261" s="8">
        <v>2.72</v>
      </c>
      <c r="I261" s="4">
        <v>0</v>
      </c>
    </row>
    <row r="262" spans="1:9" x14ac:dyDescent="0.2">
      <c r="A262" s="2">
        <v>17</v>
      </c>
      <c r="B262" s="1" t="s">
        <v>127</v>
      </c>
      <c r="C262" s="4">
        <v>18</v>
      </c>
      <c r="D262" s="8">
        <v>1.49</v>
      </c>
      <c r="E262" s="4">
        <v>1</v>
      </c>
      <c r="F262" s="8">
        <v>0.16</v>
      </c>
      <c r="G262" s="4">
        <v>17</v>
      </c>
      <c r="H262" s="8">
        <v>3.09</v>
      </c>
      <c r="I262" s="4">
        <v>0</v>
      </c>
    </row>
    <row r="263" spans="1:9" x14ac:dyDescent="0.2">
      <c r="A263" s="2">
        <v>18</v>
      </c>
      <c r="B263" s="1" t="s">
        <v>120</v>
      </c>
      <c r="C263" s="4">
        <v>17</v>
      </c>
      <c r="D263" s="8">
        <v>1.41</v>
      </c>
      <c r="E263" s="4">
        <v>8</v>
      </c>
      <c r="F263" s="8">
        <v>1.25</v>
      </c>
      <c r="G263" s="4">
        <v>9</v>
      </c>
      <c r="H263" s="8">
        <v>1.63</v>
      </c>
      <c r="I263" s="4">
        <v>0</v>
      </c>
    </row>
    <row r="264" spans="1:9" x14ac:dyDescent="0.2">
      <c r="A264" s="2">
        <v>19</v>
      </c>
      <c r="B264" s="1" t="s">
        <v>106</v>
      </c>
      <c r="C264" s="4">
        <v>15</v>
      </c>
      <c r="D264" s="8">
        <v>1.24</v>
      </c>
      <c r="E264" s="4">
        <v>5</v>
      </c>
      <c r="F264" s="8">
        <v>0.78</v>
      </c>
      <c r="G264" s="4">
        <v>10</v>
      </c>
      <c r="H264" s="8">
        <v>1.81</v>
      </c>
      <c r="I264" s="4">
        <v>0</v>
      </c>
    </row>
    <row r="265" spans="1:9" x14ac:dyDescent="0.2">
      <c r="A265" s="2">
        <v>19</v>
      </c>
      <c r="B265" s="1" t="s">
        <v>131</v>
      </c>
      <c r="C265" s="4">
        <v>15</v>
      </c>
      <c r="D265" s="8">
        <v>1.24</v>
      </c>
      <c r="E265" s="4">
        <v>9</v>
      </c>
      <c r="F265" s="8">
        <v>1.4</v>
      </c>
      <c r="G265" s="4">
        <v>6</v>
      </c>
      <c r="H265" s="8">
        <v>1.0900000000000001</v>
      </c>
      <c r="I265" s="4">
        <v>0</v>
      </c>
    </row>
    <row r="266" spans="1:9" x14ac:dyDescent="0.2">
      <c r="A266" s="1"/>
      <c r="C266" s="4"/>
      <c r="D266" s="8"/>
      <c r="E266" s="4"/>
      <c r="F266" s="8"/>
      <c r="G266" s="4"/>
      <c r="H266" s="8"/>
      <c r="I266" s="4"/>
    </row>
    <row r="267" spans="1:9" x14ac:dyDescent="0.2">
      <c r="A267" s="1" t="s">
        <v>12</v>
      </c>
      <c r="C267" s="4"/>
      <c r="D267" s="8"/>
      <c r="E267" s="4"/>
      <c r="F267" s="8"/>
      <c r="G267" s="4"/>
      <c r="H267" s="8"/>
      <c r="I267" s="4"/>
    </row>
    <row r="268" spans="1:9" x14ac:dyDescent="0.2">
      <c r="A268" s="2">
        <v>1</v>
      </c>
      <c r="B268" s="1" t="s">
        <v>115</v>
      </c>
      <c r="C268" s="4">
        <v>98</v>
      </c>
      <c r="D268" s="8">
        <v>13</v>
      </c>
      <c r="E268" s="4">
        <v>76</v>
      </c>
      <c r="F268" s="8">
        <v>18.86</v>
      </c>
      <c r="G268" s="4">
        <v>22</v>
      </c>
      <c r="H268" s="8">
        <v>6.77</v>
      </c>
      <c r="I268" s="4">
        <v>0</v>
      </c>
    </row>
    <row r="269" spans="1:9" x14ac:dyDescent="0.2">
      <c r="A269" s="2">
        <v>2</v>
      </c>
      <c r="B269" s="1" t="s">
        <v>116</v>
      </c>
      <c r="C269" s="4">
        <v>72</v>
      </c>
      <c r="D269" s="8">
        <v>9.5500000000000007</v>
      </c>
      <c r="E269" s="4">
        <v>64</v>
      </c>
      <c r="F269" s="8">
        <v>15.88</v>
      </c>
      <c r="G269" s="4">
        <v>8</v>
      </c>
      <c r="H269" s="8">
        <v>2.46</v>
      </c>
      <c r="I269" s="4">
        <v>0</v>
      </c>
    </row>
    <row r="270" spans="1:9" x14ac:dyDescent="0.2">
      <c r="A270" s="2">
        <v>3</v>
      </c>
      <c r="B270" s="1" t="s">
        <v>101</v>
      </c>
      <c r="C270" s="4">
        <v>64</v>
      </c>
      <c r="D270" s="8">
        <v>8.49</v>
      </c>
      <c r="E270" s="4">
        <v>21</v>
      </c>
      <c r="F270" s="8">
        <v>5.21</v>
      </c>
      <c r="G270" s="4">
        <v>43</v>
      </c>
      <c r="H270" s="8">
        <v>13.23</v>
      </c>
      <c r="I270" s="4">
        <v>0</v>
      </c>
    </row>
    <row r="271" spans="1:9" x14ac:dyDescent="0.2">
      <c r="A271" s="2">
        <v>4</v>
      </c>
      <c r="B271" s="1" t="s">
        <v>110</v>
      </c>
      <c r="C271" s="4">
        <v>50</v>
      </c>
      <c r="D271" s="8">
        <v>6.63</v>
      </c>
      <c r="E271" s="4">
        <v>23</v>
      </c>
      <c r="F271" s="8">
        <v>5.71</v>
      </c>
      <c r="G271" s="4">
        <v>27</v>
      </c>
      <c r="H271" s="8">
        <v>8.31</v>
      </c>
      <c r="I271" s="4">
        <v>0</v>
      </c>
    </row>
    <row r="272" spans="1:9" x14ac:dyDescent="0.2">
      <c r="A272" s="2">
        <v>5</v>
      </c>
      <c r="B272" s="1" t="s">
        <v>117</v>
      </c>
      <c r="C272" s="4">
        <v>46</v>
      </c>
      <c r="D272" s="8">
        <v>6.1</v>
      </c>
      <c r="E272" s="4">
        <v>29</v>
      </c>
      <c r="F272" s="8">
        <v>7.2</v>
      </c>
      <c r="G272" s="4">
        <v>9</v>
      </c>
      <c r="H272" s="8">
        <v>2.77</v>
      </c>
      <c r="I272" s="4">
        <v>0</v>
      </c>
    </row>
    <row r="273" spans="1:9" x14ac:dyDescent="0.2">
      <c r="A273" s="2">
        <v>6</v>
      </c>
      <c r="B273" s="1" t="s">
        <v>102</v>
      </c>
      <c r="C273" s="4">
        <v>44</v>
      </c>
      <c r="D273" s="8">
        <v>5.84</v>
      </c>
      <c r="E273" s="4">
        <v>25</v>
      </c>
      <c r="F273" s="8">
        <v>6.2</v>
      </c>
      <c r="G273" s="4">
        <v>19</v>
      </c>
      <c r="H273" s="8">
        <v>5.85</v>
      </c>
      <c r="I273" s="4">
        <v>0</v>
      </c>
    </row>
    <row r="274" spans="1:9" x14ac:dyDescent="0.2">
      <c r="A274" s="2">
        <v>7</v>
      </c>
      <c r="B274" s="1" t="s">
        <v>108</v>
      </c>
      <c r="C274" s="4">
        <v>42</v>
      </c>
      <c r="D274" s="8">
        <v>5.57</v>
      </c>
      <c r="E274" s="4">
        <v>25</v>
      </c>
      <c r="F274" s="8">
        <v>6.2</v>
      </c>
      <c r="G274" s="4">
        <v>16</v>
      </c>
      <c r="H274" s="8">
        <v>4.92</v>
      </c>
      <c r="I274" s="4">
        <v>1</v>
      </c>
    </row>
    <row r="275" spans="1:9" x14ac:dyDescent="0.2">
      <c r="A275" s="2">
        <v>8</v>
      </c>
      <c r="B275" s="1" t="s">
        <v>114</v>
      </c>
      <c r="C275" s="4">
        <v>31</v>
      </c>
      <c r="D275" s="8">
        <v>4.1100000000000003</v>
      </c>
      <c r="E275" s="4">
        <v>20</v>
      </c>
      <c r="F275" s="8">
        <v>4.96</v>
      </c>
      <c r="G275" s="4">
        <v>11</v>
      </c>
      <c r="H275" s="8">
        <v>3.38</v>
      </c>
      <c r="I275" s="4">
        <v>0</v>
      </c>
    </row>
    <row r="276" spans="1:9" x14ac:dyDescent="0.2">
      <c r="A276" s="2">
        <v>9</v>
      </c>
      <c r="B276" s="1" t="s">
        <v>119</v>
      </c>
      <c r="C276" s="4">
        <v>23</v>
      </c>
      <c r="D276" s="8">
        <v>3.05</v>
      </c>
      <c r="E276" s="4">
        <v>0</v>
      </c>
      <c r="F276" s="8">
        <v>0</v>
      </c>
      <c r="G276" s="4">
        <v>14</v>
      </c>
      <c r="H276" s="8">
        <v>4.3099999999999996</v>
      </c>
      <c r="I276" s="4">
        <v>0</v>
      </c>
    </row>
    <row r="277" spans="1:9" x14ac:dyDescent="0.2">
      <c r="A277" s="2">
        <v>10</v>
      </c>
      <c r="B277" s="1" t="s">
        <v>109</v>
      </c>
      <c r="C277" s="4">
        <v>22</v>
      </c>
      <c r="D277" s="8">
        <v>2.92</v>
      </c>
      <c r="E277" s="4">
        <v>11</v>
      </c>
      <c r="F277" s="8">
        <v>2.73</v>
      </c>
      <c r="G277" s="4">
        <v>11</v>
      </c>
      <c r="H277" s="8">
        <v>3.38</v>
      </c>
      <c r="I277" s="4">
        <v>0</v>
      </c>
    </row>
    <row r="278" spans="1:9" x14ac:dyDescent="0.2">
      <c r="A278" s="2">
        <v>11</v>
      </c>
      <c r="B278" s="1" t="s">
        <v>111</v>
      </c>
      <c r="C278" s="4">
        <v>20</v>
      </c>
      <c r="D278" s="8">
        <v>2.65</v>
      </c>
      <c r="E278" s="4">
        <v>10</v>
      </c>
      <c r="F278" s="8">
        <v>2.48</v>
      </c>
      <c r="G278" s="4">
        <v>10</v>
      </c>
      <c r="H278" s="8">
        <v>3.08</v>
      </c>
      <c r="I278" s="4">
        <v>0</v>
      </c>
    </row>
    <row r="279" spans="1:9" x14ac:dyDescent="0.2">
      <c r="A279" s="2">
        <v>12</v>
      </c>
      <c r="B279" s="1" t="s">
        <v>118</v>
      </c>
      <c r="C279" s="4">
        <v>19</v>
      </c>
      <c r="D279" s="8">
        <v>2.52</v>
      </c>
      <c r="E279" s="4">
        <v>17</v>
      </c>
      <c r="F279" s="8">
        <v>4.22</v>
      </c>
      <c r="G279" s="4">
        <v>2</v>
      </c>
      <c r="H279" s="8">
        <v>0.62</v>
      </c>
      <c r="I279" s="4">
        <v>0</v>
      </c>
    </row>
    <row r="280" spans="1:9" x14ac:dyDescent="0.2">
      <c r="A280" s="2">
        <v>13</v>
      </c>
      <c r="B280" s="1" t="s">
        <v>112</v>
      </c>
      <c r="C280" s="4">
        <v>16</v>
      </c>
      <c r="D280" s="8">
        <v>2.12</v>
      </c>
      <c r="E280" s="4">
        <v>14</v>
      </c>
      <c r="F280" s="8">
        <v>3.47</v>
      </c>
      <c r="G280" s="4">
        <v>2</v>
      </c>
      <c r="H280" s="8">
        <v>0.62</v>
      </c>
      <c r="I280" s="4">
        <v>0</v>
      </c>
    </row>
    <row r="281" spans="1:9" x14ac:dyDescent="0.2">
      <c r="A281" s="2">
        <v>14</v>
      </c>
      <c r="B281" s="1" t="s">
        <v>107</v>
      </c>
      <c r="C281" s="4">
        <v>15</v>
      </c>
      <c r="D281" s="8">
        <v>1.99</v>
      </c>
      <c r="E281" s="4">
        <v>10</v>
      </c>
      <c r="F281" s="8">
        <v>2.48</v>
      </c>
      <c r="G281" s="4">
        <v>5</v>
      </c>
      <c r="H281" s="8">
        <v>1.54</v>
      </c>
      <c r="I281" s="4">
        <v>0</v>
      </c>
    </row>
    <row r="282" spans="1:9" x14ac:dyDescent="0.2">
      <c r="A282" s="2">
        <v>14</v>
      </c>
      <c r="B282" s="1" t="s">
        <v>120</v>
      </c>
      <c r="C282" s="4">
        <v>15</v>
      </c>
      <c r="D282" s="8">
        <v>1.99</v>
      </c>
      <c r="E282" s="4">
        <v>10</v>
      </c>
      <c r="F282" s="8">
        <v>2.48</v>
      </c>
      <c r="G282" s="4">
        <v>5</v>
      </c>
      <c r="H282" s="8">
        <v>1.54</v>
      </c>
      <c r="I282" s="4">
        <v>0</v>
      </c>
    </row>
    <row r="283" spans="1:9" x14ac:dyDescent="0.2">
      <c r="A283" s="2">
        <v>16</v>
      </c>
      <c r="B283" s="1" t="s">
        <v>127</v>
      </c>
      <c r="C283" s="4">
        <v>13</v>
      </c>
      <c r="D283" s="8">
        <v>1.72</v>
      </c>
      <c r="E283" s="4">
        <v>6</v>
      </c>
      <c r="F283" s="8">
        <v>1.49</v>
      </c>
      <c r="G283" s="4">
        <v>7</v>
      </c>
      <c r="H283" s="8">
        <v>2.15</v>
      </c>
      <c r="I283" s="4">
        <v>0</v>
      </c>
    </row>
    <row r="284" spans="1:9" x14ac:dyDescent="0.2">
      <c r="A284" s="2">
        <v>16</v>
      </c>
      <c r="B284" s="1" t="s">
        <v>113</v>
      </c>
      <c r="C284" s="4">
        <v>13</v>
      </c>
      <c r="D284" s="8">
        <v>1.72</v>
      </c>
      <c r="E284" s="4">
        <v>5</v>
      </c>
      <c r="F284" s="8">
        <v>1.24</v>
      </c>
      <c r="G284" s="4">
        <v>7</v>
      </c>
      <c r="H284" s="8">
        <v>2.15</v>
      </c>
      <c r="I284" s="4">
        <v>0</v>
      </c>
    </row>
    <row r="285" spans="1:9" x14ac:dyDescent="0.2">
      <c r="A285" s="2">
        <v>18</v>
      </c>
      <c r="B285" s="1" t="s">
        <v>103</v>
      </c>
      <c r="C285" s="4">
        <v>12</v>
      </c>
      <c r="D285" s="8">
        <v>1.59</v>
      </c>
      <c r="E285" s="4">
        <v>5</v>
      </c>
      <c r="F285" s="8">
        <v>1.24</v>
      </c>
      <c r="G285" s="4">
        <v>7</v>
      </c>
      <c r="H285" s="8">
        <v>2.15</v>
      </c>
      <c r="I285" s="4">
        <v>0</v>
      </c>
    </row>
    <row r="286" spans="1:9" x14ac:dyDescent="0.2">
      <c r="A286" s="2">
        <v>18</v>
      </c>
      <c r="B286" s="1" t="s">
        <v>131</v>
      </c>
      <c r="C286" s="4">
        <v>12</v>
      </c>
      <c r="D286" s="8">
        <v>1.59</v>
      </c>
      <c r="E286" s="4">
        <v>5</v>
      </c>
      <c r="F286" s="8">
        <v>1.24</v>
      </c>
      <c r="G286" s="4">
        <v>7</v>
      </c>
      <c r="H286" s="8">
        <v>2.15</v>
      </c>
      <c r="I286" s="4">
        <v>0</v>
      </c>
    </row>
    <row r="287" spans="1:9" x14ac:dyDescent="0.2">
      <c r="A287" s="2">
        <v>20</v>
      </c>
      <c r="B287" s="1" t="s">
        <v>130</v>
      </c>
      <c r="C287" s="4">
        <v>10</v>
      </c>
      <c r="D287" s="8">
        <v>1.33</v>
      </c>
      <c r="E287" s="4">
        <v>7</v>
      </c>
      <c r="F287" s="8">
        <v>1.74</v>
      </c>
      <c r="G287" s="4">
        <v>3</v>
      </c>
      <c r="H287" s="8">
        <v>0.92</v>
      </c>
      <c r="I287" s="4">
        <v>0</v>
      </c>
    </row>
    <row r="288" spans="1:9" x14ac:dyDescent="0.2">
      <c r="A288" s="2">
        <v>20</v>
      </c>
      <c r="B288" s="1" t="s">
        <v>106</v>
      </c>
      <c r="C288" s="4">
        <v>10</v>
      </c>
      <c r="D288" s="8">
        <v>1.33</v>
      </c>
      <c r="E288" s="4">
        <v>0</v>
      </c>
      <c r="F288" s="8">
        <v>0</v>
      </c>
      <c r="G288" s="4">
        <v>10</v>
      </c>
      <c r="H288" s="8">
        <v>3.08</v>
      </c>
      <c r="I288" s="4">
        <v>0</v>
      </c>
    </row>
    <row r="289" spans="1:9" x14ac:dyDescent="0.2">
      <c r="A289" s="1"/>
      <c r="C289" s="4"/>
      <c r="D289" s="8"/>
      <c r="E289" s="4"/>
      <c r="F289" s="8"/>
      <c r="G289" s="4"/>
      <c r="H289" s="8"/>
      <c r="I289" s="4"/>
    </row>
    <row r="290" spans="1:9" x14ac:dyDescent="0.2">
      <c r="A290" s="1" t="s">
        <v>13</v>
      </c>
      <c r="C290" s="4"/>
      <c r="D290" s="8"/>
      <c r="E290" s="4"/>
      <c r="F290" s="8"/>
      <c r="G290" s="4"/>
      <c r="H290" s="8"/>
      <c r="I290" s="4"/>
    </row>
    <row r="291" spans="1:9" x14ac:dyDescent="0.2">
      <c r="A291" s="2">
        <v>1</v>
      </c>
      <c r="B291" s="1" t="s">
        <v>116</v>
      </c>
      <c r="C291" s="4">
        <v>95</v>
      </c>
      <c r="D291" s="8">
        <v>12.68</v>
      </c>
      <c r="E291" s="4">
        <v>86</v>
      </c>
      <c r="F291" s="8">
        <v>19.5</v>
      </c>
      <c r="G291" s="4">
        <v>9</v>
      </c>
      <c r="H291" s="8">
        <v>3.08</v>
      </c>
      <c r="I291" s="4">
        <v>0</v>
      </c>
    </row>
    <row r="292" spans="1:9" x14ac:dyDescent="0.2">
      <c r="A292" s="2">
        <v>2</v>
      </c>
      <c r="B292" s="1" t="s">
        <v>115</v>
      </c>
      <c r="C292" s="4">
        <v>72</v>
      </c>
      <c r="D292" s="8">
        <v>9.61</v>
      </c>
      <c r="E292" s="4">
        <v>60</v>
      </c>
      <c r="F292" s="8">
        <v>13.61</v>
      </c>
      <c r="G292" s="4">
        <v>12</v>
      </c>
      <c r="H292" s="8">
        <v>4.1100000000000003</v>
      </c>
      <c r="I292" s="4">
        <v>0</v>
      </c>
    </row>
    <row r="293" spans="1:9" x14ac:dyDescent="0.2">
      <c r="A293" s="2">
        <v>3</v>
      </c>
      <c r="B293" s="1" t="s">
        <v>110</v>
      </c>
      <c r="C293" s="4">
        <v>58</v>
      </c>
      <c r="D293" s="8">
        <v>7.74</v>
      </c>
      <c r="E293" s="4">
        <v>25</v>
      </c>
      <c r="F293" s="8">
        <v>5.67</v>
      </c>
      <c r="G293" s="4">
        <v>33</v>
      </c>
      <c r="H293" s="8">
        <v>11.3</v>
      </c>
      <c r="I293" s="4">
        <v>0</v>
      </c>
    </row>
    <row r="294" spans="1:9" x14ac:dyDescent="0.2">
      <c r="A294" s="2">
        <v>4</v>
      </c>
      <c r="B294" s="1" t="s">
        <v>114</v>
      </c>
      <c r="C294" s="4">
        <v>55</v>
      </c>
      <c r="D294" s="8">
        <v>7.34</v>
      </c>
      <c r="E294" s="4">
        <v>37</v>
      </c>
      <c r="F294" s="8">
        <v>8.39</v>
      </c>
      <c r="G294" s="4">
        <v>18</v>
      </c>
      <c r="H294" s="8">
        <v>6.16</v>
      </c>
      <c r="I294" s="4">
        <v>0</v>
      </c>
    </row>
    <row r="295" spans="1:9" x14ac:dyDescent="0.2">
      <c r="A295" s="2">
        <v>5</v>
      </c>
      <c r="B295" s="1" t="s">
        <v>101</v>
      </c>
      <c r="C295" s="4">
        <v>53</v>
      </c>
      <c r="D295" s="8">
        <v>7.08</v>
      </c>
      <c r="E295" s="4">
        <v>25</v>
      </c>
      <c r="F295" s="8">
        <v>5.67</v>
      </c>
      <c r="G295" s="4">
        <v>28</v>
      </c>
      <c r="H295" s="8">
        <v>9.59</v>
      </c>
      <c r="I295" s="4">
        <v>0</v>
      </c>
    </row>
    <row r="296" spans="1:9" x14ac:dyDescent="0.2">
      <c r="A296" s="2">
        <v>6</v>
      </c>
      <c r="B296" s="1" t="s">
        <v>102</v>
      </c>
      <c r="C296" s="4">
        <v>50</v>
      </c>
      <c r="D296" s="8">
        <v>6.68</v>
      </c>
      <c r="E296" s="4">
        <v>36</v>
      </c>
      <c r="F296" s="8">
        <v>8.16</v>
      </c>
      <c r="G296" s="4">
        <v>14</v>
      </c>
      <c r="H296" s="8">
        <v>4.79</v>
      </c>
      <c r="I296" s="4">
        <v>0</v>
      </c>
    </row>
    <row r="297" spans="1:9" x14ac:dyDescent="0.2">
      <c r="A297" s="2">
        <v>7</v>
      </c>
      <c r="B297" s="1" t="s">
        <v>108</v>
      </c>
      <c r="C297" s="4">
        <v>46</v>
      </c>
      <c r="D297" s="8">
        <v>6.14</v>
      </c>
      <c r="E297" s="4">
        <v>29</v>
      </c>
      <c r="F297" s="8">
        <v>6.58</v>
      </c>
      <c r="G297" s="4">
        <v>17</v>
      </c>
      <c r="H297" s="8">
        <v>5.82</v>
      </c>
      <c r="I297" s="4">
        <v>0</v>
      </c>
    </row>
    <row r="298" spans="1:9" x14ac:dyDescent="0.2">
      <c r="A298" s="2">
        <v>8</v>
      </c>
      <c r="B298" s="1" t="s">
        <v>103</v>
      </c>
      <c r="C298" s="4">
        <v>29</v>
      </c>
      <c r="D298" s="8">
        <v>3.87</v>
      </c>
      <c r="E298" s="4">
        <v>15</v>
      </c>
      <c r="F298" s="8">
        <v>3.4</v>
      </c>
      <c r="G298" s="4">
        <v>14</v>
      </c>
      <c r="H298" s="8">
        <v>4.79</v>
      </c>
      <c r="I298" s="4">
        <v>0</v>
      </c>
    </row>
    <row r="299" spans="1:9" x14ac:dyDescent="0.2">
      <c r="A299" s="2">
        <v>9</v>
      </c>
      <c r="B299" s="1" t="s">
        <v>109</v>
      </c>
      <c r="C299" s="4">
        <v>28</v>
      </c>
      <c r="D299" s="8">
        <v>3.74</v>
      </c>
      <c r="E299" s="4">
        <v>17</v>
      </c>
      <c r="F299" s="8">
        <v>3.85</v>
      </c>
      <c r="G299" s="4">
        <v>11</v>
      </c>
      <c r="H299" s="8">
        <v>3.77</v>
      </c>
      <c r="I299" s="4">
        <v>0</v>
      </c>
    </row>
    <row r="300" spans="1:9" x14ac:dyDescent="0.2">
      <c r="A300" s="2">
        <v>10</v>
      </c>
      <c r="B300" s="1" t="s">
        <v>119</v>
      </c>
      <c r="C300" s="4">
        <v>22</v>
      </c>
      <c r="D300" s="8">
        <v>2.94</v>
      </c>
      <c r="E300" s="4">
        <v>0</v>
      </c>
      <c r="F300" s="8">
        <v>0</v>
      </c>
      <c r="G300" s="4">
        <v>19</v>
      </c>
      <c r="H300" s="8">
        <v>6.51</v>
      </c>
      <c r="I300" s="4">
        <v>0</v>
      </c>
    </row>
    <row r="301" spans="1:9" x14ac:dyDescent="0.2">
      <c r="A301" s="2">
        <v>11</v>
      </c>
      <c r="B301" s="1" t="s">
        <v>107</v>
      </c>
      <c r="C301" s="4">
        <v>19</v>
      </c>
      <c r="D301" s="8">
        <v>2.54</v>
      </c>
      <c r="E301" s="4">
        <v>9</v>
      </c>
      <c r="F301" s="8">
        <v>2.04</v>
      </c>
      <c r="G301" s="4">
        <v>10</v>
      </c>
      <c r="H301" s="8">
        <v>3.42</v>
      </c>
      <c r="I301" s="4">
        <v>0</v>
      </c>
    </row>
    <row r="302" spans="1:9" x14ac:dyDescent="0.2">
      <c r="A302" s="2">
        <v>12</v>
      </c>
      <c r="B302" s="1" t="s">
        <v>117</v>
      </c>
      <c r="C302" s="4">
        <v>18</v>
      </c>
      <c r="D302" s="8">
        <v>2.4</v>
      </c>
      <c r="E302" s="4">
        <v>10</v>
      </c>
      <c r="F302" s="8">
        <v>2.27</v>
      </c>
      <c r="G302" s="4">
        <v>5</v>
      </c>
      <c r="H302" s="8">
        <v>1.71</v>
      </c>
      <c r="I302" s="4">
        <v>0</v>
      </c>
    </row>
    <row r="303" spans="1:9" x14ac:dyDescent="0.2">
      <c r="A303" s="2">
        <v>13</v>
      </c>
      <c r="B303" s="1" t="s">
        <v>111</v>
      </c>
      <c r="C303" s="4">
        <v>16</v>
      </c>
      <c r="D303" s="8">
        <v>2.14</v>
      </c>
      <c r="E303" s="4">
        <v>10</v>
      </c>
      <c r="F303" s="8">
        <v>2.27</v>
      </c>
      <c r="G303" s="4">
        <v>6</v>
      </c>
      <c r="H303" s="8">
        <v>2.0499999999999998</v>
      </c>
      <c r="I303" s="4">
        <v>0</v>
      </c>
    </row>
    <row r="304" spans="1:9" x14ac:dyDescent="0.2">
      <c r="A304" s="2">
        <v>14</v>
      </c>
      <c r="B304" s="1" t="s">
        <v>112</v>
      </c>
      <c r="C304" s="4">
        <v>12</v>
      </c>
      <c r="D304" s="8">
        <v>1.6</v>
      </c>
      <c r="E304" s="4">
        <v>10</v>
      </c>
      <c r="F304" s="8">
        <v>2.27</v>
      </c>
      <c r="G304" s="4">
        <v>2</v>
      </c>
      <c r="H304" s="8">
        <v>0.68</v>
      </c>
      <c r="I304" s="4">
        <v>0</v>
      </c>
    </row>
    <row r="305" spans="1:9" x14ac:dyDescent="0.2">
      <c r="A305" s="2">
        <v>14</v>
      </c>
      <c r="B305" s="1" t="s">
        <v>118</v>
      </c>
      <c r="C305" s="4">
        <v>12</v>
      </c>
      <c r="D305" s="8">
        <v>1.6</v>
      </c>
      <c r="E305" s="4">
        <v>12</v>
      </c>
      <c r="F305" s="8">
        <v>2.72</v>
      </c>
      <c r="G305" s="4">
        <v>0</v>
      </c>
      <c r="H305" s="8">
        <v>0</v>
      </c>
      <c r="I305" s="4">
        <v>0</v>
      </c>
    </row>
    <row r="306" spans="1:9" x14ac:dyDescent="0.2">
      <c r="A306" s="2">
        <v>16</v>
      </c>
      <c r="B306" s="1" t="s">
        <v>122</v>
      </c>
      <c r="C306" s="4">
        <v>10</v>
      </c>
      <c r="D306" s="8">
        <v>1.34</v>
      </c>
      <c r="E306" s="4">
        <v>2</v>
      </c>
      <c r="F306" s="8">
        <v>0.45</v>
      </c>
      <c r="G306" s="4">
        <v>8</v>
      </c>
      <c r="H306" s="8">
        <v>2.74</v>
      </c>
      <c r="I306" s="4">
        <v>0</v>
      </c>
    </row>
    <row r="307" spans="1:9" x14ac:dyDescent="0.2">
      <c r="A307" s="2">
        <v>17</v>
      </c>
      <c r="B307" s="1" t="s">
        <v>127</v>
      </c>
      <c r="C307" s="4">
        <v>9</v>
      </c>
      <c r="D307" s="8">
        <v>1.2</v>
      </c>
      <c r="E307" s="4">
        <v>5</v>
      </c>
      <c r="F307" s="8">
        <v>1.1299999999999999</v>
      </c>
      <c r="G307" s="4">
        <v>4</v>
      </c>
      <c r="H307" s="8">
        <v>1.37</v>
      </c>
      <c r="I307" s="4">
        <v>0</v>
      </c>
    </row>
    <row r="308" spans="1:9" x14ac:dyDescent="0.2">
      <c r="A308" s="2">
        <v>17</v>
      </c>
      <c r="B308" s="1" t="s">
        <v>130</v>
      </c>
      <c r="C308" s="4">
        <v>9</v>
      </c>
      <c r="D308" s="8">
        <v>1.2</v>
      </c>
      <c r="E308" s="4">
        <v>3</v>
      </c>
      <c r="F308" s="8">
        <v>0.68</v>
      </c>
      <c r="G308" s="4">
        <v>6</v>
      </c>
      <c r="H308" s="8">
        <v>2.0499999999999998</v>
      </c>
      <c r="I308" s="4">
        <v>0</v>
      </c>
    </row>
    <row r="309" spans="1:9" x14ac:dyDescent="0.2">
      <c r="A309" s="2">
        <v>17</v>
      </c>
      <c r="B309" s="1" t="s">
        <v>135</v>
      </c>
      <c r="C309" s="4">
        <v>9</v>
      </c>
      <c r="D309" s="8">
        <v>1.2</v>
      </c>
      <c r="E309" s="4">
        <v>4</v>
      </c>
      <c r="F309" s="8">
        <v>0.91</v>
      </c>
      <c r="G309" s="4">
        <v>5</v>
      </c>
      <c r="H309" s="8">
        <v>1.71</v>
      </c>
      <c r="I309" s="4">
        <v>0</v>
      </c>
    </row>
    <row r="310" spans="1:9" x14ac:dyDescent="0.2">
      <c r="A310" s="2">
        <v>17</v>
      </c>
      <c r="B310" s="1" t="s">
        <v>113</v>
      </c>
      <c r="C310" s="4">
        <v>9</v>
      </c>
      <c r="D310" s="8">
        <v>1.2</v>
      </c>
      <c r="E310" s="4">
        <v>4</v>
      </c>
      <c r="F310" s="8">
        <v>0.91</v>
      </c>
      <c r="G310" s="4">
        <v>5</v>
      </c>
      <c r="H310" s="8">
        <v>1.71</v>
      </c>
      <c r="I310" s="4">
        <v>0</v>
      </c>
    </row>
    <row r="311" spans="1:9" x14ac:dyDescent="0.2">
      <c r="A311" s="1"/>
      <c r="C311" s="4"/>
      <c r="D311" s="8"/>
      <c r="E311" s="4"/>
      <c r="F311" s="8"/>
      <c r="G311" s="4"/>
      <c r="H311" s="8"/>
      <c r="I311" s="4"/>
    </row>
    <row r="312" spans="1:9" x14ac:dyDescent="0.2">
      <c r="A312" s="1" t="s">
        <v>14</v>
      </c>
      <c r="C312" s="4"/>
      <c r="D312" s="8"/>
      <c r="E312" s="4"/>
      <c r="F312" s="8"/>
      <c r="G312" s="4"/>
      <c r="H312" s="8"/>
      <c r="I312" s="4"/>
    </row>
    <row r="313" spans="1:9" x14ac:dyDescent="0.2">
      <c r="A313" s="2">
        <v>1</v>
      </c>
      <c r="B313" s="1" t="s">
        <v>115</v>
      </c>
      <c r="C313" s="4">
        <v>150</v>
      </c>
      <c r="D313" s="8">
        <v>9.07</v>
      </c>
      <c r="E313" s="4">
        <v>109</v>
      </c>
      <c r="F313" s="8">
        <v>15.59</v>
      </c>
      <c r="G313" s="4">
        <v>41</v>
      </c>
      <c r="H313" s="8">
        <v>4.47</v>
      </c>
      <c r="I313" s="4">
        <v>0</v>
      </c>
    </row>
    <row r="314" spans="1:9" x14ac:dyDescent="0.2">
      <c r="A314" s="2">
        <v>2</v>
      </c>
      <c r="B314" s="1" t="s">
        <v>116</v>
      </c>
      <c r="C314" s="4">
        <v>137</v>
      </c>
      <c r="D314" s="8">
        <v>8.2799999999999994</v>
      </c>
      <c r="E314" s="4">
        <v>108</v>
      </c>
      <c r="F314" s="8">
        <v>15.45</v>
      </c>
      <c r="G314" s="4">
        <v>29</v>
      </c>
      <c r="H314" s="8">
        <v>3.16</v>
      </c>
      <c r="I314" s="4">
        <v>0</v>
      </c>
    </row>
    <row r="315" spans="1:9" x14ac:dyDescent="0.2">
      <c r="A315" s="2">
        <v>3</v>
      </c>
      <c r="B315" s="1" t="s">
        <v>101</v>
      </c>
      <c r="C315" s="4">
        <v>128</v>
      </c>
      <c r="D315" s="8">
        <v>7.74</v>
      </c>
      <c r="E315" s="4">
        <v>31</v>
      </c>
      <c r="F315" s="8">
        <v>4.43</v>
      </c>
      <c r="G315" s="4">
        <v>97</v>
      </c>
      <c r="H315" s="8">
        <v>10.57</v>
      </c>
      <c r="I315" s="4">
        <v>0</v>
      </c>
    </row>
    <row r="316" spans="1:9" x14ac:dyDescent="0.2">
      <c r="A316" s="2">
        <v>3</v>
      </c>
      <c r="B316" s="1" t="s">
        <v>114</v>
      </c>
      <c r="C316" s="4">
        <v>128</v>
      </c>
      <c r="D316" s="8">
        <v>7.74</v>
      </c>
      <c r="E316" s="4">
        <v>82</v>
      </c>
      <c r="F316" s="8">
        <v>11.73</v>
      </c>
      <c r="G316" s="4">
        <v>46</v>
      </c>
      <c r="H316" s="8">
        <v>5.01</v>
      </c>
      <c r="I316" s="4">
        <v>0</v>
      </c>
    </row>
    <row r="317" spans="1:9" x14ac:dyDescent="0.2">
      <c r="A317" s="2">
        <v>5</v>
      </c>
      <c r="B317" s="1" t="s">
        <v>110</v>
      </c>
      <c r="C317" s="4">
        <v>81</v>
      </c>
      <c r="D317" s="8">
        <v>4.9000000000000004</v>
      </c>
      <c r="E317" s="4">
        <v>30</v>
      </c>
      <c r="F317" s="8">
        <v>4.29</v>
      </c>
      <c r="G317" s="4">
        <v>51</v>
      </c>
      <c r="H317" s="8">
        <v>5.56</v>
      </c>
      <c r="I317" s="4">
        <v>0</v>
      </c>
    </row>
    <row r="318" spans="1:9" x14ac:dyDescent="0.2">
      <c r="A318" s="2">
        <v>6</v>
      </c>
      <c r="B318" s="1" t="s">
        <v>111</v>
      </c>
      <c r="C318" s="4">
        <v>71</v>
      </c>
      <c r="D318" s="8">
        <v>4.29</v>
      </c>
      <c r="E318" s="4">
        <v>11</v>
      </c>
      <c r="F318" s="8">
        <v>1.57</v>
      </c>
      <c r="G318" s="4">
        <v>58</v>
      </c>
      <c r="H318" s="8">
        <v>6.32</v>
      </c>
      <c r="I318" s="4">
        <v>1</v>
      </c>
    </row>
    <row r="319" spans="1:9" x14ac:dyDescent="0.2">
      <c r="A319" s="2">
        <v>7</v>
      </c>
      <c r="B319" s="1" t="s">
        <v>102</v>
      </c>
      <c r="C319" s="4">
        <v>62</v>
      </c>
      <c r="D319" s="8">
        <v>3.75</v>
      </c>
      <c r="E319" s="4">
        <v>30</v>
      </c>
      <c r="F319" s="8">
        <v>4.29</v>
      </c>
      <c r="G319" s="4">
        <v>32</v>
      </c>
      <c r="H319" s="8">
        <v>3.49</v>
      </c>
      <c r="I319" s="4">
        <v>0</v>
      </c>
    </row>
    <row r="320" spans="1:9" x14ac:dyDescent="0.2">
      <c r="A320" s="2">
        <v>8</v>
      </c>
      <c r="B320" s="1" t="s">
        <v>108</v>
      </c>
      <c r="C320" s="4">
        <v>57</v>
      </c>
      <c r="D320" s="8">
        <v>3.45</v>
      </c>
      <c r="E320" s="4">
        <v>35</v>
      </c>
      <c r="F320" s="8">
        <v>5.01</v>
      </c>
      <c r="G320" s="4">
        <v>22</v>
      </c>
      <c r="H320" s="8">
        <v>2.4</v>
      </c>
      <c r="I320" s="4">
        <v>0</v>
      </c>
    </row>
    <row r="321" spans="1:9" x14ac:dyDescent="0.2">
      <c r="A321" s="2">
        <v>9</v>
      </c>
      <c r="B321" s="1" t="s">
        <v>109</v>
      </c>
      <c r="C321" s="4">
        <v>53</v>
      </c>
      <c r="D321" s="8">
        <v>3.2</v>
      </c>
      <c r="E321" s="4">
        <v>17</v>
      </c>
      <c r="F321" s="8">
        <v>2.4300000000000002</v>
      </c>
      <c r="G321" s="4">
        <v>36</v>
      </c>
      <c r="H321" s="8">
        <v>3.92</v>
      </c>
      <c r="I321" s="4">
        <v>0</v>
      </c>
    </row>
    <row r="322" spans="1:9" x14ac:dyDescent="0.2">
      <c r="A322" s="2">
        <v>10</v>
      </c>
      <c r="B322" s="1" t="s">
        <v>103</v>
      </c>
      <c r="C322" s="4">
        <v>52</v>
      </c>
      <c r="D322" s="8">
        <v>3.14</v>
      </c>
      <c r="E322" s="4">
        <v>10</v>
      </c>
      <c r="F322" s="8">
        <v>1.43</v>
      </c>
      <c r="G322" s="4">
        <v>42</v>
      </c>
      <c r="H322" s="8">
        <v>4.58</v>
      </c>
      <c r="I322" s="4">
        <v>0</v>
      </c>
    </row>
    <row r="323" spans="1:9" x14ac:dyDescent="0.2">
      <c r="A323" s="2">
        <v>10</v>
      </c>
      <c r="B323" s="1" t="s">
        <v>117</v>
      </c>
      <c r="C323" s="4">
        <v>52</v>
      </c>
      <c r="D323" s="8">
        <v>3.14</v>
      </c>
      <c r="E323" s="4">
        <v>27</v>
      </c>
      <c r="F323" s="8">
        <v>3.86</v>
      </c>
      <c r="G323" s="4">
        <v>21</v>
      </c>
      <c r="H323" s="8">
        <v>2.29</v>
      </c>
      <c r="I323" s="4">
        <v>0</v>
      </c>
    </row>
    <row r="324" spans="1:9" x14ac:dyDescent="0.2">
      <c r="A324" s="2">
        <v>12</v>
      </c>
      <c r="B324" s="1" t="s">
        <v>118</v>
      </c>
      <c r="C324" s="4">
        <v>51</v>
      </c>
      <c r="D324" s="8">
        <v>3.08</v>
      </c>
      <c r="E324" s="4">
        <v>47</v>
      </c>
      <c r="F324" s="8">
        <v>6.72</v>
      </c>
      <c r="G324" s="4">
        <v>4</v>
      </c>
      <c r="H324" s="8">
        <v>0.44</v>
      </c>
      <c r="I324" s="4">
        <v>0</v>
      </c>
    </row>
    <row r="325" spans="1:9" x14ac:dyDescent="0.2">
      <c r="A325" s="2">
        <v>13</v>
      </c>
      <c r="B325" s="1" t="s">
        <v>113</v>
      </c>
      <c r="C325" s="4">
        <v>45</v>
      </c>
      <c r="D325" s="8">
        <v>2.72</v>
      </c>
      <c r="E325" s="4">
        <v>19</v>
      </c>
      <c r="F325" s="8">
        <v>2.72</v>
      </c>
      <c r="G325" s="4">
        <v>26</v>
      </c>
      <c r="H325" s="8">
        <v>2.83</v>
      </c>
      <c r="I325" s="4">
        <v>0</v>
      </c>
    </row>
    <row r="326" spans="1:9" x14ac:dyDescent="0.2">
      <c r="A326" s="2">
        <v>14</v>
      </c>
      <c r="B326" s="1" t="s">
        <v>112</v>
      </c>
      <c r="C326" s="4">
        <v>43</v>
      </c>
      <c r="D326" s="8">
        <v>2.6</v>
      </c>
      <c r="E326" s="4">
        <v>26</v>
      </c>
      <c r="F326" s="8">
        <v>3.72</v>
      </c>
      <c r="G326" s="4">
        <v>17</v>
      </c>
      <c r="H326" s="8">
        <v>1.85</v>
      </c>
      <c r="I326" s="4">
        <v>0</v>
      </c>
    </row>
    <row r="327" spans="1:9" x14ac:dyDescent="0.2">
      <c r="A327" s="2">
        <v>15</v>
      </c>
      <c r="B327" s="1" t="s">
        <v>105</v>
      </c>
      <c r="C327" s="4">
        <v>40</v>
      </c>
      <c r="D327" s="8">
        <v>2.42</v>
      </c>
      <c r="E327" s="4">
        <v>5</v>
      </c>
      <c r="F327" s="8">
        <v>0.72</v>
      </c>
      <c r="G327" s="4">
        <v>35</v>
      </c>
      <c r="H327" s="8">
        <v>3.81</v>
      </c>
      <c r="I327" s="4">
        <v>0</v>
      </c>
    </row>
    <row r="328" spans="1:9" x14ac:dyDescent="0.2">
      <c r="A328" s="2">
        <v>15</v>
      </c>
      <c r="B328" s="1" t="s">
        <v>119</v>
      </c>
      <c r="C328" s="4">
        <v>40</v>
      </c>
      <c r="D328" s="8">
        <v>2.42</v>
      </c>
      <c r="E328" s="4">
        <v>0</v>
      </c>
      <c r="F328" s="8">
        <v>0</v>
      </c>
      <c r="G328" s="4">
        <v>10</v>
      </c>
      <c r="H328" s="8">
        <v>1.0900000000000001</v>
      </c>
      <c r="I328" s="4">
        <v>0</v>
      </c>
    </row>
    <row r="329" spans="1:9" x14ac:dyDescent="0.2">
      <c r="A329" s="2">
        <v>17</v>
      </c>
      <c r="B329" s="1" t="s">
        <v>107</v>
      </c>
      <c r="C329" s="4">
        <v>35</v>
      </c>
      <c r="D329" s="8">
        <v>2.12</v>
      </c>
      <c r="E329" s="4">
        <v>18</v>
      </c>
      <c r="F329" s="8">
        <v>2.58</v>
      </c>
      <c r="G329" s="4">
        <v>17</v>
      </c>
      <c r="H329" s="8">
        <v>1.85</v>
      </c>
      <c r="I329" s="4">
        <v>0</v>
      </c>
    </row>
    <row r="330" spans="1:9" x14ac:dyDescent="0.2">
      <c r="A330" s="2">
        <v>18</v>
      </c>
      <c r="B330" s="1" t="s">
        <v>129</v>
      </c>
      <c r="C330" s="4">
        <v>33</v>
      </c>
      <c r="D330" s="8">
        <v>2</v>
      </c>
      <c r="E330" s="4">
        <v>2</v>
      </c>
      <c r="F330" s="8">
        <v>0.28999999999999998</v>
      </c>
      <c r="G330" s="4">
        <v>31</v>
      </c>
      <c r="H330" s="8">
        <v>3.38</v>
      </c>
      <c r="I330" s="4">
        <v>0</v>
      </c>
    </row>
    <row r="331" spans="1:9" x14ac:dyDescent="0.2">
      <c r="A331" s="2">
        <v>19</v>
      </c>
      <c r="B331" s="1" t="s">
        <v>104</v>
      </c>
      <c r="C331" s="4">
        <v>27</v>
      </c>
      <c r="D331" s="8">
        <v>1.63</v>
      </c>
      <c r="E331" s="4">
        <v>6</v>
      </c>
      <c r="F331" s="8">
        <v>0.86</v>
      </c>
      <c r="G331" s="4">
        <v>21</v>
      </c>
      <c r="H331" s="8">
        <v>2.29</v>
      </c>
      <c r="I331" s="4">
        <v>0</v>
      </c>
    </row>
    <row r="332" spans="1:9" x14ac:dyDescent="0.2">
      <c r="A332" s="2">
        <v>20</v>
      </c>
      <c r="B332" s="1" t="s">
        <v>120</v>
      </c>
      <c r="C332" s="4">
        <v>25</v>
      </c>
      <c r="D332" s="8">
        <v>1.51</v>
      </c>
      <c r="E332" s="4">
        <v>14</v>
      </c>
      <c r="F332" s="8">
        <v>2</v>
      </c>
      <c r="G332" s="4">
        <v>11</v>
      </c>
      <c r="H332" s="8">
        <v>1.2</v>
      </c>
      <c r="I332" s="4">
        <v>0</v>
      </c>
    </row>
    <row r="333" spans="1:9" x14ac:dyDescent="0.2">
      <c r="A333" s="1"/>
      <c r="C333" s="4"/>
      <c r="D333" s="8"/>
      <c r="E333" s="4"/>
      <c r="F333" s="8"/>
      <c r="G333" s="4"/>
      <c r="H333" s="8"/>
      <c r="I333" s="4"/>
    </row>
    <row r="334" spans="1:9" x14ac:dyDescent="0.2">
      <c r="A334" s="1" t="s">
        <v>15</v>
      </c>
      <c r="C334" s="4"/>
      <c r="D334" s="8"/>
      <c r="E334" s="4"/>
      <c r="F334" s="8"/>
      <c r="G334" s="4"/>
      <c r="H334" s="8"/>
      <c r="I334" s="4"/>
    </row>
    <row r="335" spans="1:9" x14ac:dyDescent="0.2">
      <c r="A335" s="2">
        <v>1</v>
      </c>
      <c r="B335" s="1" t="s">
        <v>116</v>
      </c>
      <c r="C335" s="4">
        <v>179</v>
      </c>
      <c r="D335" s="8">
        <v>10.35</v>
      </c>
      <c r="E335" s="4">
        <v>154</v>
      </c>
      <c r="F335" s="8">
        <v>17.23</v>
      </c>
      <c r="G335" s="4">
        <v>25</v>
      </c>
      <c r="H335" s="8">
        <v>3.14</v>
      </c>
      <c r="I335" s="4">
        <v>0</v>
      </c>
    </row>
    <row r="336" spans="1:9" x14ac:dyDescent="0.2">
      <c r="A336" s="2">
        <v>2</v>
      </c>
      <c r="B336" s="1" t="s">
        <v>115</v>
      </c>
      <c r="C336" s="4">
        <v>154</v>
      </c>
      <c r="D336" s="8">
        <v>8.91</v>
      </c>
      <c r="E336" s="4">
        <v>124</v>
      </c>
      <c r="F336" s="8">
        <v>13.87</v>
      </c>
      <c r="G336" s="4">
        <v>30</v>
      </c>
      <c r="H336" s="8">
        <v>3.76</v>
      </c>
      <c r="I336" s="4">
        <v>0</v>
      </c>
    </row>
    <row r="337" spans="1:9" x14ac:dyDescent="0.2">
      <c r="A337" s="2">
        <v>3</v>
      </c>
      <c r="B337" s="1" t="s">
        <v>110</v>
      </c>
      <c r="C337" s="4">
        <v>134</v>
      </c>
      <c r="D337" s="8">
        <v>7.75</v>
      </c>
      <c r="E337" s="4">
        <v>78</v>
      </c>
      <c r="F337" s="8">
        <v>8.7200000000000006</v>
      </c>
      <c r="G337" s="4">
        <v>56</v>
      </c>
      <c r="H337" s="8">
        <v>7.03</v>
      </c>
      <c r="I337" s="4">
        <v>0</v>
      </c>
    </row>
    <row r="338" spans="1:9" x14ac:dyDescent="0.2">
      <c r="A338" s="2">
        <v>4</v>
      </c>
      <c r="B338" s="1" t="s">
        <v>111</v>
      </c>
      <c r="C338" s="4">
        <v>121</v>
      </c>
      <c r="D338" s="8">
        <v>7</v>
      </c>
      <c r="E338" s="4">
        <v>82</v>
      </c>
      <c r="F338" s="8">
        <v>9.17</v>
      </c>
      <c r="G338" s="4">
        <v>39</v>
      </c>
      <c r="H338" s="8">
        <v>4.8899999999999997</v>
      </c>
      <c r="I338" s="4">
        <v>0</v>
      </c>
    </row>
    <row r="339" spans="1:9" x14ac:dyDescent="0.2">
      <c r="A339" s="2">
        <v>5</v>
      </c>
      <c r="B339" s="1" t="s">
        <v>101</v>
      </c>
      <c r="C339" s="4">
        <v>107</v>
      </c>
      <c r="D339" s="8">
        <v>6.19</v>
      </c>
      <c r="E339" s="4">
        <v>29</v>
      </c>
      <c r="F339" s="8">
        <v>3.24</v>
      </c>
      <c r="G339" s="4">
        <v>78</v>
      </c>
      <c r="H339" s="8">
        <v>9.7899999999999991</v>
      </c>
      <c r="I339" s="4">
        <v>0</v>
      </c>
    </row>
    <row r="340" spans="1:9" x14ac:dyDescent="0.2">
      <c r="A340" s="2">
        <v>6</v>
      </c>
      <c r="B340" s="1" t="s">
        <v>117</v>
      </c>
      <c r="C340" s="4">
        <v>78</v>
      </c>
      <c r="D340" s="8">
        <v>4.51</v>
      </c>
      <c r="E340" s="4">
        <v>32</v>
      </c>
      <c r="F340" s="8">
        <v>3.58</v>
      </c>
      <c r="G340" s="4">
        <v>19</v>
      </c>
      <c r="H340" s="8">
        <v>2.38</v>
      </c>
      <c r="I340" s="4">
        <v>1</v>
      </c>
    </row>
    <row r="341" spans="1:9" x14ac:dyDescent="0.2">
      <c r="A341" s="2">
        <v>7</v>
      </c>
      <c r="B341" s="1" t="s">
        <v>102</v>
      </c>
      <c r="C341" s="4">
        <v>74</v>
      </c>
      <c r="D341" s="8">
        <v>4.28</v>
      </c>
      <c r="E341" s="4">
        <v>40</v>
      </c>
      <c r="F341" s="8">
        <v>4.47</v>
      </c>
      <c r="G341" s="4">
        <v>34</v>
      </c>
      <c r="H341" s="8">
        <v>4.2699999999999996</v>
      </c>
      <c r="I341" s="4">
        <v>0</v>
      </c>
    </row>
    <row r="342" spans="1:9" x14ac:dyDescent="0.2">
      <c r="A342" s="2">
        <v>8</v>
      </c>
      <c r="B342" s="1" t="s">
        <v>108</v>
      </c>
      <c r="C342" s="4">
        <v>62</v>
      </c>
      <c r="D342" s="8">
        <v>3.59</v>
      </c>
      <c r="E342" s="4">
        <v>43</v>
      </c>
      <c r="F342" s="8">
        <v>4.8099999999999996</v>
      </c>
      <c r="G342" s="4">
        <v>18</v>
      </c>
      <c r="H342" s="8">
        <v>2.2599999999999998</v>
      </c>
      <c r="I342" s="4">
        <v>1</v>
      </c>
    </row>
    <row r="343" spans="1:9" x14ac:dyDescent="0.2">
      <c r="A343" s="2">
        <v>9</v>
      </c>
      <c r="B343" s="1" t="s">
        <v>118</v>
      </c>
      <c r="C343" s="4">
        <v>61</v>
      </c>
      <c r="D343" s="8">
        <v>3.53</v>
      </c>
      <c r="E343" s="4">
        <v>56</v>
      </c>
      <c r="F343" s="8">
        <v>6.26</v>
      </c>
      <c r="G343" s="4">
        <v>4</v>
      </c>
      <c r="H343" s="8">
        <v>0.5</v>
      </c>
      <c r="I343" s="4">
        <v>1</v>
      </c>
    </row>
    <row r="344" spans="1:9" x14ac:dyDescent="0.2">
      <c r="A344" s="2">
        <v>10</v>
      </c>
      <c r="B344" s="1" t="s">
        <v>135</v>
      </c>
      <c r="C344" s="4">
        <v>60</v>
      </c>
      <c r="D344" s="8">
        <v>3.47</v>
      </c>
      <c r="E344" s="4">
        <v>42</v>
      </c>
      <c r="F344" s="8">
        <v>4.7</v>
      </c>
      <c r="G344" s="4">
        <v>18</v>
      </c>
      <c r="H344" s="8">
        <v>2.2599999999999998</v>
      </c>
      <c r="I344" s="4">
        <v>0</v>
      </c>
    </row>
    <row r="345" spans="1:9" x14ac:dyDescent="0.2">
      <c r="A345" s="2">
        <v>11</v>
      </c>
      <c r="B345" s="1" t="s">
        <v>109</v>
      </c>
      <c r="C345" s="4">
        <v>56</v>
      </c>
      <c r="D345" s="8">
        <v>3.24</v>
      </c>
      <c r="E345" s="4">
        <v>28</v>
      </c>
      <c r="F345" s="8">
        <v>3.13</v>
      </c>
      <c r="G345" s="4">
        <v>28</v>
      </c>
      <c r="H345" s="8">
        <v>3.51</v>
      </c>
      <c r="I345" s="4">
        <v>0</v>
      </c>
    </row>
    <row r="346" spans="1:9" x14ac:dyDescent="0.2">
      <c r="A346" s="2">
        <v>12</v>
      </c>
      <c r="B346" s="1" t="s">
        <v>103</v>
      </c>
      <c r="C346" s="4">
        <v>53</v>
      </c>
      <c r="D346" s="8">
        <v>3.07</v>
      </c>
      <c r="E346" s="4">
        <v>11</v>
      </c>
      <c r="F346" s="8">
        <v>1.23</v>
      </c>
      <c r="G346" s="4">
        <v>42</v>
      </c>
      <c r="H346" s="8">
        <v>5.27</v>
      </c>
      <c r="I346" s="4">
        <v>0</v>
      </c>
    </row>
    <row r="347" spans="1:9" x14ac:dyDescent="0.2">
      <c r="A347" s="2">
        <v>13</v>
      </c>
      <c r="B347" s="1" t="s">
        <v>112</v>
      </c>
      <c r="C347" s="4">
        <v>37</v>
      </c>
      <c r="D347" s="8">
        <v>2.14</v>
      </c>
      <c r="E347" s="4">
        <v>27</v>
      </c>
      <c r="F347" s="8">
        <v>3.02</v>
      </c>
      <c r="G347" s="4">
        <v>10</v>
      </c>
      <c r="H347" s="8">
        <v>1.25</v>
      </c>
      <c r="I347" s="4">
        <v>0</v>
      </c>
    </row>
    <row r="348" spans="1:9" x14ac:dyDescent="0.2">
      <c r="A348" s="2">
        <v>14</v>
      </c>
      <c r="B348" s="1" t="s">
        <v>120</v>
      </c>
      <c r="C348" s="4">
        <v>34</v>
      </c>
      <c r="D348" s="8">
        <v>1.97</v>
      </c>
      <c r="E348" s="4">
        <v>15</v>
      </c>
      <c r="F348" s="8">
        <v>1.68</v>
      </c>
      <c r="G348" s="4">
        <v>19</v>
      </c>
      <c r="H348" s="8">
        <v>2.38</v>
      </c>
      <c r="I348" s="4">
        <v>0</v>
      </c>
    </row>
    <row r="349" spans="1:9" x14ac:dyDescent="0.2">
      <c r="A349" s="2">
        <v>15</v>
      </c>
      <c r="B349" s="1" t="s">
        <v>113</v>
      </c>
      <c r="C349" s="4">
        <v>32</v>
      </c>
      <c r="D349" s="8">
        <v>1.85</v>
      </c>
      <c r="E349" s="4">
        <v>11</v>
      </c>
      <c r="F349" s="8">
        <v>1.23</v>
      </c>
      <c r="G349" s="4">
        <v>21</v>
      </c>
      <c r="H349" s="8">
        <v>2.63</v>
      </c>
      <c r="I349" s="4">
        <v>0</v>
      </c>
    </row>
    <row r="350" spans="1:9" x14ac:dyDescent="0.2">
      <c r="A350" s="2">
        <v>16</v>
      </c>
      <c r="B350" s="1" t="s">
        <v>105</v>
      </c>
      <c r="C350" s="4">
        <v>29</v>
      </c>
      <c r="D350" s="8">
        <v>1.68</v>
      </c>
      <c r="E350" s="4">
        <v>12</v>
      </c>
      <c r="F350" s="8">
        <v>1.34</v>
      </c>
      <c r="G350" s="4">
        <v>17</v>
      </c>
      <c r="H350" s="8">
        <v>2.13</v>
      </c>
      <c r="I350" s="4">
        <v>0</v>
      </c>
    </row>
    <row r="351" spans="1:9" x14ac:dyDescent="0.2">
      <c r="A351" s="2">
        <v>17</v>
      </c>
      <c r="B351" s="1" t="s">
        <v>106</v>
      </c>
      <c r="C351" s="4">
        <v>28</v>
      </c>
      <c r="D351" s="8">
        <v>1.62</v>
      </c>
      <c r="E351" s="4">
        <v>1</v>
      </c>
      <c r="F351" s="8">
        <v>0.11</v>
      </c>
      <c r="G351" s="4">
        <v>27</v>
      </c>
      <c r="H351" s="8">
        <v>3.39</v>
      </c>
      <c r="I351" s="4">
        <v>0</v>
      </c>
    </row>
    <row r="352" spans="1:9" x14ac:dyDescent="0.2">
      <c r="A352" s="2">
        <v>18</v>
      </c>
      <c r="B352" s="1" t="s">
        <v>123</v>
      </c>
      <c r="C352" s="4">
        <v>27</v>
      </c>
      <c r="D352" s="8">
        <v>1.56</v>
      </c>
      <c r="E352" s="4">
        <v>0</v>
      </c>
      <c r="F352" s="8">
        <v>0</v>
      </c>
      <c r="G352" s="4">
        <v>27</v>
      </c>
      <c r="H352" s="8">
        <v>3.39</v>
      </c>
      <c r="I352" s="4">
        <v>0</v>
      </c>
    </row>
    <row r="353" spans="1:9" x14ac:dyDescent="0.2">
      <c r="A353" s="2">
        <v>19</v>
      </c>
      <c r="B353" s="1" t="s">
        <v>119</v>
      </c>
      <c r="C353" s="4">
        <v>26</v>
      </c>
      <c r="D353" s="8">
        <v>1.5</v>
      </c>
      <c r="E353" s="4">
        <v>1</v>
      </c>
      <c r="F353" s="8">
        <v>0.11</v>
      </c>
      <c r="G353" s="4">
        <v>21</v>
      </c>
      <c r="H353" s="8">
        <v>2.63</v>
      </c>
      <c r="I353" s="4">
        <v>0</v>
      </c>
    </row>
    <row r="354" spans="1:9" x14ac:dyDescent="0.2">
      <c r="A354" s="2">
        <v>20</v>
      </c>
      <c r="B354" s="1" t="s">
        <v>130</v>
      </c>
      <c r="C354" s="4">
        <v>23</v>
      </c>
      <c r="D354" s="8">
        <v>1.33</v>
      </c>
      <c r="E354" s="4">
        <v>10</v>
      </c>
      <c r="F354" s="8">
        <v>1.1200000000000001</v>
      </c>
      <c r="G354" s="4">
        <v>13</v>
      </c>
      <c r="H354" s="8">
        <v>1.63</v>
      </c>
      <c r="I354" s="4">
        <v>0</v>
      </c>
    </row>
    <row r="355" spans="1:9" x14ac:dyDescent="0.2">
      <c r="A355" s="2">
        <v>20</v>
      </c>
      <c r="B355" s="1" t="s">
        <v>122</v>
      </c>
      <c r="C355" s="4">
        <v>23</v>
      </c>
      <c r="D355" s="8">
        <v>1.33</v>
      </c>
      <c r="E355" s="4">
        <v>4</v>
      </c>
      <c r="F355" s="8">
        <v>0.45</v>
      </c>
      <c r="G355" s="4">
        <v>19</v>
      </c>
      <c r="H355" s="8">
        <v>2.38</v>
      </c>
      <c r="I355" s="4">
        <v>0</v>
      </c>
    </row>
    <row r="356" spans="1:9" x14ac:dyDescent="0.2">
      <c r="A356" s="1"/>
      <c r="C356" s="4"/>
      <c r="D356" s="8"/>
      <c r="E356" s="4"/>
      <c r="F356" s="8"/>
      <c r="G356" s="4"/>
      <c r="H356" s="8"/>
      <c r="I356" s="4"/>
    </row>
    <row r="357" spans="1:9" x14ac:dyDescent="0.2">
      <c r="A357" s="1" t="s">
        <v>16</v>
      </c>
      <c r="C357" s="4"/>
      <c r="D357" s="8"/>
      <c r="E357" s="4"/>
      <c r="F357" s="8"/>
      <c r="G357" s="4"/>
      <c r="H357" s="8"/>
      <c r="I357" s="4"/>
    </row>
    <row r="358" spans="1:9" x14ac:dyDescent="0.2">
      <c r="A358" s="2">
        <v>1</v>
      </c>
      <c r="B358" s="1" t="s">
        <v>115</v>
      </c>
      <c r="C358" s="4">
        <v>337</v>
      </c>
      <c r="D358" s="8">
        <v>11.88</v>
      </c>
      <c r="E358" s="4">
        <v>306</v>
      </c>
      <c r="F358" s="8">
        <v>18.84</v>
      </c>
      <c r="G358" s="4">
        <v>31</v>
      </c>
      <c r="H358" s="8">
        <v>2.62</v>
      </c>
      <c r="I358" s="4">
        <v>0</v>
      </c>
    </row>
    <row r="359" spans="1:9" x14ac:dyDescent="0.2">
      <c r="A359" s="2">
        <v>2</v>
      </c>
      <c r="B359" s="1" t="s">
        <v>116</v>
      </c>
      <c r="C359" s="4">
        <v>293</v>
      </c>
      <c r="D359" s="8">
        <v>10.33</v>
      </c>
      <c r="E359" s="4">
        <v>257</v>
      </c>
      <c r="F359" s="8">
        <v>15.83</v>
      </c>
      <c r="G359" s="4">
        <v>36</v>
      </c>
      <c r="H359" s="8">
        <v>3.04</v>
      </c>
      <c r="I359" s="4">
        <v>0</v>
      </c>
    </row>
    <row r="360" spans="1:9" x14ac:dyDescent="0.2">
      <c r="A360" s="2">
        <v>3</v>
      </c>
      <c r="B360" s="1" t="s">
        <v>101</v>
      </c>
      <c r="C360" s="4">
        <v>225</v>
      </c>
      <c r="D360" s="8">
        <v>7.93</v>
      </c>
      <c r="E360" s="4">
        <v>66</v>
      </c>
      <c r="F360" s="8">
        <v>4.0599999999999996</v>
      </c>
      <c r="G360" s="4">
        <v>159</v>
      </c>
      <c r="H360" s="8">
        <v>13.43</v>
      </c>
      <c r="I360" s="4">
        <v>0</v>
      </c>
    </row>
    <row r="361" spans="1:9" x14ac:dyDescent="0.2">
      <c r="A361" s="2">
        <v>4</v>
      </c>
      <c r="B361" s="1" t="s">
        <v>110</v>
      </c>
      <c r="C361" s="4">
        <v>206</v>
      </c>
      <c r="D361" s="8">
        <v>7.26</v>
      </c>
      <c r="E361" s="4">
        <v>99</v>
      </c>
      <c r="F361" s="8">
        <v>6.1</v>
      </c>
      <c r="G361" s="4">
        <v>107</v>
      </c>
      <c r="H361" s="8">
        <v>9.0399999999999991</v>
      </c>
      <c r="I361" s="4">
        <v>0</v>
      </c>
    </row>
    <row r="362" spans="1:9" x14ac:dyDescent="0.2">
      <c r="A362" s="2">
        <v>5</v>
      </c>
      <c r="B362" s="1" t="s">
        <v>102</v>
      </c>
      <c r="C362" s="4">
        <v>167</v>
      </c>
      <c r="D362" s="8">
        <v>5.89</v>
      </c>
      <c r="E362" s="4">
        <v>113</v>
      </c>
      <c r="F362" s="8">
        <v>6.96</v>
      </c>
      <c r="G362" s="4">
        <v>54</v>
      </c>
      <c r="H362" s="8">
        <v>4.5599999999999996</v>
      </c>
      <c r="I362" s="4">
        <v>0</v>
      </c>
    </row>
    <row r="363" spans="1:9" x14ac:dyDescent="0.2">
      <c r="A363" s="2">
        <v>6</v>
      </c>
      <c r="B363" s="1" t="s">
        <v>108</v>
      </c>
      <c r="C363" s="4">
        <v>136</v>
      </c>
      <c r="D363" s="8">
        <v>4.8</v>
      </c>
      <c r="E363" s="4">
        <v>95</v>
      </c>
      <c r="F363" s="8">
        <v>5.85</v>
      </c>
      <c r="G363" s="4">
        <v>41</v>
      </c>
      <c r="H363" s="8">
        <v>3.46</v>
      </c>
      <c r="I363" s="4">
        <v>0</v>
      </c>
    </row>
    <row r="364" spans="1:9" x14ac:dyDescent="0.2">
      <c r="A364" s="2">
        <v>7</v>
      </c>
      <c r="B364" s="1" t="s">
        <v>111</v>
      </c>
      <c r="C364" s="4">
        <v>123</v>
      </c>
      <c r="D364" s="8">
        <v>4.34</v>
      </c>
      <c r="E364" s="4">
        <v>49</v>
      </c>
      <c r="F364" s="8">
        <v>3.02</v>
      </c>
      <c r="G364" s="4">
        <v>74</v>
      </c>
      <c r="H364" s="8">
        <v>6.25</v>
      </c>
      <c r="I364" s="4">
        <v>0</v>
      </c>
    </row>
    <row r="365" spans="1:9" x14ac:dyDescent="0.2">
      <c r="A365" s="2">
        <v>8</v>
      </c>
      <c r="B365" s="1" t="s">
        <v>118</v>
      </c>
      <c r="C365" s="4">
        <v>119</v>
      </c>
      <c r="D365" s="8">
        <v>4.2</v>
      </c>
      <c r="E365" s="4">
        <v>108</v>
      </c>
      <c r="F365" s="8">
        <v>6.65</v>
      </c>
      <c r="G365" s="4">
        <v>11</v>
      </c>
      <c r="H365" s="8">
        <v>0.93</v>
      </c>
      <c r="I365" s="4">
        <v>0</v>
      </c>
    </row>
    <row r="366" spans="1:9" x14ac:dyDescent="0.2">
      <c r="A366" s="2">
        <v>9</v>
      </c>
      <c r="B366" s="1" t="s">
        <v>109</v>
      </c>
      <c r="C366" s="4">
        <v>109</v>
      </c>
      <c r="D366" s="8">
        <v>3.84</v>
      </c>
      <c r="E366" s="4">
        <v>59</v>
      </c>
      <c r="F366" s="8">
        <v>3.63</v>
      </c>
      <c r="G366" s="4">
        <v>50</v>
      </c>
      <c r="H366" s="8">
        <v>4.22</v>
      </c>
      <c r="I366" s="4">
        <v>0</v>
      </c>
    </row>
    <row r="367" spans="1:9" x14ac:dyDescent="0.2">
      <c r="A367" s="2">
        <v>10</v>
      </c>
      <c r="B367" s="1" t="s">
        <v>117</v>
      </c>
      <c r="C367" s="4">
        <v>87</v>
      </c>
      <c r="D367" s="8">
        <v>3.07</v>
      </c>
      <c r="E367" s="4">
        <v>45</v>
      </c>
      <c r="F367" s="8">
        <v>2.77</v>
      </c>
      <c r="G367" s="4">
        <v>28</v>
      </c>
      <c r="H367" s="8">
        <v>2.36</v>
      </c>
      <c r="I367" s="4">
        <v>0</v>
      </c>
    </row>
    <row r="368" spans="1:9" x14ac:dyDescent="0.2">
      <c r="A368" s="2">
        <v>11</v>
      </c>
      <c r="B368" s="1" t="s">
        <v>112</v>
      </c>
      <c r="C368" s="4">
        <v>81</v>
      </c>
      <c r="D368" s="8">
        <v>2.86</v>
      </c>
      <c r="E368" s="4">
        <v>69</v>
      </c>
      <c r="F368" s="8">
        <v>4.25</v>
      </c>
      <c r="G368" s="4">
        <v>12</v>
      </c>
      <c r="H368" s="8">
        <v>1.01</v>
      </c>
      <c r="I368" s="4">
        <v>0</v>
      </c>
    </row>
    <row r="369" spans="1:9" x14ac:dyDescent="0.2">
      <c r="A369" s="2">
        <v>12</v>
      </c>
      <c r="B369" s="1" t="s">
        <v>113</v>
      </c>
      <c r="C369" s="4">
        <v>77</v>
      </c>
      <c r="D369" s="8">
        <v>2.72</v>
      </c>
      <c r="E369" s="4">
        <v>35</v>
      </c>
      <c r="F369" s="8">
        <v>2.16</v>
      </c>
      <c r="G369" s="4">
        <v>41</v>
      </c>
      <c r="H369" s="8">
        <v>3.46</v>
      </c>
      <c r="I369" s="4">
        <v>0</v>
      </c>
    </row>
    <row r="370" spans="1:9" x14ac:dyDescent="0.2">
      <c r="A370" s="2">
        <v>13</v>
      </c>
      <c r="B370" s="1" t="s">
        <v>103</v>
      </c>
      <c r="C370" s="4">
        <v>66</v>
      </c>
      <c r="D370" s="8">
        <v>2.33</v>
      </c>
      <c r="E370" s="4">
        <v>30</v>
      </c>
      <c r="F370" s="8">
        <v>1.85</v>
      </c>
      <c r="G370" s="4">
        <v>36</v>
      </c>
      <c r="H370" s="8">
        <v>3.04</v>
      </c>
      <c r="I370" s="4">
        <v>0</v>
      </c>
    </row>
    <row r="371" spans="1:9" x14ac:dyDescent="0.2">
      <c r="A371" s="2">
        <v>13</v>
      </c>
      <c r="B371" s="1" t="s">
        <v>107</v>
      </c>
      <c r="C371" s="4">
        <v>66</v>
      </c>
      <c r="D371" s="8">
        <v>2.33</v>
      </c>
      <c r="E371" s="4">
        <v>35</v>
      </c>
      <c r="F371" s="8">
        <v>2.16</v>
      </c>
      <c r="G371" s="4">
        <v>31</v>
      </c>
      <c r="H371" s="8">
        <v>2.62</v>
      </c>
      <c r="I371" s="4">
        <v>0</v>
      </c>
    </row>
    <row r="372" spans="1:9" x14ac:dyDescent="0.2">
      <c r="A372" s="2">
        <v>15</v>
      </c>
      <c r="B372" s="1" t="s">
        <v>120</v>
      </c>
      <c r="C372" s="4">
        <v>54</v>
      </c>
      <c r="D372" s="8">
        <v>1.9</v>
      </c>
      <c r="E372" s="4">
        <v>46</v>
      </c>
      <c r="F372" s="8">
        <v>2.83</v>
      </c>
      <c r="G372" s="4">
        <v>8</v>
      </c>
      <c r="H372" s="8">
        <v>0.68</v>
      </c>
      <c r="I372" s="4">
        <v>0</v>
      </c>
    </row>
    <row r="373" spans="1:9" x14ac:dyDescent="0.2">
      <c r="A373" s="2">
        <v>16</v>
      </c>
      <c r="B373" s="1" t="s">
        <v>105</v>
      </c>
      <c r="C373" s="4">
        <v>40</v>
      </c>
      <c r="D373" s="8">
        <v>1.41</v>
      </c>
      <c r="E373" s="4">
        <v>17</v>
      </c>
      <c r="F373" s="8">
        <v>1.05</v>
      </c>
      <c r="G373" s="4">
        <v>23</v>
      </c>
      <c r="H373" s="8">
        <v>1.94</v>
      </c>
      <c r="I373" s="4">
        <v>0</v>
      </c>
    </row>
    <row r="374" spans="1:9" x14ac:dyDescent="0.2">
      <c r="A374" s="2">
        <v>16</v>
      </c>
      <c r="B374" s="1" t="s">
        <v>119</v>
      </c>
      <c r="C374" s="4">
        <v>40</v>
      </c>
      <c r="D374" s="8">
        <v>1.41</v>
      </c>
      <c r="E374" s="4">
        <v>0</v>
      </c>
      <c r="F374" s="8">
        <v>0</v>
      </c>
      <c r="G374" s="4">
        <v>34</v>
      </c>
      <c r="H374" s="8">
        <v>2.87</v>
      </c>
      <c r="I374" s="4">
        <v>0</v>
      </c>
    </row>
    <row r="375" spans="1:9" x14ac:dyDescent="0.2">
      <c r="A375" s="2">
        <v>18</v>
      </c>
      <c r="B375" s="1" t="s">
        <v>127</v>
      </c>
      <c r="C375" s="4">
        <v>31</v>
      </c>
      <c r="D375" s="8">
        <v>1.0900000000000001</v>
      </c>
      <c r="E375" s="4">
        <v>15</v>
      </c>
      <c r="F375" s="8">
        <v>0.92</v>
      </c>
      <c r="G375" s="4">
        <v>16</v>
      </c>
      <c r="H375" s="8">
        <v>1.35</v>
      </c>
      <c r="I375" s="4">
        <v>0</v>
      </c>
    </row>
    <row r="376" spans="1:9" x14ac:dyDescent="0.2">
      <c r="A376" s="2">
        <v>18</v>
      </c>
      <c r="B376" s="1" t="s">
        <v>123</v>
      </c>
      <c r="C376" s="4">
        <v>31</v>
      </c>
      <c r="D376" s="8">
        <v>1.0900000000000001</v>
      </c>
      <c r="E376" s="4">
        <v>5</v>
      </c>
      <c r="F376" s="8">
        <v>0.31</v>
      </c>
      <c r="G376" s="4">
        <v>26</v>
      </c>
      <c r="H376" s="8">
        <v>2.2000000000000002</v>
      </c>
      <c r="I376" s="4">
        <v>0</v>
      </c>
    </row>
    <row r="377" spans="1:9" x14ac:dyDescent="0.2">
      <c r="A377" s="2">
        <v>18</v>
      </c>
      <c r="B377" s="1" t="s">
        <v>131</v>
      </c>
      <c r="C377" s="4">
        <v>31</v>
      </c>
      <c r="D377" s="8">
        <v>1.0900000000000001</v>
      </c>
      <c r="E377" s="4">
        <v>13</v>
      </c>
      <c r="F377" s="8">
        <v>0.8</v>
      </c>
      <c r="G377" s="4">
        <v>17</v>
      </c>
      <c r="H377" s="8">
        <v>1.44</v>
      </c>
      <c r="I377" s="4">
        <v>0</v>
      </c>
    </row>
    <row r="378" spans="1:9" x14ac:dyDescent="0.2">
      <c r="A378" s="1"/>
      <c r="C378" s="4"/>
      <c r="D378" s="8"/>
      <c r="E378" s="4"/>
      <c r="F378" s="8"/>
      <c r="G378" s="4"/>
      <c r="H378" s="8"/>
      <c r="I378" s="4"/>
    </row>
    <row r="379" spans="1:9" x14ac:dyDescent="0.2">
      <c r="A379" s="1" t="s">
        <v>17</v>
      </c>
      <c r="C379" s="4"/>
      <c r="D379" s="8"/>
      <c r="E379" s="4"/>
      <c r="F379" s="8"/>
      <c r="G379" s="4"/>
      <c r="H379" s="8"/>
      <c r="I379" s="4"/>
    </row>
    <row r="380" spans="1:9" x14ac:dyDescent="0.2">
      <c r="A380" s="2">
        <v>1</v>
      </c>
      <c r="B380" s="1" t="s">
        <v>111</v>
      </c>
      <c r="C380" s="4">
        <v>171</v>
      </c>
      <c r="D380" s="8">
        <v>10.45</v>
      </c>
      <c r="E380" s="4">
        <v>143</v>
      </c>
      <c r="F380" s="8">
        <v>15.8</v>
      </c>
      <c r="G380" s="4">
        <v>28</v>
      </c>
      <c r="H380" s="8">
        <v>3.97</v>
      </c>
      <c r="I380" s="4">
        <v>0</v>
      </c>
    </row>
    <row r="381" spans="1:9" x14ac:dyDescent="0.2">
      <c r="A381" s="2">
        <v>2</v>
      </c>
      <c r="B381" s="1" t="s">
        <v>116</v>
      </c>
      <c r="C381" s="4">
        <v>170</v>
      </c>
      <c r="D381" s="8">
        <v>10.38</v>
      </c>
      <c r="E381" s="4">
        <v>153</v>
      </c>
      <c r="F381" s="8">
        <v>16.91</v>
      </c>
      <c r="G381" s="4">
        <v>17</v>
      </c>
      <c r="H381" s="8">
        <v>2.41</v>
      </c>
      <c r="I381" s="4">
        <v>0</v>
      </c>
    </row>
    <row r="382" spans="1:9" x14ac:dyDescent="0.2">
      <c r="A382" s="2">
        <v>3</v>
      </c>
      <c r="B382" s="1" t="s">
        <v>115</v>
      </c>
      <c r="C382" s="4">
        <v>166</v>
      </c>
      <c r="D382" s="8">
        <v>10.14</v>
      </c>
      <c r="E382" s="4">
        <v>144</v>
      </c>
      <c r="F382" s="8">
        <v>15.91</v>
      </c>
      <c r="G382" s="4">
        <v>22</v>
      </c>
      <c r="H382" s="8">
        <v>3.12</v>
      </c>
      <c r="I382" s="4">
        <v>0</v>
      </c>
    </row>
    <row r="383" spans="1:9" x14ac:dyDescent="0.2">
      <c r="A383" s="2">
        <v>4</v>
      </c>
      <c r="B383" s="1" t="s">
        <v>110</v>
      </c>
      <c r="C383" s="4">
        <v>114</v>
      </c>
      <c r="D383" s="8">
        <v>6.96</v>
      </c>
      <c r="E383" s="4">
        <v>56</v>
      </c>
      <c r="F383" s="8">
        <v>6.19</v>
      </c>
      <c r="G383" s="4">
        <v>58</v>
      </c>
      <c r="H383" s="8">
        <v>8.2200000000000006</v>
      </c>
      <c r="I383" s="4">
        <v>0</v>
      </c>
    </row>
    <row r="384" spans="1:9" x14ac:dyDescent="0.2">
      <c r="A384" s="2">
        <v>5</v>
      </c>
      <c r="B384" s="1" t="s">
        <v>101</v>
      </c>
      <c r="C384" s="4">
        <v>102</v>
      </c>
      <c r="D384" s="8">
        <v>6.23</v>
      </c>
      <c r="E384" s="4">
        <v>27</v>
      </c>
      <c r="F384" s="8">
        <v>2.98</v>
      </c>
      <c r="G384" s="4">
        <v>75</v>
      </c>
      <c r="H384" s="8">
        <v>10.62</v>
      </c>
      <c r="I384" s="4">
        <v>0</v>
      </c>
    </row>
    <row r="385" spans="1:9" x14ac:dyDescent="0.2">
      <c r="A385" s="2">
        <v>6</v>
      </c>
      <c r="B385" s="1" t="s">
        <v>102</v>
      </c>
      <c r="C385" s="4">
        <v>86</v>
      </c>
      <c r="D385" s="8">
        <v>5.25</v>
      </c>
      <c r="E385" s="4">
        <v>48</v>
      </c>
      <c r="F385" s="8">
        <v>5.3</v>
      </c>
      <c r="G385" s="4">
        <v>38</v>
      </c>
      <c r="H385" s="8">
        <v>5.38</v>
      </c>
      <c r="I385" s="4">
        <v>0</v>
      </c>
    </row>
    <row r="386" spans="1:9" x14ac:dyDescent="0.2">
      <c r="A386" s="2">
        <v>7</v>
      </c>
      <c r="B386" s="1" t="s">
        <v>108</v>
      </c>
      <c r="C386" s="4">
        <v>60</v>
      </c>
      <c r="D386" s="8">
        <v>3.67</v>
      </c>
      <c r="E386" s="4">
        <v>34</v>
      </c>
      <c r="F386" s="8">
        <v>3.76</v>
      </c>
      <c r="G386" s="4">
        <v>26</v>
      </c>
      <c r="H386" s="8">
        <v>3.68</v>
      </c>
      <c r="I386" s="4">
        <v>0</v>
      </c>
    </row>
    <row r="387" spans="1:9" x14ac:dyDescent="0.2">
      <c r="A387" s="2">
        <v>7</v>
      </c>
      <c r="B387" s="1" t="s">
        <v>117</v>
      </c>
      <c r="C387" s="4">
        <v>60</v>
      </c>
      <c r="D387" s="8">
        <v>3.67</v>
      </c>
      <c r="E387" s="4">
        <v>35</v>
      </c>
      <c r="F387" s="8">
        <v>3.87</v>
      </c>
      <c r="G387" s="4">
        <v>10</v>
      </c>
      <c r="H387" s="8">
        <v>1.42</v>
      </c>
      <c r="I387" s="4">
        <v>0</v>
      </c>
    </row>
    <row r="388" spans="1:9" x14ac:dyDescent="0.2">
      <c r="A388" s="2">
        <v>9</v>
      </c>
      <c r="B388" s="1" t="s">
        <v>103</v>
      </c>
      <c r="C388" s="4">
        <v>52</v>
      </c>
      <c r="D388" s="8">
        <v>3.18</v>
      </c>
      <c r="E388" s="4">
        <v>18</v>
      </c>
      <c r="F388" s="8">
        <v>1.99</v>
      </c>
      <c r="G388" s="4">
        <v>34</v>
      </c>
      <c r="H388" s="8">
        <v>4.82</v>
      </c>
      <c r="I388" s="4">
        <v>0</v>
      </c>
    </row>
    <row r="389" spans="1:9" x14ac:dyDescent="0.2">
      <c r="A389" s="2">
        <v>10</v>
      </c>
      <c r="B389" s="1" t="s">
        <v>109</v>
      </c>
      <c r="C389" s="4">
        <v>43</v>
      </c>
      <c r="D389" s="8">
        <v>2.63</v>
      </c>
      <c r="E389" s="4">
        <v>27</v>
      </c>
      <c r="F389" s="8">
        <v>2.98</v>
      </c>
      <c r="G389" s="4">
        <v>16</v>
      </c>
      <c r="H389" s="8">
        <v>2.27</v>
      </c>
      <c r="I389" s="4">
        <v>0</v>
      </c>
    </row>
    <row r="390" spans="1:9" x14ac:dyDescent="0.2">
      <c r="A390" s="2">
        <v>11</v>
      </c>
      <c r="B390" s="1" t="s">
        <v>112</v>
      </c>
      <c r="C390" s="4">
        <v>42</v>
      </c>
      <c r="D390" s="8">
        <v>2.57</v>
      </c>
      <c r="E390" s="4">
        <v>30</v>
      </c>
      <c r="F390" s="8">
        <v>3.31</v>
      </c>
      <c r="G390" s="4">
        <v>12</v>
      </c>
      <c r="H390" s="8">
        <v>1.7</v>
      </c>
      <c r="I390" s="4">
        <v>0</v>
      </c>
    </row>
    <row r="391" spans="1:9" x14ac:dyDescent="0.2">
      <c r="A391" s="2">
        <v>11</v>
      </c>
      <c r="B391" s="1" t="s">
        <v>118</v>
      </c>
      <c r="C391" s="4">
        <v>42</v>
      </c>
      <c r="D391" s="8">
        <v>2.57</v>
      </c>
      <c r="E391" s="4">
        <v>42</v>
      </c>
      <c r="F391" s="8">
        <v>4.6399999999999997</v>
      </c>
      <c r="G391" s="4">
        <v>0</v>
      </c>
      <c r="H391" s="8">
        <v>0</v>
      </c>
      <c r="I391" s="4">
        <v>0</v>
      </c>
    </row>
    <row r="392" spans="1:9" x14ac:dyDescent="0.2">
      <c r="A392" s="2">
        <v>13</v>
      </c>
      <c r="B392" s="1" t="s">
        <v>105</v>
      </c>
      <c r="C392" s="4">
        <v>41</v>
      </c>
      <c r="D392" s="8">
        <v>2.5</v>
      </c>
      <c r="E392" s="4">
        <v>15</v>
      </c>
      <c r="F392" s="8">
        <v>1.66</v>
      </c>
      <c r="G392" s="4">
        <v>26</v>
      </c>
      <c r="H392" s="8">
        <v>3.68</v>
      </c>
      <c r="I392" s="4">
        <v>0</v>
      </c>
    </row>
    <row r="393" spans="1:9" x14ac:dyDescent="0.2">
      <c r="A393" s="2">
        <v>14</v>
      </c>
      <c r="B393" s="1" t="s">
        <v>104</v>
      </c>
      <c r="C393" s="4">
        <v>31</v>
      </c>
      <c r="D393" s="8">
        <v>1.89</v>
      </c>
      <c r="E393" s="4">
        <v>10</v>
      </c>
      <c r="F393" s="8">
        <v>1.1000000000000001</v>
      </c>
      <c r="G393" s="4">
        <v>21</v>
      </c>
      <c r="H393" s="8">
        <v>2.97</v>
      </c>
      <c r="I393" s="4">
        <v>0</v>
      </c>
    </row>
    <row r="394" spans="1:9" x14ac:dyDescent="0.2">
      <c r="A394" s="2">
        <v>15</v>
      </c>
      <c r="B394" s="1" t="s">
        <v>113</v>
      </c>
      <c r="C394" s="4">
        <v>30</v>
      </c>
      <c r="D394" s="8">
        <v>1.83</v>
      </c>
      <c r="E394" s="4">
        <v>18</v>
      </c>
      <c r="F394" s="8">
        <v>1.99</v>
      </c>
      <c r="G394" s="4">
        <v>12</v>
      </c>
      <c r="H394" s="8">
        <v>1.7</v>
      </c>
      <c r="I394" s="4">
        <v>0</v>
      </c>
    </row>
    <row r="395" spans="1:9" x14ac:dyDescent="0.2">
      <c r="A395" s="2">
        <v>16</v>
      </c>
      <c r="B395" s="1" t="s">
        <v>125</v>
      </c>
      <c r="C395" s="4">
        <v>28</v>
      </c>
      <c r="D395" s="8">
        <v>1.71</v>
      </c>
      <c r="E395" s="4">
        <v>3</v>
      </c>
      <c r="F395" s="8">
        <v>0.33</v>
      </c>
      <c r="G395" s="4">
        <v>25</v>
      </c>
      <c r="H395" s="8">
        <v>3.54</v>
      </c>
      <c r="I395" s="4">
        <v>0</v>
      </c>
    </row>
    <row r="396" spans="1:9" x14ac:dyDescent="0.2">
      <c r="A396" s="2">
        <v>16</v>
      </c>
      <c r="B396" s="1" t="s">
        <v>119</v>
      </c>
      <c r="C396" s="4">
        <v>28</v>
      </c>
      <c r="D396" s="8">
        <v>1.71</v>
      </c>
      <c r="E396" s="4">
        <v>0</v>
      </c>
      <c r="F396" s="8">
        <v>0</v>
      </c>
      <c r="G396" s="4">
        <v>24</v>
      </c>
      <c r="H396" s="8">
        <v>3.4</v>
      </c>
      <c r="I396" s="4">
        <v>1</v>
      </c>
    </row>
    <row r="397" spans="1:9" x14ac:dyDescent="0.2">
      <c r="A397" s="2">
        <v>18</v>
      </c>
      <c r="B397" s="1" t="s">
        <v>107</v>
      </c>
      <c r="C397" s="4">
        <v>27</v>
      </c>
      <c r="D397" s="8">
        <v>1.65</v>
      </c>
      <c r="E397" s="4">
        <v>10</v>
      </c>
      <c r="F397" s="8">
        <v>1.1000000000000001</v>
      </c>
      <c r="G397" s="4">
        <v>17</v>
      </c>
      <c r="H397" s="8">
        <v>2.41</v>
      </c>
      <c r="I397" s="4">
        <v>0</v>
      </c>
    </row>
    <row r="398" spans="1:9" x14ac:dyDescent="0.2">
      <c r="A398" s="2">
        <v>19</v>
      </c>
      <c r="B398" s="1" t="s">
        <v>127</v>
      </c>
      <c r="C398" s="4">
        <v>24</v>
      </c>
      <c r="D398" s="8">
        <v>1.47</v>
      </c>
      <c r="E398" s="4">
        <v>2</v>
      </c>
      <c r="F398" s="8">
        <v>0.22</v>
      </c>
      <c r="G398" s="4">
        <v>22</v>
      </c>
      <c r="H398" s="8">
        <v>3.12</v>
      </c>
      <c r="I398" s="4">
        <v>0</v>
      </c>
    </row>
    <row r="399" spans="1:9" x14ac:dyDescent="0.2">
      <c r="A399" s="2">
        <v>20</v>
      </c>
      <c r="B399" s="1" t="s">
        <v>120</v>
      </c>
      <c r="C399" s="4">
        <v>21</v>
      </c>
      <c r="D399" s="8">
        <v>1.28</v>
      </c>
      <c r="E399" s="4">
        <v>16</v>
      </c>
      <c r="F399" s="8">
        <v>1.77</v>
      </c>
      <c r="G399" s="4">
        <v>5</v>
      </c>
      <c r="H399" s="8">
        <v>0.71</v>
      </c>
      <c r="I399" s="4">
        <v>0</v>
      </c>
    </row>
    <row r="400" spans="1:9" x14ac:dyDescent="0.2">
      <c r="A400" s="1"/>
      <c r="C400" s="4"/>
      <c r="D400" s="8"/>
      <c r="E400" s="4"/>
      <c r="F400" s="8"/>
      <c r="G400" s="4"/>
      <c r="H400" s="8"/>
      <c r="I400" s="4"/>
    </row>
    <row r="401" spans="1:9" x14ac:dyDescent="0.2">
      <c r="A401" s="1" t="s">
        <v>18</v>
      </c>
      <c r="C401" s="4"/>
      <c r="D401" s="8"/>
      <c r="E401" s="4"/>
      <c r="F401" s="8"/>
      <c r="G401" s="4"/>
      <c r="H401" s="8"/>
      <c r="I401" s="4"/>
    </row>
    <row r="402" spans="1:9" x14ac:dyDescent="0.2">
      <c r="A402" s="2">
        <v>1</v>
      </c>
      <c r="B402" s="1" t="s">
        <v>101</v>
      </c>
      <c r="C402" s="4">
        <v>80</v>
      </c>
      <c r="D402" s="8">
        <v>10.11</v>
      </c>
      <c r="E402" s="4">
        <v>35</v>
      </c>
      <c r="F402" s="8">
        <v>8.06</v>
      </c>
      <c r="G402" s="4">
        <v>45</v>
      </c>
      <c r="H402" s="8">
        <v>13.64</v>
      </c>
      <c r="I402" s="4">
        <v>0</v>
      </c>
    </row>
    <row r="403" spans="1:9" x14ac:dyDescent="0.2">
      <c r="A403" s="2">
        <v>2</v>
      </c>
      <c r="B403" s="1" t="s">
        <v>115</v>
      </c>
      <c r="C403" s="4">
        <v>73</v>
      </c>
      <c r="D403" s="8">
        <v>9.23</v>
      </c>
      <c r="E403" s="4">
        <v>69</v>
      </c>
      <c r="F403" s="8">
        <v>15.9</v>
      </c>
      <c r="G403" s="4">
        <v>4</v>
      </c>
      <c r="H403" s="8">
        <v>1.21</v>
      </c>
      <c r="I403" s="4">
        <v>0</v>
      </c>
    </row>
    <row r="404" spans="1:9" x14ac:dyDescent="0.2">
      <c r="A404" s="2">
        <v>3</v>
      </c>
      <c r="B404" s="1" t="s">
        <v>116</v>
      </c>
      <c r="C404" s="4">
        <v>69</v>
      </c>
      <c r="D404" s="8">
        <v>8.7200000000000006</v>
      </c>
      <c r="E404" s="4">
        <v>62</v>
      </c>
      <c r="F404" s="8">
        <v>14.29</v>
      </c>
      <c r="G404" s="4">
        <v>6</v>
      </c>
      <c r="H404" s="8">
        <v>1.82</v>
      </c>
      <c r="I404" s="4">
        <v>0</v>
      </c>
    </row>
    <row r="405" spans="1:9" x14ac:dyDescent="0.2">
      <c r="A405" s="2">
        <v>4</v>
      </c>
      <c r="B405" s="1" t="s">
        <v>102</v>
      </c>
      <c r="C405" s="4">
        <v>48</v>
      </c>
      <c r="D405" s="8">
        <v>6.07</v>
      </c>
      <c r="E405" s="4">
        <v>35</v>
      </c>
      <c r="F405" s="8">
        <v>8.06</v>
      </c>
      <c r="G405" s="4">
        <v>13</v>
      </c>
      <c r="H405" s="8">
        <v>3.94</v>
      </c>
      <c r="I405" s="4">
        <v>0</v>
      </c>
    </row>
    <row r="406" spans="1:9" x14ac:dyDescent="0.2">
      <c r="A406" s="2">
        <v>5</v>
      </c>
      <c r="B406" s="1" t="s">
        <v>110</v>
      </c>
      <c r="C406" s="4">
        <v>46</v>
      </c>
      <c r="D406" s="8">
        <v>5.82</v>
      </c>
      <c r="E406" s="4">
        <v>26</v>
      </c>
      <c r="F406" s="8">
        <v>5.99</v>
      </c>
      <c r="G406" s="4">
        <v>20</v>
      </c>
      <c r="H406" s="8">
        <v>6.06</v>
      </c>
      <c r="I406" s="4">
        <v>0</v>
      </c>
    </row>
    <row r="407" spans="1:9" x14ac:dyDescent="0.2">
      <c r="A407" s="2">
        <v>6</v>
      </c>
      <c r="B407" s="1" t="s">
        <v>103</v>
      </c>
      <c r="C407" s="4">
        <v>37</v>
      </c>
      <c r="D407" s="8">
        <v>4.68</v>
      </c>
      <c r="E407" s="4">
        <v>16</v>
      </c>
      <c r="F407" s="8">
        <v>3.69</v>
      </c>
      <c r="G407" s="4">
        <v>21</v>
      </c>
      <c r="H407" s="8">
        <v>6.36</v>
      </c>
      <c r="I407" s="4">
        <v>0</v>
      </c>
    </row>
    <row r="408" spans="1:9" x14ac:dyDescent="0.2">
      <c r="A408" s="2">
        <v>7</v>
      </c>
      <c r="B408" s="1" t="s">
        <v>109</v>
      </c>
      <c r="C408" s="4">
        <v>36</v>
      </c>
      <c r="D408" s="8">
        <v>4.55</v>
      </c>
      <c r="E408" s="4">
        <v>20</v>
      </c>
      <c r="F408" s="8">
        <v>4.6100000000000003</v>
      </c>
      <c r="G408" s="4">
        <v>16</v>
      </c>
      <c r="H408" s="8">
        <v>4.8499999999999996</v>
      </c>
      <c r="I408" s="4">
        <v>0</v>
      </c>
    </row>
    <row r="409" spans="1:9" x14ac:dyDescent="0.2">
      <c r="A409" s="2">
        <v>8</v>
      </c>
      <c r="B409" s="1" t="s">
        <v>108</v>
      </c>
      <c r="C409" s="4">
        <v>34</v>
      </c>
      <c r="D409" s="8">
        <v>4.3</v>
      </c>
      <c r="E409" s="4">
        <v>22</v>
      </c>
      <c r="F409" s="8">
        <v>5.07</v>
      </c>
      <c r="G409" s="4">
        <v>10</v>
      </c>
      <c r="H409" s="8">
        <v>3.03</v>
      </c>
      <c r="I409" s="4">
        <v>0</v>
      </c>
    </row>
    <row r="410" spans="1:9" x14ac:dyDescent="0.2">
      <c r="A410" s="2">
        <v>9</v>
      </c>
      <c r="B410" s="1" t="s">
        <v>111</v>
      </c>
      <c r="C410" s="4">
        <v>26</v>
      </c>
      <c r="D410" s="8">
        <v>3.29</v>
      </c>
      <c r="E410" s="4">
        <v>14</v>
      </c>
      <c r="F410" s="8">
        <v>3.23</v>
      </c>
      <c r="G410" s="4">
        <v>12</v>
      </c>
      <c r="H410" s="8">
        <v>3.64</v>
      </c>
      <c r="I410" s="4">
        <v>0</v>
      </c>
    </row>
    <row r="411" spans="1:9" x14ac:dyDescent="0.2">
      <c r="A411" s="2">
        <v>9</v>
      </c>
      <c r="B411" s="1" t="s">
        <v>117</v>
      </c>
      <c r="C411" s="4">
        <v>26</v>
      </c>
      <c r="D411" s="8">
        <v>3.29</v>
      </c>
      <c r="E411" s="4">
        <v>11</v>
      </c>
      <c r="F411" s="8">
        <v>2.5299999999999998</v>
      </c>
      <c r="G411" s="4">
        <v>6</v>
      </c>
      <c r="H411" s="8">
        <v>1.82</v>
      </c>
      <c r="I411" s="4">
        <v>0</v>
      </c>
    </row>
    <row r="412" spans="1:9" x14ac:dyDescent="0.2">
      <c r="A412" s="2">
        <v>11</v>
      </c>
      <c r="B412" s="1" t="s">
        <v>118</v>
      </c>
      <c r="C412" s="4">
        <v>20</v>
      </c>
      <c r="D412" s="8">
        <v>2.5299999999999998</v>
      </c>
      <c r="E412" s="4">
        <v>18</v>
      </c>
      <c r="F412" s="8">
        <v>4.1500000000000004</v>
      </c>
      <c r="G412" s="4">
        <v>2</v>
      </c>
      <c r="H412" s="8">
        <v>0.61</v>
      </c>
      <c r="I412" s="4">
        <v>0</v>
      </c>
    </row>
    <row r="413" spans="1:9" x14ac:dyDescent="0.2">
      <c r="A413" s="2">
        <v>12</v>
      </c>
      <c r="B413" s="1" t="s">
        <v>104</v>
      </c>
      <c r="C413" s="4">
        <v>18</v>
      </c>
      <c r="D413" s="8">
        <v>2.2799999999999998</v>
      </c>
      <c r="E413" s="4">
        <v>12</v>
      </c>
      <c r="F413" s="8">
        <v>2.76</v>
      </c>
      <c r="G413" s="4">
        <v>6</v>
      </c>
      <c r="H413" s="8">
        <v>1.82</v>
      </c>
      <c r="I413" s="4">
        <v>0</v>
      </c>
    </row>
    <row r="414" spans="1:9" x14ac:dyDescent="0.2">
      <c r="A414" s="2">
        <v>13</v>
      </c>
      <c r="B414" s="1" t="s">
        <v>121</v>
      </c>
      <c r="C414" s="4">
        <v>17</v>
      </c>
      <c r="D414" s="8">
        <v>2.15</v>
      </c>
      <c r="E414" s="4">
        <v>2</v>
      </c>
      <c r="F414" s="8">
        <v>0.46</v>
      </c>
      <c r="G414" s="4">
        <v>15</v>
      </c>
      <c r="H414" s="8">
        <v>4.55</v>
      </c>
      <c r="I414" s="4">
        <v>0</v>
      </c>
    </row>
    <row r="415" spans="1:9" x14ac:dyDescent="0.2">
      <c r="A415" s="2">
        <v>14</v>
      </c>
      <c r="B415" s="1" t="s">
        <v>105</v>
      </c>
      <c r="C415" s="4">
        <v>14</v>
      </c>
      <c r="D415" s="8">
        <v>1.77</v>
      </c>
      <c r="E415" s="4">
        <v>2</v>
      </c>
      <c r="F415" s="8">
        <v>0.46</v>
      </c>
      <c r="G415" s="4">
        <v>12</v>
      </c>
      <c r="H415" s="8">
        <v>3.64</v>
      </c>
      <c r="I415" s="4">
        <v>0</v>
      </c>
    </row>
    <row r="416" spans="1:9" x14ac:dyDescent="0.2">
      <c r="A416" s="2">
        <v>14</v>
      </c>
      <c r="B416" s="1" t="s">
        <v>113</v>
      </c>
      <c r="C416" s="4">
        <v>14</v>
      </c>
      <c r="D416" s="8">
        <v>1.77</v>
      </c>
      <c r="E416" s="4">
        <v>8</v>
      </c>
      <c r="F416" s="8">
        <v>1.84</v>
      </c>
      <c r="G416" s="4">
        <v>6</v>
      </c>
      <c r="H416" s="8">
        <v>1.82</v>
      </c>
      <c r="I416" s="4">
        <v>0</v>
      </c>
    </row>
    <row r="417" spans="1:9" x14ac:dyDescent="0.2">
      <c r="A417" s="2">
        <v>14</v>
      </c>
      <c r="B417" s="1" t="s">
        <v>119</v>
      </c>
      <c r="C417" s="4">
        <v>14</v>
      </c>
      <c r="D417" s="8">
        <v>1.77</v>
      </c>
      <c r="E417" s="4">
        <v>0</v>
      </c>
      <c r="F417" s="8">
        <v>0</v>
      </c>
      <c r="G417" s="4">
        <v>4</v>
      </c>
      <c r="H417" s="8">
        <v>1.21</v>
      </c>
      <c r="I417" s="4">
        <v>1</v>
      </c>
    </row>
    <row r="418" spans="1:9" x14ac:dyDescent="0.2">
      <c r="A418" s="2">
        <v>17</v>
      </c>
      <c r="B418" s="1" t="s">
        <v>114</v>
      </c>
      <c r="C418" s="4">
        <v>13</v>
      </c>
      <c r="D418" s="8">
        <v>1.64</v>
      </c>
      <c r="E418" s="4">
        <v>7</v>
      </c>
      <c r="F418" s="8">
        <v>1.61</v>
      </c>
      <c r="G418" s="4">
        <v>5</v>
      </c>
      <c r="H418" s="8">
        <v>1.52</v>
      </c>
      <c r="I418" s="4">
        <v>0</v>
      </c>
    </row>
    <row r="419" spans="1:9" x14ac:dyDescent="0.2">
      <c r="A419" s="2">
        <v>18</v>
      </c>
      <c r="B419" s="1" t="s">
        <v>112</v>
      </c>
      <c r="C419" s="4">
        <v>12</v>
      </c>
      <c r="D419" s="8">
        <v>1.52</v>
      </c>
      <c r="E419" s="4">
        <v>8</v>
      </c>
      <c r="F419" s="8">
        <v>1.84</v>
      </c>
      <c r="G419" s="4">
        <v>4</v>
      </c>
      <c r="H419" s="8">
        <v>1.21</v>
      </c>
      <c r="I419" s="4">
        <v>0</v>
      </c>
    </row>
    <row r="420" spans="1:9" x14ac:dyDescent="0.2">
      <c r="A420" s="2">
        <v>19</v>
      </c>
      <c r="B420" s="1" t="s">
        <v>136</v>
      </c>
      <c r="C420" s="4">
        <v>10</v>
      </c>
      <c r="D420" s="8">
        <v>1.26</v>
      </c>
      <c r="E420" s="4">
        <v>4</v>
      </c>
      <c r="F420" s="8">
        <v>0.92</v>
      </c>
      <c r="G420" s="4">
        <v>6</v>
      </c>
      <c r="H420" s="8">
        <v>1.82</v>
      </c>
      <c r="I420" s="4">
        <v>0</v>
      </c>
    </row>
    <row r="421" spans="1:9" x14ac:dyDescent="0.2">
      <c r="A421" s="2">
        <v>19</v>
      </c>
      <c r="B421" s="1" t="s">
        <v>135</v>
      </c>
      <c r="C421" s="4">
        <v>10</v>
      </c>
      <c r="D421" s="8">
        <v>1.26</v>
      </c>
      <c r="E421" s="4">
        <v>3</v>
      </c>
      <c r="F421" s="8">
        <v>0.69</v>
      </c>
      <c r="G421" s="4">
        <v>7</v>
      </c>
      <c r="H421" s="8">
        <v>2.12</v>
      </c>
      <c r="I421" s="4">
        <v>0</v>
      </c>
    </row>
    <row r="422" spans="1:9" x14ac:dyDescent="0.2">
      <c r="A422" s="1"/>
      <c r="C422" s="4"/>
      <c r="D422" s="8"/>
      <c r="E422" s="4"/>
      <c r="F422" s="8"/>
      <c r="G422" s="4"/>
      <c r="H422" s="8"/>
      <c r="I422" s="4"/>
    </row>
    <row r="423" spans="1:9" x14ac:dyDescent="0.2">
      <c r="A423" s="1" t="s">
        <v>19</v>
      </c>
      <c r="C423" s="4"/>
      <c r="D423" s="8"/>
      <c r="E423" s="4"/>
      <c r="F423" s="8"/>
      <c r="G423" s="4"/>
      <c r="H423" s="8"/>
      <c r="I423" s="4"/>
    </row>
    <row r="424" spans="1:9" x14ac:dyDescent="0.2">
      <c r="A424" s="2">
        <v>1</v>
      </c>
      <c r="B424" s="1" t="s">
        <v>115</v>
      </c>
      <c r="C424" s="4">
        <v>244</v>
      </c>
      <c r="D424" s="8">
        <v>11.15</v>
      </c>
      <c r="E424" s="4">
        <v>216</v>
      </c>
      <c r="F424" s="8">
        <v>18.649999999999999</v>
      </c>
      <c r="G424" s="4">
        <v>28</v>
      </c>
      <c r="H424" s="8">
        <v>2.75</v>
      </c>
      <c r="I424" s="4">
        <v>0</v>
      </c>
    </row>
    <row r="425" spans="1:9" x14ac:dyDescent="0.2">
      <c r="A425" s="2">
        <v>2</v>
      </c>
      <c r="B425" s="1" t="s">
        <v>116</v>
      </c>
      <c r="C425" s="4">
        <v>221</v>
      </c>
      <c r="D425" s="8">
        <v>10.1</v>
      </c>
      <c r="E425" s="4">
        <v>183</v>
      </c>
      <c r="F425" s="8">
        <v>15.8</v>
      </c>
      <c r="G425" s="4">
        <v>37</v>
      </c>
      <c r="H425" s="8">
        <v>3.63</v>
      </c>
      <c r="I425" s="4">
        <v>0</v>
      </c>
    </row>
    <row r="426" spans="1:9" x14ac:dyDescent="0.2">
      <c r="A426" s="2">
        <v>3</v>
      </c>
      <c r="B426" s="1" t="s">
        <v>101</v>
      </c>
      <c r="C426" s="4">
        <v>175</v>
      </c>
      <c r="D426" s="8">
        <v>8</v>
      </c>
      <c r="E426" s="4">
        <v>44</v>
      </c>
      <c r="F426" s="8">
        <v>3.8</v>
      </c>
      <c r="G426" s="4">
        <v>131</v>
      </c>
      <c r="H426" s="8">
        <v>12.87</v>
      </c>
      <c r="I426" s="4">
        <v>0</v>
      </c>
    </row>
    <row r="427" spans="1:9" x14ac:dyDescent="0.2">
      <c r="A427" s="2">
        <v>4</v>
      </c>
      <c r="B427" s="1" t="s">
        <v>111</v>
      </c>
      <c r="C427" s="4">
        <v>148</v>
      </c>
      <c r="D427" s="8">
        <v>6.76</v>
      </c>
      <c r="E427" s="4">
        <v>97</v>
      </c>
      <c r="F427" s="8">
        <v>8.3800000000000008</v>
      </c>
      <c r="G427" s="4">
        <v>51</v>
      </c>
      <c r="H427" s="8">
        <v>5.01</v>
      </c>
      <c r="I427" s="4">
        <v>0</v>
      </c>
    </row>
    <row r="428" spans="1:9" x14ac:dyDescent="0.2">
      <c r="A428" s="2">
        <v>5</v>
      </c>
      <c r="B428" s="1" t="s">
        <v>110</v>
      </c>
      <c r="C428" s="4">
        <v>140</v>
      </c>
      <c r="D428" s="8">
        <v>6.4</v>
      </c>
      <c r="E428" s="4">
        <v>63</v>
      </c>
      <c r="F428" s="8">
        <v>5.44</v>
      </c>
      <c r="G428" s="4">
        <v>77</v>
      </c>
      <c r="H428" s="8">
        <v>7.56</v>
      </c>
      <c r="I428" s="4">
        <v>0</v>
      </c>
    </row>
    <row r="429" spans="1:9" x14ac:dyDescent="0.2">
      <c r="A429" s="2">
        <v>6</v>
      </c>
      <c r="B429" s="1" t="s">
        <v>102</v>
      </c>
      <c r="C429" s="4">
        <v>120</v>
      </c>
      <c r="D429" s="8">
        <v>5.48</v>
      </c>
      <c r="E429" s="4">
        <v>61</v>
      </c>
      <c r="F429" s="8">
        <v>5.27</v>
      </c>
      <c r="G429" s="4">
        <v>59</v>
      </c>
      <c r="H429" s="8">
        <v>5.8</v>
      </c>
      <c r="I429" s="4">
        <v>0</v>
      </c>
    </row>
    <row r="430" spans="1:9" x14ac:dyDescent="0.2">
      <c r="A430" s="2">
        <v>7</v>
      </c>
      <c r="B430" s="1" t="s">
        <v>117</v>
      </c>
      <c r="C430" s="4">
        <v>116</v>
      </c>
      <c r="D430" s="8">
        <v>5.3</v>
      </c>
      <c r="E430" s="4">
        <v>75</v>
      </c>
      <c r="F430" s="8">
        <v>6.48</v>
      </c>
      <c r="G430" s="4">
        <v>34</v>
      </c>
      <c r="H430" s="8">
        <v>3.34</v>
      </c>
      <c r="I430" s="4">
        <v>0</v>
      </c>
    </row>
    <row r="431" spans="1:9" x14ac:dyDescent="0.2">
      <c r="A431" s="2">
        <v>8</v>
      </c>
      <c r="B431" s="1" t="s">
        <v>108</v>
      </c>
      <c r="C431" s="4">
        <v>114</v>
      </c>
      <c r="D431" s="8">
        <v>5.21</v>
      </c>
      <c r="E431" s="4">
        <v>71</v>
      </c>
      <c r="F431" s="8">
        <v>6.13</v>
      </c>
      <c r="G431" s="4">
        <v>42</v>
      </c>
      <c r="H431" s="8">
        <v>4.13</v>
      </c>
      <c r="I431" s="4">
        <v>1</v>
      </c>
    </row>
    <row r="432" spans="1:9" x14ac:dyDescent="0.2">
      <c r="A432" s="2">
        <v>9</v>
      </c>
      <c r="B432" s="1" t="s">
        <v>103</v>
      </c>
      <c r="C432" s="4">
        <v>90</v>
      </c>
      <c r="D432" s="8">
        <v>4.1100000000000003</v>
      </c>
      <c r="E432" s="4">
        <v>21</v>
      </c>
      <c r="F432" s="8">
        <v>1.81</v>
      </c>
      <c r="G432" s="4">
        <v>69</v>
      </c>
      <c r="H432" s="8">
        <v>6.78</v>
      </c>
      <c r="I432" s="4">
        <v>0</v>
      </c>
    </row>
    <row r="433" spans="1:9" x14ac:dyDescent="0.2">
      <c r="A433" s="2">
        <v>10</v>
      </c>
      <c r="B433" s="1" t="s">
        <v>118</v>
      </c>
      <c r="C433" s="4">
        <v>80</v>
      </c>
      <c r="D433" s="8">
        <v>3.66</v>
      </c>
      <c r="E433" s="4">
        <v>73</v>
      </c>
      <c r="F433" s="8">
        <v>6.3</v>
      </c>
      <c r="G433" s="4">
        <v>7</v>
      </c>
      <c r="H433" s="8">
        <v>0.69</v>
      </c>
      <c r="I433" s="4">
        <v>0</v>
      </c>
    </row>
    <row r="434" spans="1:9" x14ac:dyDescent="0.2">
      <c r="A434" s="2">
        <v>11</v>
      </c>
      <c r="B434" s="1" t="s">
        <v>109</v>
      </c>
      <c r="C434" s="4">
        <v>74</v>
      </c>
      <c r="D434" s="8">
        <v>3.38</v>
      </c>
      <c r="E434" s="4">
        <v>39</v>
      </c>
      <c r="F434" s="8">
        <v>3.37</v>
      </c>
      <c r="G434" s="4">
        <v>35</v>
      </c>
      <c r="H434" s="8">
        <v>3.44</v>
      </c>
      <c r="I434" s="4">
        <v>0</v>
      </c>
    </row>
    <row r="435" spans="1:9" x14ac:dyDescent="0.2">
      <c r="A435" s="2">
        <v>12</v>
      </c>
      <c r="B435" s="1" t="s">
        <v>113</v>
      </c>
      <c r="C435" s="4">
        <v>44</v>
      </c>
      <c r="D435" s="8">
        <v>2.0099999999999998</v>
      </c>
      <c r="E435" s="4">
        <v>16</v>
      </c>
      <c r="F435" s="8">
        <v>1.38</v>
      </c>
      <c r="G435" s="4">
        <v>28</v>
      </c>
      <c r="H435" s="8">
        <v>2.75</v>
      </c>
      <c r="I435" s="4">
        <v>0</v>
      </c>
    </row>
    <row r="436" spans="1:9" x14ac:dyDescent="0.2">
      <c r="A436" s="2">
        <v>13</v>
      </c>
      <c r="B436" s="1" t="s">
        <v>107</v>
      </c>
      <c r="C436" s="4">
        <v>42</v>
      </c>
      <c r="D436" s="8">
        <v>1.92</v>
      </c>
      <c r="E436" s="4">
        <v>26</v>
      </c>
      <c r="F436" s="8">
        <v>2.25</v>
      </c>
      <c r="G436" s="4">
        <v>16</v>
      </c>
      <c r="H436" s="8">
        <v>1.57</v>
      </c>
      <c r="I436" s="4">
        <v>0</v>
      </c>
    </row>
    <row r="437" spans="1:9" x14ac:dyDescent="0.2">
      <c r="A437" s="2">
        <v>14</v>
      </c>
      <c r="B437" s="1" t="s">
        <v>112</v>
      </c>
      <c r="C437" s="4">
        <v>37</v>
      </c>
      <c r="D437" s="8">
        <v>1.69</v>
      </c>
      <c r="E437" s="4">
        <v>23</v>
      </c>
      <c r="F437" s="8">
        <v>1.99</v>
      </c>
      <c r="G437" s="4">
        <v>14</v>
      </c>
      <c r="H437" s="8">
        <v>1.38</v>
      </c>
      <c r="I437" s="4">
        <v>0</v>
      </c>
    </row>
    <row r="438" spans="1:9" x14ac:dyDescent="0.2">
      <c r="A438" s="2">
        <v>15</v>
      </c>
      <c r="B438" s="1" t="s">
        <v>114</v>
      </c>
      <c r="C438" s="4">
        <v>35</v>
      </c>
      <c r="D438" s="8">
        <v>1.6</v>
      </c>
      <c r="E438" s="4">
        <v>25</v>
      </c>
      <c r="F438" s="8">
        <v>2.16</v>
      </c>
      <c r="G438" s="4">
        <v>10</v>
      </c>
      <c r="H438" s="8">
        <v>0.98</v>
      </c>
      <c r="I438" s="4">
        <v>0</v>
      </c>
    </row>
    <row r="439" spans="1:9" x14ac:dyDescent="0.2">
      <c r="A439" s="2">
        <v>15</v>
      </c>
      <c r="B439" s="1" t="s">
        <v>119</v>
      </c>
      <c r="C439" s="4">
        <v>35</v>
      </c>
      <c r="D439" s="8">
        <v>1.6</v>
      </c>
      <c r="E439" s="4">
        <v>0</v>
      </c>
      <c r="F439" s="8">
        <v>0</v>
      </c>
      <c r="G439" s="4">
        <v>35</v>
      </c>
      <c r="H439" s="8">
        <v>3.44</v>
      </c>
      <c r="I439" s="4">
        <v>0</v>
      </c>
    </row>
    <row r="440" spans="1:9" x14ac:dyDescent="0.2">
      <c r="A440" s="2">
        <v>17</v>
      </c>
      <c r="B440" s="1" t="s">
        <v>127</v>
      </c>
      <c r="C440" s="4">
        <v>30</v>
      </c>
      <c r="D440" s="8">
        <v>1.37</v>
      </c>
      <c r="E440" s="4">
        <v>4</v>
      </c>
      <c r="F440" s="8">
        <v>0.35</v>
      </c>
      <c r="G440" s="4">
        <v>26</v>
      </c>
      <c r="H440" s="8">
        <v>2.5499999999999998</v>
      </c>
      <c r="I440" s="4">
        <v>0</v>
      </c>
    </row>
    <row r="441" spans="1:9" x14ac:dyDescent="0.2">
      <c r="A441" s="2">
        <v>18</v>
      </c>
      <c r="B441" s="1" t="s">
        <v>131</v>
      </c>
      <c r="C441" s="4">
        <v>27</v>
      </c>
      <c r="D441" s="8">
        <v>1.23</v>
      </c>
      <c r="E441" s="4">
        <v>10</v>
      </c>
      <c r="F441" s="8">
        <v>0.86</v>
      </c>
      <c r="G441" s="4">
        <v>16</v>
      </c>
      <c r="H441" s="8">
        <v>1.57</v>
      </c>
      <c r="I441" s="4">
        <v>0</v>
      </c>
    </row>
    <row r="442" spans="1:9" x14ac:dyDescent="0.2">
      <c r="A442" s="2">
        <v>18</v>
      </c>
      <c r="B442" s="1" t="s">
        <v>120</v>
      </c>
      <c r="C442" s="4">
        <v>27</v>
      </c>
      <c r="D442" s="8">
        <v>1.23</v>
      </c>
      <c r="E442" s="4">
        <v>19</v>
      </c>
      <c r="F442" s="8">
        <v>1.64</v>
      </c>
      <c r="G442" s="4">
        <v>8</v>
      </c>
      <c r="H442" s="8">
        <v>0.79</v>
      </c>
      <c r="I442" s="4">
        <v>0</v>
      </c>
    </row>
    <row r="443" spans="1:9" x14ac:dyDescent="0.2">
      <c r="A443" s="2">
        <v>20</v>
      </c>
      <c r="B443" s="1" t="s">
        <v>104</v>
      </c>
      <c r="C443" s="4">
        <v>24</v>
      </c>
      <c r="D443" s="8">
        <v>1.1000000000000001</v>
      </c>
      <c r="E443" s="4">
        <v>6</v>
      </c>
      <c r="F443" s="8">
        <v>0.52</v>
      </c>
      <c r="G443" s="4">
        <v>18</v>
      </c>
      <c r="H443" s="8">
        <v>1.77</v>
      </c>
      <c r="I443" s="4">
        <v>0</v>
      </c>
    </row>
    <row r="444" spans="1:9" x14ac:dyDescent="0.2">
      <c r="A444" s="2">
        <v>20</v>
      </c>
      <c r="B444" s="1" t="s">
        <v>123</v>
      </c>
      <c r="C444" s="4">
        <v>24</v>
      </c>
      <c r="D444" s="8">
        <v>1.1000000000000001</v>
      </c>
      <c r="E444" s="4">
        <v>3</v>
      </c>
      <c r="F444" s="8">
        <v>0.26</v>
      </c>
      <c r="G444" s="4">
        <v>21</v>
      </c>
      <c r="H444" s="8">
        <v>2.06</v>
      </c>
      <c r="I444" s="4">
        <v>0</v>
      </c>
    </row>
    <row r="445" spans="1:9" x14ac:dyDescent="0.2">
      <c r="A445" s="1"/>
      <c r="C445" s="4"/>
      <c r="D445" s="8"/>
      <c r="E445" s="4"/>
      <c r="F445" s="8"/>
      <c r="G445" s="4"/>
      <c r="H445" s="8"/>
      <c r="I445" s="4"/>
    </row>
    <row r="446" spans="1:9" x14ac:dyDescent="0.2">
      <c r="A446" s="1" t="s">
        <v>20</v>
      </c>
      <c r="C446" s="4"/>
      <c r="D446" s="8"/>
      <c r="E446" s="4"/>
      <c r="F446" s="8"/>
      <c r="G446" s="4"/>
      <c r="H446" s="8"/>
      <c r="I446" s="4"/>
    </row>
    <row r="447" spans="1:9" x14ac:dyDescent="0.2">
      <c r="A447" s="2">
        <v>1</v>
      </c>
      <c r="B447" s="1" t="s">
        <v>101</v>
      </c>
      <c r="C447" s="4">
        <v>21</v>
      </c>
      <c r="D447" s="8">
        <v>11.41</v>
      </c>
      <c r="E447" s="4">
        <v>14</v>
      </c>
      <c r="F447" s="8">
        <v>10.85</v>
      </c>
      <c r="G447" s="4">
        <v>7</v>
      </c>
      <c r="H447" s="8">
        <v>14</v>
      </c>
      <c r="I447" s="4">
        <v>0</v>
      </c>
    </row>
    <row r="448" spans="1:9" x14ac:dyDescent="0.2">
      <c r="A448" s="2">
        <v>2</v>
      </c>
      <c r="B448" s="1" t="s">
        <v>115</v>
      </c>
      <c r="C448" s="4">
        <v>17</v>
      </c>
      <c r="D448" s="8">
        <v>9.24</v>
      </c>
      <c r="E448" s="4">
        <v>17</v>
      </c>
      <c r="F448" s="8">
        <v>13.18</v>
      </c>
      <c r="G448" s="4">
        <v>0</v>
      </c>
      <c r="H448" s="8">
        <v>0</v>
      </c>
      <c r="I448" s="4">
        <v>0</v>
      </c>
    </row>
    <row r="449" spans="1:9" x14ac:dyDescent="0.2">
      <c r="A449" s="2">
        <v>3</v>
      </c>
      <c r="B449" s="1" t="s">
        <v>116</v>
      </c>
      <c r="C449" s="4">
        <v>15</v>
      </c>
      <c r="D449" s="8">
        <v>8.15</v>
      </c>
      <c r="E449" s="4">
        <v>14</v>
      </c>
      <c r="F449" s="8">
        <v>10.85</v>
      </c>
      <c r="G449" s="4">
        <v>1</v>
      </c>
      <c r="H449" s="8">
        <v>2</v>
      </c>
      <c r="I449" s="4">
        <v>0</v>
      </c>
    </row>
    <row r="450" spans="1:9" x14ac:dyDescent="0.2">
      <c r="A450" s="2">
        <v>4</v>
      </c>
      <c r="B450" s="1" t="s">
        <v>108</v>
      </c>
      <c r="C450" s="4">
        <v>13</v>
      </c>
      <c r="D450" s="8">
        <v>7.07</v>
      </c>
      <c r="E450" s="4">
        <v>10</v>
      </c>
      <c r="F450" s="8">
        <v>7.75</v>
      </c>
      <c r="G450" s="4">
        <v>2</v>
      </c>
      <c r="H450" s="8">
        <v>4</v>
      </c>
      <c r="I450" s="4">
        <v>1</v>
      </c>
    </row>
    <row r="451" spans="1:9" x14ac:dyDescent="0.2">
      <c r="A451" s="2">
        <v>5</v>
      </c>
      <c r="B451" s="1" t="s">
        <v>110</v>
      </c>
      <c r="C451" s="4">
        <v>12</v>
      </c>
      <c r="D451" s="8">
        <v>6.52</v>
      </c>
      <c r="E451" s="4">
        <v>6</v>
      </c>
      <c r="F451" s="8">
        <v>4.6500000000000004</v>
      </c>
      <c r="G451" s="4">
        <v>6</v>
      </c>
      <c r="H451" s="8">
        <v>12</v>
      </c>
      <c r="I451" s="4">
        <v>0</v>
      </c>
    </row>
    <row r="452" spans="1:9" x14ac:dyDescent="0.2">
      <c r="A452" s="2">
        <v>6</v>
      </c>
      <c r="B452" s="1" t="s">
        <v>102</v>
      </c>
      <c r="C452" s="4">
        <v>10</v>
      </c>
      <c r="D452" s="8">
        <v>5.43</v>
      </c>
      <c r="E452" s="4">
        <v>9</v>
      </c>
      <c r="F452" s="8">
        <v>6.98</v>
      </c>
      <c r="G452" s="4">
        <v>1</v>
      </c>
      <c r="H452" s="8">
        <v>2</v>
      </c>
      <c r="I452" s="4">
        <v>0</v>
      </c>
    </row>
    <row r="453" spans="1:9" x14ac:dyDescent="0.2">
      <c r="A453" s="2">
        <v>7</v>
      </c>
      <c r="B453" s="1" t="s">
        <v>114</v>
      </c>
      <c r="C453" s="4">
        <v>9</v>
      </c>
      <c r="D453" s="8">
        <v>4.8899999999999997</v>
      </c>
      <c r="E453" s="4">
        <v>8</v>
      </c>
      <c r="F453" s="8">
        <v>6.2</v>
      </c>
      <c r="G453" s="4">
        <v>1</v>
      </c>
      <c r="H453" s="8">
        <v>2</v>
      </c>
      <c r="I453" s="4">
        <v>0</v>
      </c>
    </row>
    <row r="454" spans="1:9" x14ac:dyDescent="0.2">
      <c r="A454" s="2">
        <v>8</v>
      </c>
      <c r="B454" s="1" t="s">
        <v>103</v>
      </c>
      <c r="C454" s="4">
        <v>6</v>
      </c>
      <c r="D454" s="8">
        <v>3.26</v>
      </c>
      <c r="E454" s="4">
        <v>4</v>
      </c>
      <c r="F454" s="8">
        <v>3.1</v>
      </c>
      <c r="G454" s="4">
        <v>2</v>
      </c>
      <c r="H454" s="8">
        <v>4</v>
      </c>
      <c r="I454" s="4">
        <v>0</v>
      </c>
    </row>
    <row r="455" spans="1:9" x14ac:dyDescent="0.2">
      <c r="A455" s="2">
        <v>8</v>
      </c>
      <c r="B455" s="1" t="s">
        <v>127</v>
      </c>
      <c r="C455" s="4">
        <v>6</v>
      </c>
      <c r="D455" s="8">
        <v>3.26</v>
      </c>
      <c r="E455" s="4">
        <v>5</v>
      </c>
      <c r="F455" s="8">
        <v>3.88</v>
      </c>
      <c r="G455" s="4">
        <v>1</v>
      </c>
      <c r="H455" s="8">
        <v>2</v>
      </c>
      <c r="I455" s="4">
        <v>0</v>
      </c>
    </row>
    <row r="456" spans="1:9" x14ac:dyDescent="0.2">
      <c r="A456" s="2">
        <v>8</v>
      </c>
      <c r="B456" s="1" t="s">
        <v>107</v>
      </c>
      <c r="C456" s="4">
        <v>6</v>
      </c>
      <c r="D456" s="8">
        <v>3.26</v>
      </c>
      <c r="E456" s="4">
        <v>2</v>
      </c>
      <c r="F456" s="8">
        <v>1.55</v>
      </c>
      <c r="G456" s="4">
        <v>4</v>
      </c>
      <c r="H456" s="8">
        <v>8</v>
      </c>
      <c r="I456" s="4">
        <v>0</v>
      </c>
    </row>
    <row r="457" spans="1:9" x14ac:dyDescent="0.2">
      <c r="A457" s="2">
        <v>8</v>
      </c>
      <c r="B457" s="1" t="s">
        <v>118</v>
      </c>
      <c r="C457" s="4">
        <v>6</v>
      </c>
      <c r="D457" s="8">
        <v>3.26</v>
      </c>
      <c r="E457" s="4">
        <v>6</v>
      </c>
      <c r="F457" s="8">
        <v>4.6500000000000004</v>
      </c>
      <c r="G457" s="4">
        <v>0</v>
      </c>
      <c r="H457" s="8">
        <v>0</v>
      </c>
      <c r="I457" s="4">
        <v>0</v>
      </c>
    </row>
    <row r="458" spans="1:9" x14ac:dyDescent="0.2">
      <c r="A458" s="2">
        <v>12</v>
      </c>
      <c r="B458" s="1" t="s">
        <v>109</v>
      </c>
      <c r="C458" s="4">
        <v>5</v>
      </c>
      <c r="D458" s="8">
        <v>2.72</v>
      </c>
      <c r="E458" s="4">
        <v>2</v>
      </c>
      <c r="F458" s="8">
        <v>1.55</v>
      </c>
      <c r="G458" s="4">
        <v>3</v>
      </c>
      <c r="H458" s="8">
        <v>6</v>
      </c>
      <c r="I458" s="4">
        <v>0</v>
      </c>
    </row>
    <row r="459" spans="1:9" x14ac:dyDescent="0.2">
      <c r="A459" s="2">
        <v>12</v>
      </c>
      <c r="B459" s="1" t="s">
        <v>113</v>
      </c>
      <c r="C459" s="4">
        <v>5</v>
      </c>
      <c r="D459" s="8">
        <v>2.72</v>
      </c>
      <c r="E459" s="4">
        <v>3</v>
      </c>
      <c r="F459" s="8">
        <v>2.33</v>
      </c>
      <c r="G459" s="4">
        <v>1</v>
      </c>
      <c r="H459" s="8">
        <v>2</v>
      </c>
      <c r="I459" s="4">
        <v>0</v>
      </c>
    </row>
    <row r="460" spans="1:9" x14ac:dyDescent="0.2">
      <c r="A460" s="2">
        <v>12</v>
      </c>
      <c r="B460" s="1" t="s">
        <v>131</v>
      </c>
      <c r="C460" s="4">
        <v>5</v>
      </c>
      <c r="D460" s="8">
        <v>2.72</v>
      </c>
      <c r="E460" s="4">
        <v>3</v>
      </c>
      <c r="F460" s="8">
        <v>2.33</v>
      </c>
      <c r="G460" s="4">
        <v>2</v>
      </c>
      <c r="H460" s="8">
        <v>4</v>
      </c>
      <c r="I460" s="4">
        <v>0</v>
      </c>
    </row>
    <row r="461" spans="1:9" x14ac:dyDescent="0.2">
      <c r="A461" s="2">
        <v>15</v>
      </c>
      <c r="B461" s="1" t="s">
        <v>135</v>
      </c>
      <c r="C461" s="4">
        <v>4</v>
      </c>
      <c r="D461" s="8">
        <v>2.17</v>
      </c>
      <c r="E461" s="4">
        <v>2</v>
      </c>
      <c r="F461" s="8">
        <v>1.55</v>
      </c>
      <c r="G461" s="4">
        <v>2</v>
      </c>
      <c r="H461" s="8">
        <v>4</v>
      </c>
      <c r="I461" s="4">
        <v>0</v>
      </c>
    </row>
    <row r="462" spans="1:9" x14ac:dyDescent="0.2">
      <c r="A462" s="2">
        <v>15</v>
      </c>
      <c r="B462" s="1" t="s">
        <v>117</v>
      </c>
      <c r="C462" s="4">
        <v>4</v>
      </c>
      <c r="D462" s="8">
        <v>2.17</v>
      </c>
      <c r="E462" s="4">
        <v>3</v>
      </c>
      <c r="F462" s="8">
        <v>2.33</v>
      </c>
      <c r="G462" s="4">
        <v>0</v>
      </c>
      <c r="H462" s="8">
        <v>0</v>
      </c>
      <c r="I462" s="4">
        <v>0</v>
      </c>
    </row>
    <row r="463" spans="1:9" x14ac:dyDescent="0.2">
      <c r="A463" s="2">
        <v>17</v>
      </c>
      <c r="B463" s="1" t="s">
        <v>126</v>
      </c>
      <c r="C463" s="4">
        <v>3</v>
      </c>
      <c r="D463" s="8">
        <v>1.63</v>
      </c>
      <c r="E463" s="4">
        <v>3</v>
      </c>
      <c r="F463" s="8">
        <v>2.33</v>
      </c>
      <c r="G463" s="4">
        <v>0</v>
      </c>
      <c r="H463" s="8">
        <v>0</v>
      </c>
      <c r="I463" s="4">
        <v>0</v>
      </c>
    </row>
    <row r="464" spans="1:9" x14ac:dyDescent="0.2">
      <c r="A464" s="2">
        <v>17</v>
      </c>
      <c r="B464" s="1" t="s">
        <v>125</v>
      </c>
      <c r="C464" s="4">
        <v>3</v>
      </c>
      <c r="D464" s="8">
        <v>1.63</v>
      </c>
      <c r="E464" s="4">
        <v>0</v>
      </c>
      <c r="F464" s="8">
        <v>0</v>
      </c>
      <c r="G464" s="4">
        <v>3</v>
      </c>
      <c r="H464" s="8">
        <v>6</v>
      </c>
      <c r="I464" s="4">
        <v>0</v>
      </c>
    </row>
    <row r="465" spans="1:9" x14ac:dyDescent="0.2">
      <c r="A465" s="2">
        <v>17</v>
      </c>
      <c r="B465" s="1" t="s">
        <v>111</v>
      </c>
      <c r="C465" s="4">
        <v>3</v>
      </c>
      <c r="D465" s="8">
        <v>1.63</v>
      </c>
      <c r="E465" s="4">
        <v>2</v>
      </c>
      <c r="F465" s="8">
        <v>1.55</v>
      </c>
      <c r="G465" s="4">
        <v>1</v>
      </c>
      <c r="H465" s="8">
        <v>2</v>
      </c>
      <c r="I465" s="4">
        <v>0</v>
      </c>
    </row>
    <row r="466" spans="1:9" x14ac:dyDescent="0.2">
      <c r="A466" s="2">
        <v>17</v>
      </c>
      <c r="B466" s="1" t="s">
        <v>132</v>
      </c>
      <c r="C466" s="4">
        <v>3</v>
      </c>
      <c r="D466" s="8">
        <v>1.63</v>
      </c>
      <c r="E466" s="4">
        <v>2</v>
      </c>
      <c r="F466" s="8">
        <v>1.55</v>
      </c>
      <c r="G466" s="4">
        <v>1</v>
      </c>
      <c r="H466" s="8">
        <v>2</v>
      </c>
      <c r="I466" s="4">
        <v>0</v>
      </c>
    </row>
    <row r="467" spans="1:9" x14ac:dyDescent="0.2">
      <c r="A467" s="1"/>
      <c r="C467" s="4"/>
      <c r="D467" s="8"/>
      <c r="E467" s="4"/>
      <c r="F467" s="8"/>
      <c r="G467" s="4"/>
      <c r="H467" s="8"/>
      <c r="I467" s="4"/>
    </row>
    <row r="468" spans="1:9" x14ac:dyDescent="0.2">
      <c r="A468" s="1" t="s">
        <v>21</v>
      </c>
      <c r="C468" s="4"/>
      <c r="D468" s="8"/>
      <c r="E468" s="4"/>
      <c r="F468" s="8"/>
      <c r="G468" s="4"/>
      <c r="H468" s="8"/>
      <c r="I468" s="4"/>
    </row>
    <row r="469" spans="1:9" x14ac:dyDescent="0.2">
      <c r="A469" s="2">
        <v>1</v>
      </c>
      <c r="B469" s="1" t="s">
        <v>101</v>
      </c>
      <c r="C469" s="4">
        <v>15</v>
      </c>
      <c r="D469" s="8">
        <v>13.16</v>
      </c>
      <c r="E469" s="4">
        <v>5</v>
      </c>
      <c r="F469" s="8">
        <v>8.06</v>
      </c>
      <c r="G469" s="4">
        <v>10</v>
      </c>
      <c r="H469" s="8">
        <v>22.22</v>
      </c>
      <c r="I469" s="4">
        <v>0</v>
      </c>
    </row>
    <row r="470" spans="1:9" x14ac:dyDescent="0.2">
      <c r="A470" s="2">
        <v>2</v>
      </c>
      <c r="B470" s="1" t="s">
        <v>110</v>
      </c>
      <c r="C470" s="4">
        <v>14</v>
      </c>
      <c r="D470" s="8">
        <v>12.28</v>
      </c>
      <c r="E470" s="4">
        <v>7</v>
      </c>
      <c r="F470" s="8">
        <v>11.29</v>
      </c>
      <c r="G470" s="4">
        <v>7</v>
      </c>
      <c r="H470" s="8">
        <v>15.56</v>
      </c>
      <c r="I470" s="4">
        <v>0</v>
      </c>
    </row>
    <row r="471" spans="1:9" x14ac:dyDescent="0.2">
      <c r="A471" s="2">
        <v>3</v>
      </c>
      <c r="B471" s="1" t="s">
        <v>114</v>
      </c>
      <c r="C471" s="4">
        <v>10</v>
      </c>
      <c r="D471" s="8">
        <v>8.77</v>
      </c>
      <c r="E471" s="4">
        <v>5</v>
      </c>
      <c r="F471" s="8">
        <v>8.06</v>
      </c>
      <c r="G471" s="4">
        <v>5</v>
      </c>
      <c r="H471" s="8">
        <v>11.11</v>
      </c>
      <c r="I471" s="4">
        <v>0</v>
      </c>
    </row>
    <row r="472" spans="1:9" x14ac:dyDescent="0.2">
      <c r="A472" s="2">
        <v>3</v>
      </c>
      <c r="B472" s="1" t="s">
        <v>116</v>
      </c>
      <c r="C472" s="4">
        <v>10</v>
      </c>
      <c r="D472" s="8">
        <v>8.77</v>
      </c>
      <c r="E472" s="4">
        <v>9</v>
      </c>
      <c r="F472" s="8">
        <v>14.52</v>
      </c>
      <c r="G472" s="4">
        <v>1</v>
      </c>
      <c r="H472" s="8">
        <v>2.2200000000000002</v>
      </c>
      <c r="I472" s="4">
        <v>0</v>
      </c>
    </row>
    <row r="473" spans="1:9" x14ac:dyDescent="0.2">
      <c r="A473" s="2">
        <v>5</v>
      </c>
      <c r="B473" s="1" t="s">
        <v>108</v>
      </c>
      <c r="C473" s="4">
        <v>8</v>
      </c>
      <c r="D473" s="8">
        <v>7.02</v>
      </c>
      <c r="E473" s="4">
        <v>6</v>
      </c>
      <c r="F473" s="8">
        <v>9.68</v>
      </c>
      <c r="G473" s="4">
        <v>2</v>
      </c>
      <c r="H473" s="8">
        <v>4.4400000000000004</v>
      </c>
      <c r="I473" s="4">
        <v>0</v>
      </c>
    </row>
    <row r="474" spans="1:9" x14ac:dyDescent="0.2">
      <c r="A474" s="2">
        <v>5</v>
      </c>
      <c r="B474" s="1" t="s">
        <v>115</v>
      </c>
      <c r="C474" s="4">
        <v>8</v>
      </c>
      <c r="D474" s="8">
        <v>7.02</v>
      </c>
      <c r="E474" s="4">
        <v>6</v>
      </c>
      <c r="F474" s="8">
        <v>9.68</v>
      </c>
      <c r="G474" s="4">
        <v>2</v>
      </c>
      <c r="H474" s="8">
        <v>4.4400000000000004</v>
      </c>
      <c r="I474" s="4">
        <v>0</v>
      </c>
    </row>
    <row r="475" spans="1:9" x14ac:dyDescent="0.2">
      <c r="A475" s="2">
        <v>5</v>
      </c>
      <c r="B475" s="1" t="s">
        <v>117</v>
      </c>
      <c r="C475" s="4">
        <v>8</v>
      </c>
      <c r="D475" s="8">
        <v>7.02</v>
      </c>
      <c r="E475" s="4">
        <v>7</v>
      </c>
      <c r="F475" s="8">
        <v>11.29</v>
      </c>
      <c r="G475" s="4">
        <v>0</v>
      </c>
      <c r="H475" s="8">
        <v>0</v>
      </c>
      <c r="I475" s="4">
        <v>0</v>
      </c>
    </row>
    <row r="476" spans="1:9" x14ac:dyDescent="0.2">
      <c r="A476" s="2">
        <v>8</v>
      </c>
      <c r="B476" s="1" t="s">
        <v>102</v>
      </c>
      <c r="C476" s="4">
        <v>5</v>
      </c>
      <c r="D476" s="8">
        <v>4.3899999999999997</v>
      </c>
      <c r="E476" s="4">
        <v>5</v>
      </c>
      <c r="F476" s="8">
        <v>8.06</v>
      </c>
      <c r="G476" s="4">
        <v>0</v>
      </c>
      <c r="H476" s="8">
        <v>0</v>
      </c>
      <c r="I476" s="4">
        <v>0</v>
      </c>
    </row>
    <row r="477" spans="1:9" x14ac:dyDescent="0.2">
      <c r="A477" s="2">
        <v>8</v>
      </c>
      <c r="B477" s="1" t="s">
        <v>125</v>
      </c>
      <c r="C477" s="4">
        <v>5</v>
      </c>
      <c r="D477" s="8">
        <v>4.3899999999999997</v>
      </c>
      <c r="E477" s="4">
        <v>0</v>
      </c>
      <c r="F477" s="8">
        <v>0</v>
      </c>
      <c r="G477" s="4">
        <v>5</v>
      </c>
      <c r="H477" s="8">
        <v>11.11</v>
      </c>
      <c r="I477" s="4">
        <v>0</v>
      </c>
    </row>
    <row r="478" spans="1:9" x14ac:dyDescent="0.2">
      <c r="A478" s="2">
        <v>10</v>
      </c>
      <c r="B478" s="1" t="s">
        <v>103</v>
      </c>
      <c r="C478" s="4">
        <v>4</v>
      </c>
      <c r="D478" s="8">
        <v>3.51</v>
      </c>
      <c r="E478" s="4">
        <v>4</v>
      </c>
      <c r="F478" s="8">
        <v>6.45</v>
      </c>
      <c r="G478" s="4">
        <v>0</v>
      </c>
      <c r="H478" s="8">
        <v>0</v>
      </c>
      <c r="I478" s="4">
        <v>0</v>
      </c>
    </row>
    <row r="479" spans="1:9" x14ac:dyDescent="0.2">
      <c r="A479" s="2">
        <v>11</v>
      </c>
      <c r="B479" s="1" t="s">
        <v>106</v>
      </c>
      <c r="C479" s="4">
        <v>3</v>
      </c>
      <c r="D479" s="8">
        <v>2.63</v>
      </c>
      <c r="E479" s="4">
        <v>1</v>
      </c>
      <c r="F479" s="8">
        <v>1.61</v>
      </c>
      <c r="G479" s="4">
        <v>2</v>
      </c>
      <c r="H479" s="8">
        <v>4.4400000000000004</v>
      </c>
      <c r="I479" s="4">
        <v>0</v>
      </c>
    </row>
    <row r="480" spans="1:9" x14ac:dyDescent="0.2">
      <c r="A480" s="2">
        <v>11</v>
      </c>
      <c r="B480" s="1" t="s">
        <v>120</v>
      </c>
      <c r="C480" s="4">
        <v>3</v>
      </c>
      <c r="D480" s="8">
        <v>2.63</v>
      </c>
      <c r="E480" s="4">
        <v>0</v>
      </c>
      <c r="F480" s="8">
        <v>0</v>
      </c>
      <c r="G480" s="4">
        <v>3</v>
      </c>
      <c r="H480" s="8">
        <v>6.67</v>
      </c>
      <c r="I480" s="4">
        <v>0</v>
      </c>
    </row>
    <row r="481" spans="1:9" x14ac:dyDescent="0.2">
      <c r="A481" s="2">
        <v>13</v>
      </c>
      <c r="B481" s="1" t="s">
        <v>137</v>
      </c>
      <c r="C481" s="4">
        <v>2</v>
      </c>
      <c r="D481" s="8">
        <v>1.75</v>
      </c>
      <c r="E481" s="4">
        <v>0</v>
      </c>
      <c r="F481" s="8">
        <v>0</v>
      </c>
      <c r="G481" s="4">
        <v>2</v>
      </c>
      <c r="H481" s="8">
        <v>4.4400000000000004</v>
      </c>
      <c r="I481" s="4">
        <v>0</v>
      </c>
    </row>
    <row r="482" spans="1:9" x14ac:dyDescent="0.2">
      <c r="A482" s="2">
        <v>13</v>
      </c>
      <c r="B482" s="1" t="s">
        <v>135</v>
      </c>
      <c r="C482" s="4">
        <v>2</v>
      </c>
      <c r="D482" s="8">
        <v>1.75</v>
      </c>
      <c r="E482" s="4">
        <v>2</v>
      </c>
      <c r="F482" s="8">
        <v>3.23</v>
      </c>
      <c r="G482" s="4">
        <v>0</v>
      </c>
      <c r="H482" s="8">
        <v>0</v>
      </c>
      <c r="I482" s="4">
        <v>0</v>
      </c>
    </row>
    <row r="483" spans="1:9" x14ac:dyDescent="0.2">
      <c r="A483" s="2">
        <v>13</v>
      </c>
      <c r="B483" s="1" t="s">
        <v>139</v>
      </c>
      <c r="C483" s="4">
        <v>2</v>
      </c>
      <c r="D483" s="8">
        <v>1.75</v>
      </c>
      <c r="E483" s="4">
        <v>0</v>
      </c>
      <c r="F483" s="8">
        <v>0</v>
      </c>
      <c r="G483" s="4">
        <v>0</v>
      </c>
      <c r="H483" s="8">
        <v>0</v>
      </c>
      <c r="I483" s="4">
        <v>0</v>
      </c>
    </row>
    <row r="484" spans="1:9" x14ac:dyDescent="0.2">
      <c r="A484" s="2">
        <v>13</v>
      </c>
      <c r="B484" s="1" t="s">
        <v>140</v>
      </c>
      <c r="C484" s="4">
        <v>2</v>
      </c>
      <c r="D484" s="8">
        <v>1.75</v>
      </c>
      <c r="E484" s="4">
        <v>0</v>
      </c>
      <c r="F484" s="8">
        <v>0</v>
      </c>
      <c r="G484" s="4">
        <v>1</v>
      </c>
      <c r="H484" s="8">
        <v>2.2200000000000002</v>
      </c>
      <c r="I484" s="4">
        <v>0</v>
      </c>
    </row>
    <row r="485" spans="1:9" x14ac:dyDescent="0.2">
      <c r="A485" s="2">
        <v>13</v>
      </c>
      <c r="B485" s="1" t="s">
        <v>131</v>
      </c>
      <c r="C485" s="4">
        <v>2</v>
      </c>
      <c r="D485" s="8">
        <v>1.75</v>
      </c>
      <c r="E485" s="4">
        <v>2</v>
      </c>
      <c r="F485" s="8">
        <v>3.23</v>
      </c>
      <c r="G485" s="4">
        <v>0</v>
      </c>
      <c r="H485" s="8">
        <v>0</v>
      </c>
      <c r="I485" s="4">
        <v>0</v>
      </c>
    </row>
    <row r="486" spans="1:9" x14ac:dyDescent="0.2">
      <c r="A486" s="2">
        <v>13</v>
      </c>
      <c r="B486" s="1" t="s">
        <v>118</v>
      </c>
      <c r="C486" s="4">
        <v>2</v>
      </c>
      <c r="D486" s="8">
        <v>1.75</v>
      </c>
      <c r="E486" s="4">
        <v>1</v>
      </c>
      <c r="F486" s="8">
        <v>1.61</v>
      </c>
      <c r="G486" s="4">
        <v>0</v>
      </c>
      <c r="H486" s="8">
        <v>0</v>
      </c>
      <c r="I486" s="4">
        <v>0</v>
      </c>
    </row>
    <row r="487" spans="1:9" x14ac:dyDescent="0.2">
      <c r="A487" s="2">
        <v>19</v>
      </c>
      <c r="B487" s="1" t="s">
        <v>127</v>
      </c>
      <c r="C487" s="4">
        <v>1</v>
      </c>
      <c r="D487" s="8">
        <v>0.88</v>
      </c>
      <c r="E487" s="4">
        <v>0</v>
      </c>
      <c r="F487" s="8">
        <v>0</v>
      </c>
      <c r="G487" s="4">
        <v>1</v>
      </c>
      <c r="H487" s="8">
        <v>2.2200000000000002</v>
      </c>
      <c r="I487" s="4">
        <v>0</v>
      </c>
    </row>
    <row r="488" spans="1:9" x14ac:dyDescent="0.2">
      <c r="A488" s="2">
        <v>19</v>
      </c>
      <c r="B488" s="1" t="s">
        <v>130</v>
      </c>
      <c r="C488" s="4">
        <v>1</v>
      </c>
      <c r="D488" s="8">
        <v>0.88</v>
      </c>
      <c r="E488" s="4">
        <v>1</v>
      </c>
      <c r="F488" s="8">
        <v>1.61</v>
      </c>
      <c r="G488" s="4">
        <v>0</v>
      </c>
      <c r="H488" s="8">
        <v>0</v>
      </c>
      <c r="I488" s="4">
        <v>0</v>
      </c>
    </row>
    <row r="489" spans="1:9" x14ac:dyDescent="0.2">
      <c r="A489" s="2">
        <v>19</v>
      </c>
      <c r="B489" s="1" t="s">
        <v>138</v>
      </c>
      <c r="C489" s="4">
        <v>1</v>
      </c>
      <c r="D489" s="8">
        <v>0.88</v>
      </c>
      <c r="E489" s="4">
        <v>0</v>
      </c>
      <c r="F489" s="8">
        <v>0</v>
      </c>
      <c r="G489" s="4">
        <v>1</v>
      </c>
      <c r="H489" s="8">
        <v>2.2200000000000002</v>
      </c>
      <c r="I489" s="4">
        <v>0</v>
      </c>
    </row>
    <row r="490" spans="1:9" x14ac:dyDescent="0.2">
      <c r="A490" s="2">
        <v>19</v>
      </c>
      <c r="B490" s="1" t="s">
        <v>122</v>
      </c>
      <c r="C490" s="4">
        <v>1</v>
      </c>
      <c r="D490" s="8">
        <v>0.88</v>
      </c>
      <c r="E490" s="4">
        <v>0</v>
      </c>
      <c r="F490" s="8">
        <v>0</v>
      </c>
      <c r="G490" s="4">
        <v>1</v>
      </c>
      <c r="H490" s="8">
        <v>2.2200000000000002</v>
      </c>
      <c r="I490" s="4">
        <v>0</v>
      </c>
    </row>
    <row r="491" spans="1:9" x14ac:dyDescent="0.2">
      <c r="A491" s="2">
        <v>19</v>
      </c>
      <c r="B491" s="1" t="s">
        <v>111</v>
      </c>
      <c r="C491" s="4">
        <v>1</v>
      </c>
      <c r="D491" s="8">
        <v>0.88</v>
      </c>
      <c r="E491" s="4">
        <v>0</v>
      </c>
      <c r="F491" s="8">
        <v>0</v>
      </c>
      <c r="G491" s="4">
        <v>1</v>
      </c>
      <c r="H491" s="8">
        <v>2.2200000000000002</v>
      </c>
      <c r="I491" s="4">
        <v>0</v>
      </c>
    </row>
    <row r="492" spans="1:9" x14ac:dyDescent="0.2">
      <c r="A492" s="2">
        <v>19</v>
      </c>
      <c r="B492" s="1" t="s">
        <v>112</v>
      </c>
      <c r="C492" s="4">
        <v>1</v>
      </c>
      <c r="D492" s="8">
        <v>0.88</v>
      </c>
      <c r="E492" s="4">
        <v>1</v>
      </c>
      <c r="F492" s="8">
        <v>1.61</v>
      </c>
      <c r="G492" s="4">
        <v>0</v>
      </c>
      <c r="H492" s="8">
        <v>0</v>
      </c>
      <c r="I492" s="4">
        <v>0</v>
      </c>
    </row>
    <row r="493" spans="1:9" x14ac:dyDescent="0.2">
      <c r="A493" s="2">
        <v>19</v>
      </c>
      <c r="B493" s="1" t="s">
        <v>119</v>
      </c>
      <c r="C493" s="4">
        <v>1</v>
      </c>
      <c r="D493" s="8">
        <v>0.88</v>
      </c>
      <c r="E493" s="4">
        <v>0</v>
      </c>
      <c r="F493" s="8">
        <v>0</v>
      </c>
      <c r="G493" s="4">
        <v>0</v>
      </c>
      <c r="H493" s="8">
        <v>0</v>
      </c>
      <c r="I493" s="4">
        <v>0</v>
      </c>
    </row>
    <row r="494" spans="1:9" x14ac:dyDescent="0.2">
      <c r="A494" s="2">
        <v>19</v>
      </c>
      <c r="B494" s="1" t="s">
        <v>124</v>
      </c>
      <c r="C494" s="4">
        <v>1</v>
      </c>
      <c r="D494" s="8">
        <v>0.88</v>
      </c>
      <c r="E494" s="4">
        <v>0</v>
      </c>
      <c r="F494" s="8">
        <v>0</v>
      </c>
      <c r="G494" s="4">
        <v>1</v>
      </c>
      <c r="H494" s="8">
        <v>2.2200000000000002</v>
      </c>
      <c r="I494" s="4">
        <v>0</v>
      </c>
    </row>
    <row r="495" spans="1:9" x14ac:dyDescent="0.2">
      <c r="A495" s="2">
        <v>19</v>
      </c>
      <c r="B495" s="1" t="s">
        <v>141</v>
      </c>
      <c r="C495" s="4">
        <v>1</v>
      </c>
      <c r="D495" s="8">
        <v>0.88</v>
      </c>
      <c r="E495" s="4">
        <v>0</v>
      </c>
      <c r="F495" s="8">
        <v>0</v>
      </c>
      <c r="G495" s="4">
        <v>0</v>
      </c>
      <c r="H495" s="8">
        <v>0</v>
      </c>
      <c r="I495" s="4">
        <v>0</v>
      </c>
    </row>
    <row r="496" spans="1:9" x14ac:dyDescent="0.2">
      <c r="A496" s="1"/>
      <c r="C496" s="4"/>
      <c r="D496" s="8"/>
      <c r="E496" s="4"/>
      <c r="F496" s="8"/>
      <c r="G496" s="4"/>
      <c r="H496" s="8"/>
      <c r="I496" s="4"/>
    </row>
    <row r="497" spans="1:9" x14ac:dyDescent="0.2">
      <c r="A497" s="1" t="s">
        <v>22</v>
      </c>
      <c r="C497" s="4"/>
      <c r="D497" s="8"/>
      <c r="E497" s="4"/>
      <c r="F497" s="8"/>
      <c r="G497" s="4"/>
      <c r="H497" s="8"/>
      <c r="I497" s="4"/>
    </row>
    <row r="498" spans="1:9" x14ac:dyDescent="0.2">
      <c r="A498" s="2">
        <v>1</v>
      </c>
      <c r="B498" s="1" t="s">
        <v>114</v>
      </c>
      <c r="C498" s="4">
        <v>13</v>
      </c>
      <c r="D498" s="8">
        <v>19.399999999999999</v>
      </c>
      <c r="E498" s="4">
        <v>11</v>
      </c>
      <c r="F498" s="8">
        <v>28.95</v>
      </c>
      <c r="G498" s="4">
        <v>2</v>
      </c>
      <c r="H498" s="8">
        <v>7.41</v>
      </c>
      <c r="I498" s="4">
        <v>0</v>
      </c>
    </row>
    <row r="499" spans="1:9" x14ac:dyDescent="0.2">
      <c r="A499" s="2">
        <v>2</v>
      </c>
      <c r="B499" s="1" t="s">
        <v>110</v>
      </c>
      <c r="C499" s="4">
        <v>7</v>
      </c>
      <c r="D499" s="8">
        <v>10.45</v>
      </c>
      <c r="E499" s="4">
        <v>1</v>
      </c>
      <c r="F499" s="8">
        <v>2.63</v>
      </c>
      <c r="G499" s="4">
        <v>6</v>
      </c>
      <c r="H499" s="8">
        <v>22.22</v>
      </c>
      <c r="I499" s="4">
        <v>0</v>
      </c>
    </row>
    <row r="500" spans="1:9" x14ac:dyDescent="0.2">
      <c r="A500" s="2">
        <v>2</v>
      </c>
      <c r="B500" s="1" t="s">
        <v>115</v>
      </c>
      <c r="C500" s="4">
        <v>7</v>
      </c>
      <c r="D500" s="8">
        <v>10.45</v>
      </c>
      <c r="E500" s="4">
        <v>6</v>
      </c>
      <c r="F500" s="8">
        <v>15.79</v>
      </c>
      <c r="G500" s="4">
        <v>1</v>
      </c>
      <c r="H500" s="8">
        <v>3.7</v>
      </c>
      <c r="I500" s="4">
        <v>0</v>
      </c>
    </row>
    <row r="501" spans="1:9" x14ac:dyDescent="0.2">
      <c r="A501" s="2">
        <v>4</v>
      </c>
      <c r="B501" s="1" t="s">
        <v>116</v>
      </c>
      <c r="C501" s="4">
        <v>4</v>
      </c>
      <c r="D501" s="8">
        <v>5.97</v>
      </c>
      <c r="E501" s="4">
        <v>4</v>
      </c>
      <c r="F501" s="8">
        <v>10.53</v>
      </c>
      <c r="G501" s="4">
        <v>0</v>
      </c>
      <c r="H501" s="8">
        <v>0</v>
      </c>
      <c r="I501" s="4">
        <v>0</v>
      </c>
    </row>
    <row r="502" spans="1:9" x14ac:dyDescent="0.2">
      <c r="A502" s="2">
        <v>5</v>
      </c>
      <c r="B502" s="1" t="s">
        <v>101</v>
      </c>
      <c r="C502" s="4">
        <v>3</v>
      </c>
      <c r="D502" s="8">
        <v>4.4800000000000004</v>
      </c>
      <c r="E502" s="4">
        <v>1</v>
      </c>
      <c r="F502" s="8">
        <v>2.63</v>
      </c>
      <c r="G502" s="4">
        <v>2</v>
      </c>
      <c r="H502" s="8">
        <v>7.41</v>
      </c>
      <c r="I502" s="4">
        <v>0</v>
      </c>
    </row>
    <row r="503" spans="1:9" x14ac:dyDescent="0.2">
      <c r="A503" s="2">
        <v>5</v>
      </c>
      <c r="B503" s="1" t="s">
        <v>102</v>
      </c>
      <c r="C503" s="4">
        <v>3</v>
      </c>
      <c r="D503" s="8">
        <v>4.4800000000000004</v>
      </c>
      <c r="E503" s="4">
        <v>3</v>
      </c>
      <c r="F503" s="8">
        <v>7.89</v>
      </c>
      <c r="G503" s="4">
        <v>0</v>
      </c>
      <c r="H503" s="8">
        <v>0</v>
      </c>
      <c r="I503" s="4">
        <v>0</v>
      </c>
    </row>
    <row r="504" spans="1:9" x14ac:dyDescent="0.2">
      <c r="A504" s="2">
        <v>7</v>
      </c>
      <c r="B504" s="1" t="s">
        <v>146</v>
      </c>
      <c r="C504" s="4">
        <v>2</v>
      </c>
      <c r="D504" s="8">
        <v>2.99</v>
      </c>
      <c r="E504" s="4">
        <v>0</v>
      </c>
      <c r="F504" s="8">
        <v>0</v>
      </c>
      <c r="G504" s="4">
        <v>2</v>
      </c>
      <c r="H504" s="8">
        <v>7.41</v>
      </c>
      <c r="I504" s="4">
        <v>0</v>
      </c>
    </row>
    <row r="505" spans="1:9" x14ac:dyDescent="0.2">
      <c r="A505" s="2">
        <v>7</v>
      </c>
      <c r="B505" s="1" t="s">
        <v>125</v>
      </c>
      <c r="C505" s="4">
        <v>2</v>
      </c>
      <c r="D505" s="8">
        <v>2.99</v>
      </c>
      <c r="E505" s="4">
        <v>0</v>
      </c>
      <c r="F505" s="8">
        <v>0</v>
      </c>
      <c r="G505" s="4">
        <v>2</v>
      </c>
      <c r="H505" s="8">
        <v>7.41</v>
      </c>
      <c r="I505" s="4">
        <v>0</v>
      </c>
    </row>
    <row r="506" spans="1:9" x14ac:dyDescent="0.2">
      <c r="A506" s="2">
        <v>7</v>
      </c>
      <c r="B506" s="1" t="s">
        <v>108</v>
      </c>
      <c r="C506" s="4">
        <v>2</v>
      </c>
      <c r="D506" s="8">
        <v>2.99</v>
      </c>
      <c r="E506" s="4">
        <v>2</v>
      </c>
      <c r="F506" s="8">
        <v>5.26</v>
      </c>
      <c r="G506" s="4">
        <v>0</v>
      </c>
      <c r="H506" s="8">
        <v>0</v>
      </c>
      <c r="I506" s="4">
        <v>0</v>
      </c>
    </row>
    <row r="507" spans="1:9" x14ac:dyDescent="0.2">
      <c r="A507" s="2">
        <v>7</v>
      </c>
      <c r="B507" s="1" t="s">
        <v>133</v>
      </c>
      <c r="C507" s="4">
        <v>2</v>
      </c>
      <c r="D507" s="8">
        <v>2.99</v>
      </c>
      <c r="E507" s="4">
        <v>2</v>
      </c>
      <c r="F507" s="8">
        <v>5.26</v>
      </c>
      <c r="G507" s="4">
        <v>0</v>
      </c>
      <c r="H507" s="8">
        <v>0</v>
      </c>
      <c r="I507" s="4">
        <v>0</v>
      </c>
    </row>
    <row r="508" spans="1:9" x14ac:dyDescent="0.2">
      <c r="A508" s="2">
        <v>7</v>
      </c>
      <c r="B508" s="1" t="s">
        <v>111</v>
      </c>
      <c r="C508" s="4">
        <v>2</v>
      </c>
      <c r="D508" s="8">
        <v>2.99</v>
      </c>
      <c r="E508" s="4">
        <v>0</v>
      </c>
      <c r="F508" s="8">
        <v>0</v>
      </c>
      <c r="G508" s="4">
        <v>2</v>
      </c>
      <c r="H508" s="8">
        <v>7.41</v>
      </c>
      <c r="I508" s="4">
        <v>0</v>
      </c>
    </row>
    <row r="509" spans="1:9" x14ac:dyDescent="0.2">
      <c r="A509" s="2">
        <v>7</v>
      </c>
      <c r="B509" s="1" t="s">
        <v>117</v>
      </c>
      <c r="C509" s="4">
        <v>2</v>
      </c>
      <c r="D509" s="8">
        <v>2.99</v>
      </c>
      <c r="E509" s="4">
        <v>1</v>
      </c>
      <c r="F509" s="8">
        <v>2.63</v>
      </c>
      <c r="G509" s="4">
        <v>0</v>
      </c>
      <c r="H509" s="8">
        <v>0</v>
      </c>
      <c r="I509" s="4">
        <v>0</v>
      </c>
    </row>
    <row r="510" spans="1:9" x14ac:dyDescent="0.2">
      <c r="A510" s="2">
        <v>7</v>
      </c>
      <c r="B510" s="1" t="s">
        <v>120</v>
      </c>
      <c r="C510" s="4">
        <v>2</v>
      </c>
      <c r="D510" s="8">
        <v>2.99</v>
      </c>
      <c r="E510" s="4">
        <v>1</v>
      </c>
      <c r="F510" s="8">
        <v>2.63</v>
      </c>
      <c r="G510" s="4">
        <v>1</v>
      </c>
      <c r="H510" s="8">
        <v>3.7</v>
      </c>
      <c r="I510" s="4">
        <v>0</v>
      </c>
    </row>
    <row r="511" spans="1:9" x14ac:dyDescent="0.2">
      <c r="A511" s="2">
        <v>14</v>
      </c>
      <c r="B511" s="1" t="s">
        <v>103</v>
      </c>
      <c r="C511" s="4">
        <v>1</v>
      </c>
      <c r="D511" s="8">
        <v>1.49</v>
      </c>
      <c r="E511" s="4">
        <v>0</v>
      </c>
      <c r="F511" s="8">
        <v>0</v>
      </c>
      <c r="G511" s="4">
        <v>1</v>
      </c>
      <c r="H511" s="8">
        <v>3.7</v>
      </c>
      <c r="I511" s="4">
        <v>0</v>
      </c>
    </row>
    <row r="512" spans="1:9" x14ac:dyDescent="0.2">
      <c r="A512" s="2">
        <v>14</v>
      </c>
      <c r="B512" s="1" t="s">
        <v>142</v>
      </c>
      <c r="C512" s="4">
        <v>1</v>
      </c>
      <c r="D512" s="8">
        <v>1.49</v>
      </c>
      <c r="E512" s="4">
        <v>0</v>
      </c>
      <c r="F512" s="8">
        <v>0</v>
      </c>
      <c r="G512" s="4">
        <v>1</v>
      </c>
      <c r="H512" s="8">
        <v>3.7</v>
      </c>
      <c r="I512" s="4">
        <v>0</v>
      </c>
    </row>
    <row r="513" spans="1:9" x14ac:dyDescent="0.2">
      <c r="A513" s="2">
        <v>14</v>
      </c>
      <c r="B513" s="1" t="s">
        <v>130</v>
      </c>
      <c r="C513" s="4">
        <v>1</v>
      </c>
      <c r="D513" s="8">
        <v>1.49</v>
      </c>
      <c r="E513" s="4">
        <v>1</v>
      </c>
      <c r="F513" s="8">
        <v>2.63</v>
      </c>
      <c r="G513" s="4">
        <v>0</v>
      </c>
      <c r="H513" s="8">
        <v>0</v>
      </c>
      <c r="I513" s="4">
        <v>0</v>
      </c>
    </row>
    <row r="514" spans="1:9" x14ac:dyDescent="0.2">
      <c r="A514" s="2">
        <v>14</v>
      </c>
      <c r="B514" s="1" t="s">
        <v>143</v>
      </c>
      <c r="C514" s="4">
        <v>1</v>
      </c>
      <c r="D514" s="8">
        <v>1.49</v>
      </c>
      <c r="E514" s="4">
        <v>0</v>
      </c>
      <c r="F514" s="8">
        <v>0</v>
      </c>
      <c r="G514" s="4">
        <v>1</v>
      </c>
      <c r="H514" s="8">
        <v>3.7</v>
      </c>
      <c r="I514" s="4">
        <v>0</v>
      </c>
    </row>
    <row r="515" spans="1:9" x14ac:dyDescent="0.2">
      <c r="A515" s="2">
        <v>14</v>
      </c>
      <c r="B515" s="1" t="s">
        <v>144</v>
      </c>
      <c r="C515" s="4">
        <v>1</v>
      </c>
      <c r="D515" s="8">
        <v>1.49</v>
      </c>
      <c r="E515" s="4">
        <v>0</v>
      </c>
      <c r="F515" s="8">
        <v>0</v>
      </c>
      <c r="G515" s="4">
        <v>1</v>
      </c>
      <c r="H515" s="8">
        <v>3.7</v>
      </c>
      <c r="I515" s="4">
        <v>0</v>
      </c>
    </row>
    <row r="516" spans="1:9" x14ac:dyDescent="0.2">
      <c r="A516" s="2">
        <v>14</v>
      </c>
      <c r="B516" s="1" t="s">
        <v>139</v>
      </c>
      <c r="C516" s="4">
        <v>1</v>
      </c>
      <c r="D516" s="8">
        <v>1.49</v>
      </c>
      <c r="E516" s="4">
        <v>0</v>
      </c>
      <c r="F516" s="8">
        <v>0</v>
      </c>
      <c r="G516" s="4">
        <v>0</v>
      </c>
      <c r="H516" s="8">
        <v>0</v>
      </c>
      <c r="I516" s="4">
        <v>0</v>
      </c>
    </row>
    <row r="517" spans="1:9" x14ac:dyDescent="0.2">
      <c r="A517" s="2">
        <v>14</v>
      </c>
      <c r="B517" s="1" t="s">
        <v>145</v>
      </c>
      <c r="C517" s="4">
        <v>1</v>
      </c>
      <c r="D517" s="8">
        <v>1.49</v>
      </c>
      <c r="E517" s="4">
        <v>0</v>
      </c>
      <c r="F517" s="8">
        <v>0</v>
      </c>
      <c r="G517" s="4">
        <v>1</v>
      </c>
      <c r="H517" s="8">
        <v>3.7</v>
      </c>
      <c r="I517" s="4">
        <v>0</v>
      </c>
    </row>
    <row r="518" spans="1:9" x14ac:dyDescent="0.2">
      <c r="A518" s="2">
        <v>14</v>
      </c>
      <c r="B518" s="1" t="s">
        <v>106</v>
      </c>
      <c r="C518" s="4">
        <v>1</v>
      </c>
      <c r="D518" s="8">
        <v>1.49</v>
      </c>
      <c r="E518" s="4">
        <v>0</v>
      </c>
      <c r="F518" s="8">
        <v>0</v>
      </c>
      <c r="G518" s="4">
        <v>1</v>
      </c>
      <c r="H518" s="8">
        <v>3.7</v>
      </c>
      <c r="I518" s="4">
        <v>0</v>
      </c>
    </row>
    <row r="519" spans="1:9" x14ac:dyDescent="0.2">
      <c r="A519" s="2">
        <v>14</v>
      </c>
      <c r="B519" s="1" t="s">
        <v>109</v>
      </c>
      <c r="C519" s="4">
        <v>1</v>
      </c>
      <c r="D519" s="8">
        <v>1.49</v>
      </c>
      <c r="E519" s="4">
        <v>1</v>
      </c>
      <c r="F519" s="8">
        <v>2.63</v>
      </c>
      <c r="G519" s="4">
        <v>0</v>
      </c>
      <c r="H519" s="8">
        <v>0</v>
      </c>
      <c r="I519" s="4">
        <v>0</v>
      </c>
    </row>
    <row r="520" spans="1:9" x14ac:dyDescent="0.2">
      <c r="A520" s="2">
        <v>14</v>
      </c>
      <c r="B520" s="1" t="s">
        <v>112</v>
      </c>
      <c r="C520" s="4">
        <v>1</v>
      </c>
      <c r="D520" s="8">
        <v>1.49</v>
      </c>
      <c r="E520" s="4">
        <v>1</v>
      </c>
      <c r="F520" s="8">
        <v>2.63</v>
      </c>
      <c r="G520" s="4">
        <v>0</v>
      </c>
      <c r="H520" s="8">
        <v>0</v>
      </c>
      <c r="I520" s="4">
        <v>0</v>
      </c>
    </row>
    <row r="521" spans="1:9" x14ac:dyDescent="0.2">
      <c r="A521" s="2">
        <v>14</v>
      </c>
      <c r="B521" s="1" t="s">
        <v>113</v>
      </c>
      <c r="C521" s="4">
        <v>1</v>
      </c>
      <c r="D521" s="8">
        <v>1.49</v>
      </c>
      <c r="E521" s="4">
        <v>0</v>
      </c>
      <c r="F521" s="8">
        <v>0</v>
      </c>
      <c r="G521" s="4">
        <v>1</v>
      </c>
      <c r="H521" s="8">
        <v>3.7</v>
      </c>
      <c r="I521" s="4">
        <v>0</v>
      </c>
    </row>
    <row r="522" spans="1:9" x14ac:dyDescent="0.2">
      <c r="A522" s="2">
        <v>14</v>
      </c>
      <c r="B522" s="1" t="s">
        <v>129</v>
      </c>
      <c r="C522" s="4">
        <v>1</v>
      </c>
      <c r="D522" s="8">
        <v>1.49</v>
      </c>
      <c r="E522" s="4">
        <v>1</v>
      </c>
      <c r="F522" s="8">
        <v>2.63</v>
      </c>
      <c r="G522" s="4">
        <v>0</v>
      </c>
      <c r="H522" s="8">
        <v>0</v>
      </c>
      <c r="I522" s="4">
        <v>0</v>
      </c>
    </row>
    <row r="523" spans="1:9" x14ac:dyDescent="0.2">
      <c r="A523" s="2">
        <v>14</v>
      </c>
      <c r="B523" s="1" t="s">
        <v>132</v>
      </c>
      <c r="C523" s="4">
        <v>1</v>
      </c>
      <c r="D523" s="8">
        <v>1.49</v>
      </c>
      <c r="E523" s="4">
        <v>1</v>
      </c>
      <c r="F523" s="8">
        <v>2.63</v>
      </c>
      <c r="G523" s="4">
        <v>0</v>
      </c>
      <c r="H523" s="8">
        <v>0</v>
      </c>
      <c r="I523" s="4">
        <v>0</v>
      </c>
    </row>
    <row r="524" spans="1:9" x14ac:dyDescent="0.2">
      <c r="A524" s="2">
        <v>14</v>
      </c>
      <c r="B524" s="1" t="s">
        <v>118</v>
      </c>
      <c r="C524" s="4">
        <v>1</v>
      </c>
      <c r="D524" s="8">
        <v>1.49</v>
      </c>
      <c r="E524" s="4">
        <v>1</v>
      </c>
      <c r="F524" s="8">
        <v>2.63</v>
      </c>
      <c r="G524" s="4">
        <v>0</v>
      </c>
      <c r="H524" s="8">
        <v>0</v>
      </c>
      <c r="I524" s="4">
        <v>0</v>
      </c>
    </row>
    <row r="525" spans="1:9" x14ac:dyDescent="0.2">
      <c r="A525" s="2">
        <v>14</v>
      </c>
      <c r="B525" s="1" t="s">
        <v>147</v>
      </c>
      <c r="C525" s="4">
        <v>1</v>
      </c>
      <c r="D525" s="8">
        <v>1.49</v>
      </c>
      <c r="E525" s="4">
        <v>0</v>
      </c>
      <c r="F525" s="8">
        <v>0</v>
      </c>
      <c r="G525" s="4">
        <v>1</v>
      </c>
      <c r="H525" s="8">
        <v>3.7</v>
      </c>
      <c r="I525" s="4">
        <v>0</v>
      </c>
    </row>
    <row r="526" spans="1:9" x14ac:dyDescent="0.2">
      <c r="A526" s="2">
        <v>14</v>
      </c>
      <c r="B526" s="1" t="s">
        <v>148</v>
      </c>
      <c r="C526" s="4">
        <v>1</v>
      </c>
      <c r="D526" s="8">
        <v>1.49</v>
      </c>
      <c r="E526" s="4">
        <v>0</v>
      </c>
      <c r="F526" s="8">
        <v>0</v>
      </c>
      <c r="G526" s="4">
        <v>1</v>
      </c>
      <c r="H526" s="8">
        <v>3.7</v>
      </c>
      <c r="I526" s="4">
        <v>0</v>
      </c>
    </row>
    <row r="527" spans="1:9" x14ac:dyDescent="0.2">
      <c r="A527" s="1"/>
      <c r="C527" s="4"/>
      <c r="D527" s="8"/>
      <c r="E527" s="4"/>
      <c r="F527" s="8"/>
      <c r="G527" s="4"/>
      <c r="H527" s="8"/>
      <c r="I527" s="4"/>
    </row>
    <row r="528" spans="1:9" x14ac:dyDescent="0.2">
      <c r="A528" s="1" t="s">
        <v>23</v>
      </c>
      <c r="C528" s="4"/>
      <c r="D528" s="8"/>
      <c r="E528" s="4"/>
      <c r="F528" s="8"/>
      <c r="G528" s="4"/>
      <c r="H528" s="8"/>
      <c r="I528" s="4"/>
    </row>
    <row r="529" spans="1:9" x14ac:dyDescent="0.2">
      <c r="A529" s="2">
        <v>1</v>
      </c>
      <c r="B529" s="1" t="s">
        <v>101</v>
      </c>
      <c r="C529" s="4">
        <v>7</v>
      </c>
      <c r="D529" s="8">
        <v>16.28</v>
      </c>
      <c r="E529" s="4">
        <v>4</v>
      </c>
      <c r="F529" s="8">
        <v>16.670000000000002</v>
      </c>
      <c r="G529" s="4">
        <v>3</v>
      </c>
      <c r="H529" s="8">
        <v>21.43</v>
      </c>
      <c r="I529" s="4">
        <v>0</v>
      </c>
    </row>
    <row r="530" spans="1:9" x14ac:dyDescent="0.2">
      <c r="A530" s="2">
        <v>2</v>
      </c>
      <c r="B530" s="1" t="s">
        <v>114</v>
      </c>
      <c r="C530" s="4">
        <v>5</v>
      </c>
      <c r="D530" s="8">
        <v>11.63</v>
      </c>
      <c r="E530" s="4">
        <v>2</v>
      </c>
      <c r="F530" s="8">
        <v>8.33</v>
      </c>
      <c r="G530" s="4">
        <v>3</v>
      </c>
      <c r="H530" s="8">
        <v>21.43</v>
      </c>
      <c r="I530" s="4">
        <v>0</v>
      </c>
    </row>
    <row r="531" spans="1:9" x14ac:dyDescent="0.2">
      <c r="A531" s="2">
        <v>3</v>
      </c>
      <c r="B531" s="1" t="s">
        <v>102</v>
      </c>
      <c r="C531" s="4">
        <v>4</v>
      </c>
      <c r="D531" s="8">
        <v>9.3000000000000007</v>
      </c>
      <c r="E531" s="4">
        <v>3</v>
      </c>
      <c r="F531" s="8">
        <v>12.5</v>
      </c>
      <c r="G531" s="4">
        <v>1</v>
      </c>
      <c r="H531" s="8">
        <v>7.14</v>
      </c>
      <c r="I531" s="4">
        <v>0</v>
      </c>
    </row>
    <row r="532" spans="1:9" x14ac:dyDescent="0.2">
      <c r="A532" s="2">
        <v>3</v>
      </c>
      <c r="B532" s="1" t="s">
        <v>110</v>
      </c>
      <c r="C532" s="4">
        <v>4</v>
      </c>
      <c r="D532" s="8">
        <v>9.3000000000000007</v>
      </c>
      <c r="E532" s="4">
        <v>2</v>
      </c>
      <c r="F532" s="8">
        <v>8.33</v>
      </c>
      <c r="G532" s="4">
        <v>2</v>
      </c>
      <c r="H532" s="8">
        <v>14.29</v>
      </c>
      <c r="I532" s="4">
        <v>0</v>
      </c>
    </row>
    <row r="533" spans="1:9" x14ac:dyDescent="0.2">
      <c r="A533" s="2">
        <v>3</v>
      </c>
      <c r="B533" s="1" t="s">
        <v>116</v>
      </c>
      <c r="C533" s="4">
        <v>4</v>
      </c>
      <c r="D533" s="8">
        <v>9.3000000000000007</v>
      </c>
      <c r="E533" s="4">
        <v>3</v>
      </c>
      <c r="F533" s="8">
        <v>12.5</v>
      </c>
      <c r="G533" s="4">
        <v>0</v>
      </c>
      <c r="H533" s="8">
        <v>0</v>
      </c>
      <c r="I533" s="4">
        <v>0</v>
      </c>
    </row>
    <row r="534" spans="1:9" x14ac:dyDescent="0.2">
      <c r="A534" s="2">
        <v>6</v>
      </c>
      <c r="B534" s="1" t="s">
        <v>108</v>
      </c>
      <c r="C534" s="4">
        <v>3</v>
      </c>
      <c r="D534" s="8">
        <v>6.98</v>
      </c>
      <c r="E534" s="4">
        <v>3</v>
      </c>
      <c r="F534" s="8">
        <v>12.5</v>
      </c>
      <c r="G534" s="4">
        <v>0</v>
      </c>
      <c r="H534" s="8">
        <v>0</v>
      </c>
      <c r="I534" s="4">
        <v>0</v>
      </c>
    </row>
    <row r="535" spans="1:9" x14ac:dyDescent="0.2">
      <c r="A535" s="2">
        <v>7</v>
      </c>
      <c r="B535" s="1" t="s">
        <v>103</v>
      </c>
      <c r="C535" s="4">
        <v>2</v>
      </c>
      <c r="D535" s="8">
        <v>4.6500000000000004</v>
      </c>
      <c r="E535" s="4">
        <v>2</v>
      </c>
      <c r="F535" s="8">
        <v>8.33</v>
      </c>
      <c r="G535" s="4">
        <v>0</v>
      </c>
      <c r="H535" s="8">
        <v>0</v>
      </c>
      <c r="I535" s="4">
        <v>0</v>
      </c>
    </row>
    <row r="536" spans="1:9" x14ac:dyDescent="0.2">
      <c r="A536" s="2">
        <v>7</v>
      </c>
      <c r="B536" s="1" t="s">
        <v>117</v>
      </c>
      <c r="C536" s="4">
        <v>2</v>
      </c>
      <c r="D536" s="8">
        <v>4.6500000000000004</v>
      </c>
      <c r="E536" s="4">
        <v>0</v>
      </c>
      <c r="F536" s="8">
        <v>0</v>
      </c>
      <c r="G536" s="4">
        <v>0</v>
      </c>
      <c r="H536" s="8">
        <v>0</v>
      </c>
      <c r="I536" s="4">
        <v>0</v>
      </c>
    </row>
    <row r="537" spans="1:9" x14ac:dyDescent="0.2">
      <c r="A537" s="2">
        <v>9</v>
      </c>
      <c r="B537" s="1" t="s">
        <v>149</v>
      </c>
      <c r="C537" s="4">
        <v>1</v>
      </c>
      <c r="D537" s="8">
        <v>2.33</v>
      </c>
      <c r="E537" s="4">
        <v>1</v>
      </c>
      <c r="F537" s="8">
        <v>4.17</v>
      </c>
      <c r="G537" s="4">
        <v>0</v>
      </c>
      <c r="H537" s="8">
        <v>0</v>
      </c>
      <c r="I537" s="4">
        <v>0</v>
      </c>
    </row>
    <row r="538" spans="1:9" x14ac:dyDescent="0.2">
      <c r="A538" s="2">
        <v>9</v>
      </c>
      <c r="B538" s="1" t="s">
        <v>137</v>
      </c>
      <c r="C538" s="4">
        <v>1</v>
      </c>
      <c r="D538" s="8">
        <v>2.33</v>
      </c>
      <c r="E538" s="4">
        <v>1</v>
      </c>
      <c r="F538" s="8">
        <v>4.17</v>
      </c>
      <c r="G538" s="4">
        <v>0</v>
      </c>
      <c r="H538" s="8">
        <v>0</v>
      </c>
      <c r="I538" s="4">
        <v>0</v>
      </c>
    </row>
    <row r="539" spans="1:9" x14ac:dyDescent="0.2">
      <c r="A539" s="2">
        <v>9</v>
      </c>
      <c r="B539" s="1" t="s">
        <v>135</v>
      </c>
      <c r="C539" s="4">
        <v>1</v>
      </c>
      <c r="D539" s="8">
        <v>2.33</v>
      </c>
      <c r="E539" s="4">
        <v>1</v>
      </c>
      <c r="F539" s="8">
        <v>4.17</v>
      </c>
      <c r="G539" s="4">
        <v>0</v>
      </c>
      <c r="H539" s="8">
        <v>0</v>
      </c>
      <c r="I539" s="4">
        <v>0</v>
      </c>
    </row>
    <row r="540" spans="1:9" x14ac:dyDescent="0.2">
      <c r="A540" s="2">
        <v>9</v>
      </c>
      <c r="B540" s="1" t="s">
        <v>139</v>
      </c>
      <c r="C540" s="4">
        <v>1</v>
      </c>
      <c r="D540" s="8">
        <v>2.33</v>
      </c>
      <c r="E540" s="4">
        <v>0</v>
      </c>
      <c r="F540" s="8">
        <v>0</v>
      </c>
      <c r="G540" s="4">
        <v>0</v>
      </c>
      <c r="H540" s="8">
        <v>0</v>
      </c>
      <c r="I540" s="4">
        <v>0</v>
      </c>
    </row>
    <row r="541" spans="1:9" x14ac:dyDescent="0.2">
      <c r="A541" s="2">
        <v>9</v>
      </c>
      <c r="B541" s="1" t="s">
        <v>150</v>
      </c>
      <c r="C541" s="4">
        <v>1</v>
      </c>
      <c r="D541" s="8">
        <v>2.33</v>
      </c>
      <c r="E541" s="4">
        <v>0</v>
      </c>
      <c r="F541" s="8">
        <v>0</v>
      </c>
      <c r="G541" s="4">
        <v>0</v>
      </c>
      <c r="H541" s="8">
        <v>0</v>
      </c>
      <c r="I541" s="4">
        <v>0</v>
      </c>
    </row>
    <row r="542" spans="1:9" x14ac:dyDescent="0.2">
      <c r="A542" s="2">
        <v>9</v>
      </c>
      <c r="B542" s="1" t="s">
        <v>145</v>
      </c>
      <c r="C542" s="4">
        <v>1</v>
      </c>
      <c r="D542" s="8">
        <v>2.33</v>
      </c>
      <c r="E542" s="4">
        <v>0</v>
      </c>
      <c r="F542" s="8">
        <v>0</v>
      </c>
      <c r="G542" s="4">
        <v>1</v>
      </c>
      <c r="H542" s="8">
        <v>7.14</v>
      </c>
      <c r="I542" s="4">
        <v>0</v>
      </c>
    </row>
    <row r="543" spans="1:9" x14ac:dyDescent="0.2">
      <c r="A543" s="2">
        <v>9</v>
      </c>
      <c r="B543" s="1" t="s">
        <v>125</v>
      </c>
      <c r="C543" s="4">
        <v>1</v>
      </c>
      <c r="D543" s="8">
        <v>2.33</v>
      </c>
      <c r="E543" s="4">
        <v>0</v>
      </c>
      <c r="F543" s="8">
        <v>0</v>
      </c>
      <c r="G543" s="4">
        <v>1</v>
      </c>
      <c r="H543" s="8">
        <v>7.14</v>
      </c>
      <c r="I543" s="4">
        <v>0</v>
      </c>
    </row>
    <row r="544" spans="1:9" x14ac:dyDescent="0.2">
      <c r="A544" s="2">
        <v>9</v>
      </c>
      <c r="B544" s="1" t="s">
        <v>123</v>
      </c>
      <c r="C544" s="4">
        <v>1</v>
      </c>
      <c r="D544" s="8">
        <v>2.33</v>
      </c>
      <c r="E544" s="4">
        <v>0</v>
      </c>
      <c r="F544" s="8">
        <v>0</v>
      </c>
      <c r="G544" s="4">
        <v>1</v>
      </c>
      <c r="H544" s="8">
        <v>7.14</v>
      </c>
      <c r="I544" s="4">
        <v>0</v>
      </c>
    </row>
    <row r="545" spans="1:9" x14ac:dyDescent="0.2">
      <c r="A545" s="2">
        <v>9</v>
      </c>
      <c r="B545" s="1" t="s">
        <v>113</v>
      </c>
      <c r="C545" s="4">
        <v>1</v>
      </c>
      <c r="D545" s="8">
        <v>2.33</v>
      </c>
      <c r="E545" s="4">
        <v>0</v>
      </c>
      <c r="F545" s="8">
        <v>0</v>
      </c>
      <c r="G545" s="4">
        <v>1</v>
      </c>
      <c r="H545" s="8">
        <v>7.14</v>
      </c>
      <c r="I545" s="4">
        <v>0</v>
      </c>
    </row>
    <row r="546" spans="1:9" x14ac:dyDescent="0.2">
      <c r="A546" s="2">
        <v>9</v>
      </c>
      <c r="B546" s="1" t="s">
        <v>115</v>
      </c>
      <c r="C546" s="4">
        <v>1</v>
      </c>
      <c r="D546" s="8">
        <v>2.33</v>
      </c>
      <c r="E546" s="4">
        <v>1</v>
      </c>
      <c r="F546" s="8">
        <v>4.17</v>
      </c>
      <c r="G546" s="4">
        <v>0</v>
      </c>
      <c r="H546" s="8">
        <v>0</v>
      </c>
      <c r="I546" s="4">
        <v>0</v>
      </c>
    </row>
    <row r="547" spans="1:9" x14ac:dyDescent="0.2">
      <c r="A547" s="2">
        <v>9</v>
      </c>
      <c r="B547" s="1" t="s">
        <v>132</v>
      </c>
      <c r="C547" s="4">
        <v>1</v>
      </c>
      <c r="D547" s="8">
        <v>2.33</v>
      </c>
      <c r="E547" s="4">
        <v>1</v>
      </c>
      <c r="F547" s="8">
        <v>4.17</v>
      </c>
      <c r="G547" s="4">
        <v>0</v>
      </c>
      <c r="H547" s="8">
        <v>0</v>
      </c>
      <c r="I547" s="4">
        <v>0</v>
      </c>
    </row>
    <row r="548" spans="1:9" x14ac:dyDescent="0.2">
      <c r="A548" s="2">
        <v>9</v>
      </c>
      <c r="B548" s="1" t="s">
        <v>124</v>
      </c>
      <c r="C548" s="4">
        <v>1</v>
      </c>
      <c r="D548" s="8">
        <v>2.33</v>
      </c>
      <c r="E548" s="4">
        <v>0</v>
      </c>
      <c r="F548" s="8">
        <v>0</v>
      </c>
      <c r="G548" s="4">
        <v>1</v>
      </c>
      <c r="H548" s="8">
        <v>7.14</v>
      </c>
      <c r="I548" s="4">
        <v>0</v>
      </c>
    </row>
    <row r="549" spans="1:9" x14ac:dyDescent="0.2">
      <c r="A549" s="1"/>
      <c r="C549" s="4"/>
      <c r="D549" s="8"/>
      <c r="E549" s="4"/>
      <c r="F549" s="8"/>
      <c r="G549" s="4"/>
      <c r="H549" s="8"/>
      <c r="I549" s="4"/>
    </row>
    <row r="550" spans="1:9" x14ac:dyDescent="0.2">
      <c r="A550" s="1" t="s">
        <v>24</v>
      </c>
      <c r="C550" s="4"/>
      <c r="D550" s="8"/>
      <c r="E550" s="4"/>
      <c r="F550" s="8"/>
      <c r="G550" s="4"/>
      <c r="H550" s="8"/>
      <c r="I550" s="4"/>
    </row>
    <row r="551" spans="1:9" x14ac:dyDescent="0.2">
      <c r="A551" s="2">
        <v>1</v>
      </c>
      <c r="B551" s="1" t="s">
        <v>101</v>
      </c>
      <c r="C551" s="4">
        <v>6</v>
      </c>
      <c r="D551" s="8">
        <v>20</v>
      </c>
      <c r="E551" s="4">
        <v>2</v>
      </c>
      <c r="F551" s="8">
        <v>9.52</v>
      </c>
      <c r="G551" s="4">
        <v>4</v>
      </c>
      <c r="H551" s="8">
        <v>80</v>
      </c>
      <c r="I551" s="4">
        <v>0</v>
      </c>
    </row>
    <row r="552" spans="1:9" x14ac:dyDescent="0.2">
      <c r="A552" s="2">
        <v>1</v>
      </c>
      <c r="B552" s="1" t="s">
        <v>102</v>
      </c>
      <c r="C552" s="4">
        <v>6</v>
      </c>
      <c r="D552" s="8">
        <v>20</v>
      </c>
      <c r="E552" s="4">
        <v>6</v>
      </c>
      <c r="F552" s="8">
        <v>28.57</v>
      </c>
      <c r="G552" s="4">
        <v>0</v>
      </c>
      <c r="H552" s="8">
        <v>0</v>
      </c>
      <c r="I552" s="4">
        <v>0</v>
      </c>
    </row>
    <row r="553" spans="1:9" x14ac:dyDescent="0.2">
      <c r="A553" s="2">
        <v>3</v>
      </c>
      <c r="B553" s="1" t="s">
        <v>130</v>
      </c>
      <c r="C553" s="4">
        <v>2</v>
      </c>
      <c r="D553" s="8">
        <v>6.67</v>
      </c>
      <c r="E553" s="4">
        <v>2</v>
      </c>
      <c r="F553" s="8">
        <v>9.52</v>
      </c>
      <c r="G553" s="4">
        <v>0</v>
      </c>
      <c r="H553" s="8">
        <v>0</v>
      </c>
      <c r="I553" s="4">
        <v>0</v>
      </c>
    </row>
    <row r="554" spans="1:9" x14ac:dyDescent="0.2">
      <c r="A554" s="2">
        <v>3</v>
      </c>
      <c r="B554" s="1" t="s">
        <v>108</v>
      </c>
      <c r="C554" s="4">
        <v>2</v>
      </c>
      <c r="D554" s="8">
        <v>6.67</v>
      </c>
      <c r="E554" s="4">
        <v>2</v>
      </c>
      <c r="F554" s="8">
        <v>9.52</v>
      </c>
      <c r="G554" s="4">
        <v>0</v>
      </c>
      <c r="H554" s="8">
        <v>0</v>
      </c>
      <c r="I554" s="4">
        <v>0</v>
      </c>
    </row>
    <row r="555" spans="1:9" x14ac:dyDescent="0.2">
      <c r="A555" s="2">
        <v>3</v>
      </c>
      <c r="B555" s="1" t="s">
        <v>110</v>
      </c>
      <c r="C555" s="4">
        <v>2</v>
      </c>
      <c r="D555" s="8">
        <v>6.67</v>
      </c>
      <c r="E555" s="4">
        <v>2</v>
      </c>
      <c r="F555" s="8">
        <v>9.52</v>
      </c>
      <c r="G555" s="4">
        <v>0</v>
      </c>
      <c r="H555" s="8">
        <v>0</v>
      </c>
      <c r="I555" s="4">
        <v>0</v>
      </c>
    </row>
    <row r="556" spans="1:9" x14ac:dyDescent="0.2">
      <c r="A556" s="2">
        <v>3</v>
      </c>
      <c r="B556" s="1" t="s">
        <v>117</v>
      </c>
      <c r="C556" s="4">
        <v>2</v>
      </c>
      <c r="D556" s="8">
        <v>6.67</v>
      </c>
      <c r="E556" s="4">
        <v>0</v>
      </c>
      <c r="F556" s="8">
        <v>0</v>
      </c>
      <c r="G556" s="4">
        <v>0</v>
      </c>
      <c r="H556" s="8">
        <v>0</v>
      </c>
      <c r="I556" s="4">
        <v>0</v>
      </c>
    </row>
    <row r="557" spans="1:9" x14ac:dyDescent="0.2">
      <c r="A557" s="2">
        <v>7</v>
      </c>
      <c r="B557" s="1" t="s">
        <v>103</v>
      </c>
      <c r="C557" s="4">
        <v>1</v>
      </c>
      <c r="D557" s="8">
        <v>3.33</v>
      </c>
      <c r="E557" s="4">
        <v>1</v>
      </c>
      <c r="F557" s="8">
        <v>4.76</v>
      </c>
      <c r="G557" s="4">
        <v>0</v>
      </c>
      <c r="H557" s="8">
        <v>0</v>
      </c>
      <c r="I557" s="4">
        <v>0</v>
      </c>
    </row>
    <row r="558" spans="1:9" x14ac:dyDescent="0.2">
      <c r="A558" s="2">
        <v>7</v>
      </c>
      <c r="B558" s="1" t="s">
        <v>127</v>
      </c>
      <c r="C558" s="4">
        <v>1</v>
      </c>
      <c r="D558" s="8">
        <v>3.33</v>
      </c>
      <c r="E558" s="4">
        <v>0</v>
      </c>
      <c r="F558" s="8">
        <v>0</v>
      </c>
      <c r="G558" s="4">
        <v>1</v>
      </c>
      <c r="H558" s="8">
        <v>20</v>
      </c>
      <c r="I558" s="4">
        <v>0</v>
      </c>
    </row>
    <row r="559" spans="1:9" x14ac:dyDescent="0.2">
      <c r="A559" s="2">
        <v>7</v>
      </c>
      <c r="B559" s="1" t="s">
        <v>151</v>
      </c>
      <c r="C559" s="4">
        <v>1</v>
      </c>
      <c r="D559" s="8">
        <v>3.33</v>
      </c>
      <c r="E559" s="4">
        <v>1</v>
      </c>
      <c r="F559" s="8">
        <v>4.76</v>
      </c>
      <c r="G559" s="4">
        <v>0</v>
      </c>
      <c r="H559" s="8">
        <v>0</v>
      </c>
      <c r="I559" s="4">
        <v>0</v>
      </c>
    </row>
    <row r="560" spans="1:9" x14ac:dyDescent="0.2">
      <c r="A560" s="2">
        <v>7</v>
      </c>
      <c r="B560" s="1" t="s">
        <v>109</v>
      </c>
      <c r="C560" s="4">
        <v>1</v>
      </c>
      <c r="D560" s="8">
        <v>3.33</v>
      </c>
      <c r="E560" s="4">
        <v>1</v>
      </c>
      <c r="F560" s="8">
        <v>4.76</v>
      </c>
      <c r="G560" s="4">
        <v>0</v>
      </c>
      <c r="H560" s="8">
        <v>0</v>
      </c>
      <c r="I560" s="4">
        <v>0</v>
      </c>
    </row>
    <row r="561" spans="1:9" x14ac:dyDescent="0.2">
      <c r="A561" s="2">
        <v>7</v>
      </c>
      <c r="B561" s="1" t="s">
        <v>133</v>
      </c>
      <c r="C561" s="4">
        <v>1</v>
      </c>
      <c r="D561" s="8">
        <v>3.33</v>
      </c>
      <c r="E561" s="4">
        <v>1</v>
      </c>
      <c r="F561" s="8">
        <v>4.76</v>
      </c>
      <c r="G561" s="4">
        <v>0</v>
      </c>
      <c r="H561" s="8">
        <v>0</v>
      </c>
      <c r="I561" s="4">
        <v>0</v>
      </c>
    </row>
    <row r="562" spans="1:9" x14ac:dyDescent="0.2">
      <c r="A562" s="2">
        <v>7</v>
      </c>
      <c r="B562" s="1" t="s">
        <v>114</v>
      </c>
      <c r="C562" s="4">
        <v>1</v>
      </c>
      <c r="D562" s="8">
        <v>3.33</v>
      </c>
      <c r="E562" s="4">
        <v>1</v>
      </c>
      <c r="F562" s="8">
        <v>4.76</v>
      </c>
      <c r="G562" s="4">
        <v>0</v>
      </c>
      <c r="H562" s="8">
        <v>0</v>
      </c>
      <c r="I562" s="4">
        <v>0</v>
      </c>
    </row>
    <row r="563" spans="1:9" x14ac:dyDescent="0.2">
      <c r="A563" s="2">
        <v>7</v>
      </c>
      <c r="B563" s="1" t="s">
        <v>116</v>
      </c>
      <c r="C563" s="4">
        <v>1</v>
      </c>
      <c r="D563" s="8">
        <v>3.33</v>
      </c>
      <c r="E563" s="4">
        <v>1</v>
      </c>
      <c r="F563" s="8">
        <v>4.76</v>
      </c>
      <c r="G563" s="4">
        <v>0</v>
      </c>
      <c r="H563" s="8">
        <v>0</v>
      </c>
      <c r="I563" s="4">
        <v>0</v>
      </c>
    </row>
    <row r="564" spans="1:9" x14ac:dyDescent="0.2">
      <c r="A564" s="2">
        <v>7</v>
      </c>
      <c r="B564" s="1" t="s">
        <v>132</v>
      </c>
      <c r="C564" s="4">
        <v>1</v>
      </c>
      <c r="D564" s="8">
        <v>3.33</v>
      </c>
      <c r="E564" s="4">
        <v>0</v>
      </c>
      <c r="F564" s="8">
        <v>0</v>
      </c>
      <c r="G564" s="4">
        <v>0</v>
      </c>
      <c r="H564" s="8">
        <v>0</v>
      </c>
      <c r="I564" s="4">
        <v>0</v>
      </c>
    </row>
    <row r="565" spans="1:9" x14ac:dyDescent="0.2">
      <c r="A565" s="2">
        <v>7</v>
      </c>
      <c r="B565" s="1" t="s">
        <v>118</v>
      </c>
      <c r="C565" s="4">
        <v>1</v>
      </c>
      <c r="D565" s="8">
        <v>3.33</v>
      </c>
      <c r="E565" s="4">
        <v>1</v>
      </c>
      <c r="F565" s="8">
        <v>4.76</v>
      </c>
      <c r="G565" s="4">
        <v>0</v>
      </c>
      <c r="H565" s="8">
        <v>0</v>
      </c>
      <c r="I565" s="4">
        <v>0</v>
      </c>
    </row>
    <row r="566" spans="1:9" x14ac:dyDescent="0.2">
      <c r="A566" s="2">
        <v>7</v>
      </c>
      <c r="B566" s="1" t="s">
        <v>119</v>
      </c>
      <c r="C566" s="4">
        <v>1</v>
      </c>
      <c r="D566" s="8">
        <v>3.33</v>
      </c>
      <c r="E566" s="4">
        <v>0</v>
      </c>
      <c r="F566" s="8">
        <v>0</v>
      </c>
      <c r="G566" s="4">
        <v>0</v>
      </c>
      <c r="H566" s="8">
        <v>0</v>
      </c>
      <c r="I566" s="4">
        <v>0</v>
      </c>
    </row>
    <row r="567" spans="1:9" x14ac:dyDescent="0.2">
      <c r="A567" s="1"/>
      <c r="C567" s="4"/>
      <c r="D567" s="8"/>
      <c r="E567" s="4"/>
      <c r="F567" s="8"/>
      <c r="G567" s="4"/>
      <c r="H567" s="8"/>
      <c r="I567" s="4"/>
    </row>
    <row r="568" spans="1:9" x14ac:dyDescent="0.2">
      <c r="A568" s="1" t="s">
        <v>25</v>
      </c>
      <c r="C568" s="4"/>
      <c r="D568" s="8"/>
      <c r="E568" s="4"/>
      <c r="F568" s="8"/>
      <c r="G568" s="4"/>
      <c r="H568" s="8"/>
      <c r="I568" s="4"/>
    </row>
    <row r="569" spans="1:9" x14ac:dyDescent="0.2">
      <c r="A569" s="2">
        <v>1</v>
      </c>
      <c r="B569" s="1" t="s">
        <v>101</v>
      </c>
      <c r="C569" s="4">
        <v>42</v>
      </c>
      <c r="D569" s="8">
        <v>13.5</v>
      </c>
      <c r="E569" s="4">
        <v>21</v>
      </c>
      <c r="F569" s="8">
        <v>10.71</v>
      </c>
      <c r="G569" s="4">
        <v>21</v>
      </c>
      <c r="H569" s="8">
        <v>18.75</v>
      </c>
      <c r="I569" s="4">
        <v>0</v>
      </c>
    </row>
    <row r="570" spans="1:9" x14ac:dyDescent="0.2">
      <c r="A570" s="2">
        <v>2</v>
      </c>
      <c r="B570" s="1" t="s">
        <v>116</v>
      </c>
      <c r="C570" s="4">
        <v>31</v>
      </c>
      <c r="D570" s="8">
        <v>9.9700000000000006</v>
      </c>
      <c r="E570" s="4">
        <v>29</v>
      </c>
      <c r="F570" s="8">
        <v>14.8</v>
      </c>
      <c r="G570" s="4">
        <v>2</v>
      </c>
      <c r="H570" s="8">
        <v>1.79</v>
      </c>
      <c r="I570" s="4">
        <v>0</v>
      </c>
    </row>
    <row r="571" spans="1:9" x14ac:dyDescent="0.2">
      <c r="A571" s="2">
        <v>3</v>
      </c>
      <c r="B571" s="1" t="s">
        <v>102</v>
      </c>
      <c r="C571" s="4">
        <v>24</v>
      </c>
      <c r="D571" s="8">
        <v>7.72</v>
      </c>
      <c r="E571" s="4">
        <v>20</v>
      </c>
      <c r="F571" s="8">
        <v>10.199999999999999</v>
      </c>
      <c r="G571" s="4">
        <v>4</v>
      </c>
      <c r="H571" s="8">
        <v>3.57</v>
      </c>
      <c r="I571" s="4">
        <v>0</v>
      </c>
    </row>
    <row r="572" spans="1:9" x14ac:dyDescent="0.2">
      <c r="A572" s="2">
        <v>4</v>
      </c>
      <c r="B572" s="1" t="s">
        <v>110</v>
      </c>
      <c r="C572" s="4">
        <v>21</v>
      </c>
      <c r="D572" s="8">
        <v>6.75</v>
      </c>
      <c r="E572" s="4">
        <v>17</v>
      </c>
      <c r="F572" s="8">
        <v>8.67</v>
      </c>
      <c r="G572" s="4">
        <v>4</v>
      </c>
      <c r="H572" s="8">
        <v>3.57</v>
      </c>
      <c r="I572" s="4">
        <v>0</v>
      </c>
    </row>
    <row r="573" spans="1:9" x14ac:dyDescent="0.2">
      <c r="A573" s="2">
        <v>5</v>
      </c>
      <c r="B573" s="1" t="s">
        <v>115</v>
      </c>
      <c r="C573" s="4">
        <v>20</v>
      </c>
      <c r="D573" s="8">
        <v>6.43</v>
      </c>
      <c r="E573" s="4">
        <v>18</v>
      </c>
      <c r="F573" s="8">
        <v>9.18</v>
      </c>
      <c r="G573" s="4">
        <v>2</v>
      </c>
      <c r="H573" s="8">
        <v>1.79</v>
      </c>
      <c r="I573" s="4">
        <v>0</v>
      </c>
    </row>
    <row r="574" spans="1:9" x14ac:dyDescent="0.2">
      <c r="A574" s="2">
        <v>6</v>
      </c>
      <c r="B574" s="1" t="s">
        <v>103</v>
      </c>
      <c r="C574" s="4">
        <v>14</v>
      </c>
      <c r="D574" s="8">
        <v>4.5</v>
      </c>
      <c r="E574" s="4">
        <v>7</v>
      </c>
      <c r="F574" s="8">
        <v>3.57</v>
      </c>
      <c r="G574" s="4">
        <v>7</v>
      </c>
      <c r="H574" s="8">
        <v>6.25</v>
      </c>
      <c r="I574" s="4">
        <v>0</v>
      </c>
    </row>
    <row r="575" spans="1:9" x14ac:dyDescent="0.2">
      <c r="A575" s="2">
        <v>7</v>
      </c>
      <c r="B575" s="1" t="s">
        <v>108</v>
      </c>
      <c r="C575" s="4">
        <v>12</v>
      </c>
      <c r="D575" s="8">
        <v>3.86</v>
      </c>
      <c r="E575" s="4">
        <v>11</v>
      </c>
      <c r="F575" s="8">
        <v>5.61</v>
      </c>
      <c r="G575" s="4">
        <v>1</v>
      </c>
      <c r="H575" s="8">
        <v>0.89</v>
      </c>
      <c r="I575" s="4">
        <v>0</v>
      </c>
    </row>
    <row r="576" spans="1:9" x14ac:dyDescent="0.2">
      <c r="A576" s="2">
        <v>8</v>
      </c>
      <c r="B576" s="1" t="s">
        <v>114</v>
      </c>
      <c r="C576" s="4">
        <v>11</v>
      </c>
      <c r="D576" s="8">
        <v>3.54</v>
      </c>
      <c r="E576" s="4">
        <v>8</v>
      </c>
      <c r="F576" s="8">
        <v>4.08</v>
      </c>
      <c r="G576" s="4">
        <v>3</v>
      </c>
      <c r="H576" s="8">
        <v>2.68</v>
      </c>
      <c r="I576" s="4">
        <v>0</v>
      </c>
    </row>
    <row r="577" spans="1:9" x14ac:dyDescent="0.2">
      <c r="A577" s="2">
        <v>9</v>
      </c>
      <c r="B577" s="1" t="s">
        <v>109</v>
      </c>
      <c r="C577" s="4">
        <v>10</v>
      </c>
      <c r="D577" s="8">
        <v>3.22</v>
      </c>
      <c r="E577" s="4">
        <v>6</v>
      </c>
      <c r="F577" s="8">
        <v>3.06</v>
      </c>
      <c r="G577" s="4">
        <v>4</v>
      </c>
      <c r="H577" s="8">
        <v>3.57</v>
      </c>
      <c r="I577" s="4">
        <v>0</v>
      </c>
    </row>
    <row r="578" spans="1:9" x14ac:dyDescent="0.2">
      <c r="A578" s="2">
        <v>9</v>
      </c>
      <c r="B578" s="1" t="s">
        <v>120</v>
      </c>
      <c r="C578" s="4">
        <v>10</v>
      </c>
      <c r="D578" s="8">
        <v>3.22</v>
      </c>
      <c r="E578" s="4">
        <v>8</v>
      </c>
      <c r="F578" s="8">
        <v>4.08</v>
      </c>
      <c r="G578" s="4">
        <v>2</v>
      </c>
      <c r="H578" s="8">
        <v>1.79</v>
      </c>
      <c r="I578" s="4">
        <v>0</v>
      </c>
    </row>
    <row r="579" spans="1:9" x14ac:dyDescent="0.2">
      <c r="A579" s="2">
        <v>11</v>
      </c>
      <c r="B579" s="1" t="s">
        <v>118</v>
      </c>
      <c r="C579" s="4">
        <v>9</v>
      </c>
      <c r="D579" s="8">
        <v>2.89</v>
      </c>
      <c r="E579" s="4">
        <v>9</v>
      </c>
      <c r="F579" s="8">
        <v>4.59</v>
      </c>
      <c r="G579" s="4">
        <v>0</v>
      </c>
      <c r="H579" s="8">
        <v>0</v>
      </c>
      <c r="I579" s="4">
        <v>0</v>
      </c>
    </row>
    <row r="580" spans="1:9" x14ac:dyDescent="0.2">
      <c r="A580" s="2">
        <v>12</v>
      </c>
      <c r="B580" s="1" t="s">
        <v>127</v>
      </c>
      <c r="C580" s="4">
        <v>6</v>
      </c>
      <c r="D580" s="8">
        <v>1.93</v>
      </c>
      <c r="E580" s="4">
        <v>2</v>
      </c>
      <c r="F580" s="8">
        <v>1.02</v>
      </c>
      <c r="G580" s="4">
        <v>4</v>
      </c>
      <c r="H580" s="8">
        <v>3.57</v>
      </c>
      <c r="I580" s="4">
        <v>0</v>
      </c>
    </row>
    <row r="581" spans="1:9" x14ac:dyDescent="0.2">
      <c r="A581" s="2">
        <v>12</v>
      </c>
      <c r="B581" s="1" t="s">
        <v>105</v>
      </c>
      <c r="C581" s="4">
        <v>6</v>
      </c>
      <c r="D581" s="8">
        <v>1.93</v>
      </c>
      <c r="E581" s="4">
        <v>2</v>
      </c>
      <c r="F581" s="8">
        <v>1.02</v>
      </c>
      <c r="G581" s="4">
        <v>4</v>
      </c>
      <c r="H581" s="8">
        <v>3.57</v>
      </c>
      <c r="I581" s="4">
        <v>0</v>
      </c>
    </row>
    <row r="582" spans="1:9" x14ac:dyDescent="0.2">
      <c r="A582" s="2">
        <v>12</v>
      </c>
      <c r="B582" s="1" t="s">
        <v>111</v>
      </c>
      <c r="C582" s="4">
        <v>6</v>
      </c>
      <c r="D582" s="8">
        <v>1.93</v>
      </c>
      <c r="E582" s="4">
        <v>1</v>
      </c>
      <c r="F582" s="8">
        <v>0.51</v>
      </c>
      <c r="G582" s="4">
        <v>4</v>
      </c>
      <c r="H582" s="8">
        <v>3.57</v>
      </c>
      <c r="I582" s="4">
        <v>0</v>
      </c>
    </row>
    <row r="583" spans="1:9" x14ac:dyDescent="0.2">
      <c r="A583" s="2">
        <v>12</v>
      </c>
      <c r="B583" s="1" t="s">
        <v>113</v>
      </c>
      <c r="C583" s="4">
        <v>6</v>
      </c>
      <c r="D583" s="8">
        <v>1.93</v>
      </c>
      <c r="E583" s="4">
        <v>3</v>
      </c>
      <c r="F583" s="8">
        <v>1.53</v>
      </c>
      <c r="G583" s="4">
        <v>3</v>
      </c>
      <c r="H583" s="8">
        <v>2.68</v>
      </c>
      <c r="I583" s="4">
        <v>0</v>
      </c>
    </row>
    <row r="584" spans="1:9" x14ac:dyDescent="0.2">
      <c r="A584" s="2">
        <v>16</v>
      </c>
      <c r="B584" s="1" t="s">
        <v>152</v>
      </c>
      <c r="C584" s="4">
        <v>5</v>
      </c>
      <c r="D584" s="8">
        <v>1.61</v>
      </c>
      <c r="E584" s="4">
        <v>3</v>
      </c>
      <c r="F584" s="8">
        <v>1.53</v>
      </c>
      <c r="G584" s="4">
        <v>2</v>
      </c>
      <c r="H584" s="8">
        <v>1.79</v>
      </c>
      <c r="I584" s="4">
        <v>0</v>
      </c>
    </row>
    <row r="585" spans="1:9" x14ac:dyDescent="0.2">
      <c r="A585" s="2">
        <v>16</v>
      </c>
      <c r="B585" s="1" t="s">
        <v>121</v>
      </c>
      <c r="C585" s="4">
        <v>5</v>
      </c>
      <c r="D585" s="8">
        <v>1.61</v>
      </c>
      <c r="E585" s="4">
        <v>0</v>
      </c>
      <c r="F585" s="8">
        <v>0</v>
      </c>
      <c r="G585" s="4">
        <v>5</v>
      </c>
      <c r="H585" s="8">
        <v>4.46</v>
      </c>
      <c r="I585" s="4">
        <v>0</v>
      </c>
    </row>
    <row r="586" spans="1:9" x14ac:dyDescent="0.2">
      <c r="A586" s="2">
        <v>16</v>
      </c>
      <c r="B586" s="1" t="s">
        <v>107</v>
      </c>
      <c r="C586" s="4">
        <v>5</v>
      </c>
      <c r="D586" s="8">
        <v>1.61</v>
      </c>
      <c r="E586" s="4">
        <v>2</v>
      </c>
      <c r="F586" s="8">
        <v>1.02</v>
      </c>
      <c r="G586" s="4">
        <v>3</v>
      </c>
      <c r="H586" s="8">
        <v>2.68</v>
      </c>
      <c r="I586" s="4">
        <v>0</v>
      </c>
    </row>
    <row r="587" spans="1:9" x14ac:dyDescent="0.2">
      <c r="A587" s="2">
        <v>16</v>
      </c>
      <c r="B587" s="1" t="s">
        <v>112</v>
      </c>
      <c r="C587" s="4">
        <v>5</v>
      </c>
      <c r="D587" s="8">
        <v>1.61</v>
      </c>
      <c r="E587" s="4">
        <v>4</v>
      </c>
      <c r="F587" s="8">
        <v>2.04</v>
      </c>
      <c r="G587" s="4">
        <v>1</v>
      </c>
      <c r="H587" s="8">
        <v>0.89</v>
      </c>
      <c r="I587" s="4">
        <v>0</v>
      </c>
    </row>
    <row r="588" spans="1:9" x14ac:dyDescent="0.2">
      <c r="A588" s="2">
        <v>20</v>
      </c>
      <c r="B588" s="1" t="s">
        <v>137</v>
      </c>
      <c r="C588" s="4">
        <v>4</v>
      </c>
      <c r="D588" s="8">
        <v>1.29</v>
      </c>
      <c r="E588" s="4">
        <v>1</v>
      </c>
      <c r="F588" s="8">
        <v>0.51</v>
      </c>
      <c r="G588" s="4">
        <v>3</v>
      </c>
      <c r="H588" s="8">
        <v>2.68</v>
      </c>
      <c r="I588" s="4">
        <v>0</v>
      </c>
    </row>
    <row r="589" spans="1:9" x14ac:dyDescent="0.2">
      <c r="A589" s="2">
        <v>20</v>
      </c>
      <c r="B589" s="1" t="s">
        <v>131</v>
      </c>
      <c r="C589" s="4">
        <v>4</v>
      </c>
      <c r="D589" s="8">
        <v>1.29</v>
      </c>
      <c r="E589" s="4">
        <v>4</v>
      </c>
      <c r="F589" s="8">
        <v>2.04</v>
      </c>
      <c r="G589" s="4">
        <v>0</v>
      </c>
      <c r="H589" s="8">
        <v>0</v>
      </c>
      <c r="I589" s="4">
        <v>0</v>
      </c>
    </row>
    <row r="590" spans="1:9" x14ac:dyDescent="0.2">
      <c r="A590" s="1"/>
      <c r="C590" s="4"/>
      <c r="D590" s="8"/>
      <c r="E590" s="4"/>
      <c r="F590" s="8"/>
      <c r="G590" s="4"/>
      <c r="H590" s="8"/>
      <c r="I590" s="4"/>
    </row>
    <row r="591" spans="1:9" x14ac:dyDescent="0.2">
      <c r="A591" s="1" t="s">
        <v>26</v>
      </c>
      <c r="C591" s="4"/>
      <c r="D591" s="8"/>
      <c r="E591" s="4"/>
      <c r="F591" s="8"/>
      <c r="G591" s="4"/>
      <c r="H591" s="8"/>
      <c r="I591" s="4"/>
    </row>
    <row r="592" spans="1:9" x14ac:dyDescent="0.2">
      <c r="A592" s="2">
        <v>1</v>
      </c>
      <c r="B592" s="1" t="s">
        <v>115</v>
      </c>
      <c r="C592" s="4">
        <v>163</v>
      </c>
      <c r="D592" s="8">
        <v>15.22</v>
      </c>
      <c r="E592" s="4">
        <v>121</v>
      </c>
      <c r="F592" s="8">
        <v>29.8</v>
      </c>
      <c r="G592" s="4">
        <v>42</v>
      </c>
      <c r="H592" s="8">
        <v>6.44</v>
      </c>
      <c r="I592" s="4">
        <v>0</v>
      </c>
    </row>
    <row r="593" spans="1:9" x14ac:dyDescent="0.2">
      <c r="A593" s="2">
        <v>2</v>
      </c>
      <c r="B593" s="1" t="s">
        <v>114</v>
      </c>
      <c r="C593" s="4">
        <v>113</v>
      </c>
      <c r="D593" s="8">
        <v>10.55</v>
      </c>
      <c r="E593" s="4">
        <v>57</v>
      </c>
      <c r="F593" s="8">
        <v>14.04</v>
      </c>
      <c r="G593" s="4">
        <v>56</v>
      </c>
      <c r="H593" s="8">
        <v>8.59</v>
      </c>
      <c r="I593" s="4">
        <v>0</v>
      </c>
    </row>
    <row r="594" spans="1:9" x14ac:dyDescent="0.2">
      <c r="A594" s="2">
        <v>3</v>
      </c>
      <c r="B594" s="1" t="s">
        <v>110</v>
      </c>
      <c r="C594" s="4">
        <v>92</v>
      </c>
      <c r="D594" s="8">
        <v>8.59</v>
      </c>
      <c r="E594" s="4">
        <v>34</v>
      </c>
      <c r="F594" s="8">
        <v>8.3699999999999992</v>
      </c>
      <c r="G594" s="4">
        <v>58</v>
      </c>
      <c r="H594" s="8">
        <v>8.9</v>
      </c>
      <c r="I594" s="4">
        <v>0</v>
      </c>
    </row>
    <row r="595" spans="1:9" x14ac:dyDescent="0.2">
      <c r="A595" s="2">
        <v>4</v>
      </c>
      <c r="B595" s="1" t="s">
        <v>108</v>
      </c>
      <c r="C595" s="4">
        <v>91</v>
      </c>
      <c r="D595" s="8">
        <v>8.5</v>
      </c>
      <c r="E595" s="4">
        <v>31</v>
      </c>
      <c r="F595" s="8">
        <v>7.64</v>
      </c>
      <c r="G595" s="4">
        <v>59</v>
      </c>
      <c r="H595" s="8">
        <v>9.0500000000000007</v>
      </c>
      <c r="I595" s="4">
        <v>1</v>
      </c>
    </row>
    <row r="596" spans="1:9" x14ac:dyDescent="0.2">
      <c r="A596" s="2">
        <v>5</v>
      </c>
      <c r="B596" s="1" t="s">
        <v>101</v>
      </c>
      <c r="C596" s="4">
        <v>80</v>
      </c>
      <c r="D596" s="8">
        <v>7.47</v>
      </c>
      <c r="E596" s="4">
        <v>13</v>
      </c>
      <c r="F596" s="8">
        <v>3.2</v>
      </c>
      <c r="G596" s="4">
        <v>67</v>
      </c>
      <c r="H596" s="8">
        <v>10.28</v>
      </c>
      <c r="I596" s="4">
        <v>0</v>
      </c>
    </row>
    <row r="597" spans="1:9" x14ac:dyDescent="0.2">
      <c r="A597" s="2">
        <v>6</v>
      </c>
      <c r="B597" s="1" t="s">
        <v>107</v>
      </c>
      <c r="C597" s="4">
        <v>79</v>
      </c>
      <c r="D597" s="8">
        <v>7.38</v>
      </c>
      <c r="E597" s="4">
        <v>20</v>
      </c>
      <c r="F597" s="8">
        <v>4.93</v>
      </c>
      <c r="G597" s="4">
        <v>59</v>
      </c>
      <c r="H597" s="8">
        <v>9.0500000000000007</v>
      </c>
      <c r="I597" s="4">
        <v>0</v>
      </c>
    </row>
    <row r="598" spans="1:9" x14ac:dyDescent="0.2">
      <c r="A598" s="2">
        <v>7</v>
      </c>
      <c r="B598" s="1" t="s">
        <v>111</v>
      </c>
      <c r="C598" s="4">
        <v>64</v>
      </c>
      <c r="D598" s="8">
        <v>5.98</v>
      </c>
      <c r="E598" s="4">
        <v>6</v>
      </c>
      <c r="F598" s="8">
        <v>1.48</v>
      </c>
      <c r="G598" s="4">
        <v>57</v>
      </c>
      <c r="H598" s="8">
        <v>8.74</v>
      </c>
      <c r="I598" s="4">
        <v>0</v>
      </c>
    </row>
    <row r="599" spans="1:9" x14ac:dyDescent="0.2">
      <c r="A599" s="2">
        <v>8</v>
      </c>
      <c r="B599" s="1" t="s">
        <v>123</v>
      </c>
      <c r="C599" s="4">
        <v>51</v>
      </c>
      <c r="D599" s="8">
        <v>4.76</v>
      </c>
      <c r="E599" s="4">
        <v>2</v>
      </c>
      <c r="F599" s="8">
        <v>0.49</v>
      </c>
      <c r="G599" s="4">
        <v>49</v>
      </c>
      <c r="H599" s="8">
        <v>7.52</v>
      </c>
      <c r="I599" s="4">
        <v>0</v>
      </c>
    </row>
    <row r="600" spans="1:9" x14ac:dyDescent="0.2">
      <c r="A600" s="2">
        <v>9</v>
      </c>
      <c r="B600" s="1" t="s">
        <v>116</v>
      </c>
      <c r="C600" s="4">
        <v>44</v>
      </c>
      <c r="D600" s="8">
        <v>4.1100000000000003</v>
      </c>
      <c r="E600" s="4">
        <v>34</v>
      </c>
      <c r="F600" s="8">
        <v>8.3699999999999992</v>
      </c>
      <c r="G600" s="4">
        <v>10</v>
      </c>
      <c r="H600" s="8">
        <v>1.53</v>
      </c>
      <c r="I600" s="4">
        <v>0</v>
      </c>
    </row>
    <row r="601" spans="1:9" x14ac:dyDescent="0.2">
      <c r="A601" s="2">
        <v>10</v>
      </c>
      <c r="B601" s="1" t="s">
        <v>112</v>
      </c>
      <c r="C601" s="4">
        <v>31</v>
      </c>
      <c r="D601" s="8">
        <v>2.89</v>
      </c>
      <c r="E601" s="4">
        <v>12</v>
      </c>
      <c r="F601" s="8">
        <v>2.96</v>
      </c>
      <c r="G601" s="4">
        <v>19</v>
      </c>
      <c r="H601" s="8">
        <v>2.91</v>
      </c>
      <c r="I601" s="4">
        <v>0</v>
      </c>
    </row>
    <row r="602" spans="1:9" x14ac:dyDescent="0.2">
      <c r="A602" s="2">
        <v>11</v>
      </c>
      <c r="B602" s="1" t="s">
        <v>117</v>
      </c>
      <c r="C602" s="4">
        <v>27</v>
      </c>
      <c r="D602" s="8">
        <v>2.52</v>
      </c>
      <c r="E602" s="4">
        <v>11</v>
      </c>
      <c r="F602" s="8">
        <v>2.71</v>
      </c>
      <c r="G602" s="4">
        <v>10</v>
      </c>
      <c r="H602" s="8">
        <v>1.53</v>
      </c>
      <c r="I602" s="4">
        <v>2</v>
      </c>
    </row>
    <row r="603" spans="1:9" x14ac:dyDescent="0.2">
      <c r="A603" s="2">
        <v>12</v>
      </c>
      <c r="B603" s="1" t="s">
        <v>103</v>
      </c>
      <c r="C603" s="4">
        <v>22</v>
      </c>
      <c r="D603" s="8">
        <v>2.0499999999999998</v>
      </c>
      <c r="E603" s="4">
        <v>6</v>
      </c>
      <c r="F603" s="8">
        <v>1.48</v>
      </c>
      <c r="G603" s="4">
        <v>16</v>
      </c>
      <c r="H603" s="8">
        <v>2.4500000000000002</v>
      </c>
      <c r="I603" s="4">
        <v>0</v>
      </c>
    </row>
    <row r="604" spans="1:9" x14ac:dyDescent="0.2">
      <c r="A604" s="2">
        <v>13</v>
      </c>
      <c r="B604" s="1" t="s">
        <v>153</v>
      </c>
      <c r="C604" s="4">
        <v>20</v>
      </c>
      <c r="D604" s="8">
        <v>1.87</v>
      </c>
      <c r="E604" s="4">
        <v>5</v>
      </c>
      <c r="F604" s="8">
        <v>1.23</v>
      </c>
      <c r="G604" s="4">
        <v>15</v>
      </c>
      <c r="H604" s="8">
        <v>2.2999999999999998</v>
      </c>
      <c r="I604" s="4">
        <v>0</v>
      </c>
    </row>
    <row r="605" spans="1:9" x14ac:dyDescent="0.2">
      <c r="A605" s="2">
        <v>13</v>
      </c>
      <c r="B605" s="1" t="s">
        <v>118</v>
      </c>
      <c r="C605" s="4">
        <v>20</v>
      </c>
      <c r="D605" s="8">
        <v>1.87</v>
      </c>
      <c r="E605" s="4">
        <v>17</v>
      </c>
      <c r="F605" s="8">
        <v>4.1900000000000004</v>
      </c>
      <c r="G605" s="4">
        <v>3</v>
      </c>
      <c r="H605" s="8">
        <v>0.46</v>
      </c>
      <c r="I605" s="4">
        <v>0</v>
      </c>
    </row>
    <row r="606" spans="1:9" x14ac:dyDescent="0.2">
      <c r="A606" s="2">
        <v>15</v>
      </c>
      <c r="B606" s="1" t="s">
        <v>132</v>
      </c>
      <c r="C606" s="4">
        <v>16</v>
      </c>
      <c r="D606" s="8">
        <v>1.49</v>
      </c>
      <c r="E606" s="4">
        <v>6</v>
      </c>
      <c r="F606" s="8">
        <v>1.48</v>
      </c>
      <c r="G606" s="4">
        <v>10</v>
      </c>
      <c r="H606" s="8">
        <v>1.53</v>
      </c>
      <c r="I606" s="4">
        <v>0</v>
      </c>
    </row>
    <row r="607" spans="1:9" x14ac:dyDescent="0.2">
      <c r="A607" s="2">
        <v>16</v>
      </c>
      <c r="B607" s="1" t="s">
        <v>102</v>
      </c>
      <c r="C607" s="4">
        <v>15</v>
      </c>
      <c r="D607" s="8">
        <v>1.4</v>
      </c>
      <c r="E607" s="4">
        <v>7</v>
      </c>
      <c r="F607" s="8">
        <v>1.72</v>
      </c>
      <c r="G607" s="4">
        <v>8</v>
      </c>
      <c r="H607" s="8">
        <v>1.23</v>
      </c>
      <c r="I607" s="4">
        <v>0</v>
      </c>
    </row>
    <row r="608" spans="1:9" x14ac:dyDescent="0.2">
      <c r="A608" s="2">
        <v>17</v>
      </c>
      <c r="B608" s="1" t="s">
        <v>109</v>
      </c>
      <c r="C608" s="4">
        <v>13</v>
      </c>
      <c r="D608" s="8">
        <v>1.21</v>
      </c>
      <c r="E608" s="4">
        <v>4</v>
      </c>
      <c r="F608" s="8">
        <v>0.99</v>
      </c>
      <c r="G608" s="4">
        <v>9</v>
      </c>
      <c r="H608" s="8">
        <v>1.38</v>
      </c>
      <c r="I608" s="4">
        <v>0</v>
      </c>
    </row>
    <row r="609" spans="1:9" x14ac:dyDescent="0.2">
      <c r="A609" s="2">
        <v>18</v>
      </c>
      <c r="B609" s="1" t="s">
        <v>124</v>
      </c>
      <c r="C609" s="4">
        <v>12</v>
      </c>
      <c r="D609" s="8">
        <v>1.1200000000000001</v>
      </c>
      <c r="E609" s="4">
        <v>0</v>
      </c>
      <c r="F609" s="8">
        <v>0</v>
      </c>
      <c r="G609" s="4">
        <v>12</v>
      </c>
      <c r="H609" s="8">
        <v>1.84</v>
      </c>
      <c r="I609" s="4">
        <v>0</v>
      </c>
    </row>
    <row r="610" spans="1:9" x14ac:dyDescent="0.2">
      <c r="A610" s="2">
        <v>19</v>
      </c>
      <c r="B610" s="1" t="s">
        <v>131</v>
      </c>
      <c r="C610" s="4">
        <v>11</v>
      </c>
      <c r="D610" s="8">
        <v>1.03</v>
      </c>
      <c r="E610" s="4">
        <v>3</v>
      </c>
      <c r="F610" s="8">
        <v>0.74</v>
      </c>
      <c r="G610" s="4">
        <v>8</v>
      </c>
      <c r="H610" s="8">
        <v>1.23</v>
      </c>
      <c r="I610" s="4">
        <v>0</v>
      </c>
    </row>
    <row r="611" spans="1:9" x14ac:dyDescent="0.2">
      <c r="A611" s="2">
        <v>20</v>
      </c>
      <c r="B611" s="1" t="s">
        <v>113</v>
      </c>
      <c r="C611" s="4">
        <v>9</v>
      </c>
      <c r="D611" s="8">
        <v>0.84</v>
      </c>
      <c r="E611" s="4">
        <v>3</v>
      </c>
      <c r="F611" s="8">
        <v>0.74</v>
      </c>
      <c r="G611" s="4">
        <v>6</v>
      </c>
      <c r="H611" s="8">
        <v>0.92</v>
      </c>
      <c r="I611" s="4">
        <v>0</v>
      </c>
    </row>
    <row r="612" spans="1:9" x14ac:dyDescent="0.2">
      <c r="A612" s="1"/>
      <c r="C612" s="4"/>
      <c r="D612" s="8"/>
      <c r="E612" s="4"/>
      <c r="F612" s="8"/>
      <c r="G612" s="4"/>
      <c r="H612" s="8"/>
      <c r="I612" s="4"/>
    </row>
    <row r="613" spans="1:9" x14ac:dyDescent="0.2">
      <c r="A613" s="1" t="s">
        <v>27</v>
      </c>
      <c r="C613" s="4"/>
      <c r="D613" s="8"/>
      <c r="E613" s="4"/>
      <c r="F613" s="8"/>
      <c r="G613" s="4"/>
      <c r="H613" s="8"/>
      <c r="I613" s="4"/>
    </row>
    <row r="614" spans="1:9" x14ac:dyDescent="0.2">
      <c r="A614" s="2">
        <v>1</v>
      </c>
      <c r="B614" s="1" t="s">
        <v>115</v>
      </c>
      <c r="C614" s="4">
        <v>50</v>
      </c>
      <c r="D614" s="8">
        <v>15.24</v>
      </c>
      <c r="E614" s="4">
        <v>44</v>
      </c>
      <c r="F614" s="8">
        <v>24.86</v>
      </c>
      <c r="G614" s="4">
        <v>6</v>
      </c>
      <c r="H614" s="8">
        <v>4.08</v>
      </c>
      <c r="I614" s="4">
        <v>0</v>
      </c>
    </row>
    <row r="615" spans="1:9" x14ac:dyDescent="0.2">
      <c r="A615" s="2">
        <v>2</v>
      </c>
      <c r="B615" s="1" t="s">
        <v>101</v>
      </c>
      <c r="C615" s="4">
        <v>33</v>
      </c>
      <c r="D615" s="8">
        <v>10.06</v>
      </c>
      <c r="E615" s="4">
        <v>10</v>
      </c>
      <c r="F615" s="8">
        <v>5.65</v>
      </c>
      <c r="G615" s="4">
        <v>23</v>
      </c>
      <c r="H615" s="8">
        <v>15.65</v>
      </c>
      <c r="I615" s="4">
        <v>0</v>
      </c>
    </row>
    <row r="616" spans="1:9" x14ac:dyDescent="0.2">
      <c r="A616" s="2">
        <v>3</v>
      </c>
      <c r="B616" s="1" t="s">
        <v>116</v>
      </c>
      <c r="C616" s="4">
        <v>29</v>
      </c>
      <c r="D616" s="8">
        <v>8.84</v>
      </c>
      <c r="E616" s="4">
        <v>25</v>
      </c>
      <c r="F616" s="8">
        <v>14.12</v>
      </c>
      <c r="G616" s="4">
        <v>4</v>
      </c>
      <c r="H616" s="8">
        <v>2.72</v>
      </c>
      <c r="I616" s="4">
        <v>0</v>
      </c>
    </row>
    <row r="617" spans="1:9" x14ac:dyDescent="0.2">
      <c r="A617" s="2">
        <v>4</v>
      </c>
      <c r="B617" s="1" t="s">
        <v>110</v>
      </c>
      <c r="C617" s="4">
        <v>22</v>
      </c>
      <c r="D617" s="8">
        <v>6.71</v>
      </c>
      <c r="E617" s="4">
        <v>7</v>
      </c>
      <c r="F617" s="8">
        <v>3.95</v>
      </c>
      <c r="G617" s="4">
        <v>15</v>
      </c>
      <c r="H617" s="8">
        <v>10.199999999999999</v>
      </c>
      <c r="I617" s="4">
        <v>0</v>
      </c>
    </row>
    <row r="618" spans="1:9" x14ac:dyDescent="0.2">
      <c r="A618" s="2">
        <v>5</v>
      </c>
      <c r="B618" s="1" t="s">
        <v>108</v>
      </c>
      <c r="C618" s="4">
        <v>18</v>
      </c>
      <c r="D618" s="8">
        <v>5.49</v>
      </c>
      <c r="E618" s="4">
        <v>13</v>
      </c>
      <c r="F618" s="8">
        <v>7.34</v>
      </c>
      <c r="G618" s="4">
        <v>5</v>
      </c>
      <c r="H618" s="8">
        <v>3.4</v>
      </c>
      <c r="I618" s="4">
        <v>0</v>
      </c>
    </row>
    <row r="619" spans="1:9" x14ac:dyDescent="0.2">
      <c r="A619" s="2">
        <v>6</v>
      </c>
      <c r="B619" s="1" t="s">
        <v>118</v>
      </c>
      <c r="C619" s="4">
        <v>14</v>
      </c>
      <c r="D619" s="8">
        <v>4.2699999999999996</v>
      </c>
      <c r="E619" s="4">
        <v>11</v>
      </c>
      <c r="F619" s="8">
        <v>6.21</v>
      </c>
      <c r="G619" s="4">
        <v>3</v>
      </c>
      <c r="H619" s="8">
        <v>2.04</v>
      </c>
      <c r="I619" s="4">
        <v>0</v>
      </c>
    </row>
    <row r="620" spans="1:9" x14ac:dyDescent="0.2">
      <c r="A620" s="2">
        <v>7</v>
      </c>
      <c r="B620" s="1" t="s">
        <v>102</v>
      </c>
      <c r="C620" s="4">
        <v>13</v>
      </c>
      <c r="D620" s="8">
        <v>3.96</v>
      </c>
      <c r="E620" s="4">
        <v>9</v>
      </c>
      <c r="F620" s="8">
        <v>5.08</v>
      </c>
      <c r="G620" s="4">
        <v>4</v>
      </c>
      <c r="H620" s="8">
        <v>2.72</v>
      </c>
      <c r="I620" s="4">
        <v>0</v>
      </c>
    </row>
    <row r="621" spans="1:9" x14ac:dyDescent="0.2">
      <c r="A621" s="2">
        <v>8</v>
      </c>
      <c r="B621" s="1" t="s">
        <v>111</v>
      </c>
      <c r="C621" s="4">
        <v>12</v>
      </c>
      <c r="D621" s="8">
        <v>3.66</v>
      </c>
      <c r="E621" s="4">
        <v>4</v>
      </c>
      <c r="F621" s="8">
        <v>2.2599999999999998</v>
      </c>
      <c r="G621" s="4">
        <v>8</v>
      </c>
      <c r="H621" s="8">
        <v>5.44</v>
      </c>
      <c r="I621" s="4">
        <v>0</v>
      </c>
    </row>
    <row r="622" spans="1:9" x14ac:dyDescent="0.2">
      <c r="A622" s="2">
        <v>8</v>
      </c>
      <c r="B622" s="1" t="s">
        <v>114</v>
      </c>
      <c r="C622" s="4">
        <v>12</v>
      </c>
      <c r="D622" s="8">
        <v>3.66</v>
      </c>
      <c r="E622" s="4">
        <v>5</v>
      </c>
      <c r="F622" s="8">
        <v>2.82</v>
      </c>
      <c r="G622" s="4">
        <v>7</v>
      </c>
      <c r="H622" s="8">
        <v>4.76</v>
      </c>
      <c r="I622" s="4">
        <v>0</v>
      </c>
    </row>
    <row r="623" spans="1:9" x14ac:dyDescent="0.2">
      <c r="A623" s="2">
        <v>10</v>
      </c>
      <c r="B623" s="1" t="s">
        <v>103</v>
      </c>
      <c r="C623" s="4">
        <v>9</v>
      </c>
      <c r="D623" s="8">
        <v>2.74</v>
      </c>
      <c r="E623" s="4">
        <v>5</v>
      </c>
      <c r="F623" s="8">
        <v>2.82</v>
      </c>
      <c r="G623" s="4">
        <v>4</v>
      </c>
      <c r="H623" s="8">
        <v>2.72</v>
      </c>
      <c r="I623" s="4">
        <v>0</v>
      </c>
    </row>
    <row r="624" spans="1:9" x14ac:dyDescent="0.2">
      <c r="A624" s="2">
        <v>10</v>
      </c>
      <c r="B624" s="1" t="s">
        <v>117</v>
      </c>
      <c r="C624" s="4">
        <v>9</v>
      </c>
      <c r="D624" s="8">
        <v>2.74</v>
      </c>
      <c r="E624" s="4">
        <v>7</v>
      </c>
      <c r="F624" s="8">
        <v>3.95</v>
      </c>
      <c r="G624" s="4">
        <v>1</v>
      </c>
      <c r="H624" s="8">
        <v>0.68</v>
      </c>
      <c r="I624" s="4">
        <v>1</v>
      </c>
    </row>
    <row r="625" spans="1:9" x14ac:dyDescent="0.2">
      <c r="A625" s="2">
        <v>12</v>
      </c>
      <c r="B625" s="1" t="s">
        <v>109</v>
      </c>
      <c r="C625" s="4">
        <v>8</v>
      </c>
      <c r="D625" s="8">
        <v>2.44</v>
      </c>
      <c r="E625" s="4">
        <v>5</v>
      </c>
      <c r="F625" s="8">
        <v>2.82</v>
      </c>
      <c r="G625" s="4">
        <v>3</v>
      </c>
      <c r="H625" s="8">
        <v>2.04</v>
      </c>
      <c r="I625" s="4">
        <v>0</v>
      </c>
    </row>
    <row r="626" spans="1:9" x14ac:dyDescent="0.2">
      <c r="A626" s="2">
        <v>12</v>
      </c>
      <c r="B626" s="1" t="s">
        <v>113</v>
      </c>
      <c r="C626" s="4">
        <v>8</v>
      </c>
      <c r="D626" s="8">
        <v>2.44</v>
      </c>
      <c r="E626" s="4">
        <v>3</v>
      </c>
      <c r="F626" s="8">
        <v>1.69</v>
      </c>
      <c r="G626" s="4">
        <v>4</v>
      </c>
      <c r="H626" s="8">
        <v>2.72</v>
      </c>
      <c r="I626" s="4">
        <v>0</v>
      </c>
    </row>
    <row r="627" spans="1:9" x14ac:dyDescent="0.2">
      <c r="A627" s="2">
        <v>14</v>
      </c>
      <c r="B627" s="1" t="s">
        <v>106</v>
      </c>
      <c r="C627" s="4">
        <v>7</v>
      </c>
      <c r="D627" s="8">
        <v>2.13</v>
      </c>
      <c r="E627" s="4">
        <v>0</v>
      </c>
      <c r="F627" s="8">
        <v>0</v>
      </c>
      <c r="G627" s="4">
        <v>7</v>
      </c>
      <c r="H627" s="8">
        <v>4.76</v>
      </c>
      <c r="I627" s="4">
        <v>0</v>
      </c>
    </row>
    <row r="628" spans="1:9" x14ac:dyDescent="0.2">
      <c r="A628" s="2">
        <v>14</v>
      </c>
      <c r="B628" s="1" t="s">
        <v>112</v>
      </c>
      <c r="C628" s="4">
        <v>7</v>
      </c>
      <c r="D628" s="8">
        <v>2.13</v>
      </c>
      <c r="E628" s="4">
        <v>3</v>
      </c>
      <c r="F628" s="8">
        <v>1.69</v>
      </c>
      <c r="G628" s="4">
        <v>4</v>
      </c>
      <c r="H628" s="8">
        <v>2.72</v>
      </c>
      <c r="I628" s="4">
        <v>0</v>
      </c>
    </row>
    <row r="629" spans="1:9" x14ac:dyDescent="0.2">
      <c r="A629" s="2">
        <v>16</v>
      </c>
      <c r="B629" s="1" t="s">
        <v>132</v>
      </c>
      <c r="C629" s="4">
        <v>6</v>
      </c>
      <c r="D629" s="8">
        <v>1.83</v>
      </c>
      <c r="E629" s="4">
        <v>0</v>
      </c>
      <c r="F629" s="8">
        <v>0</v>
      </c>
      <c r="G629" s="4">
        <v>4</v>
      </c>
      <c r="H629" s="8">
        <v>2.72</v>
      </c>
      <c r="I629" s="4">
        <v>0</v>
      </c>
    </row>
    <row r="630" spans="1:9" x14ac:dyDescent="0.2">
      <c r="A630" s="2">
        <v>17</v>
      </c>
      <c r="B630" s="1" t="s">
        <v>152</v>
      </c>
      <c r="C630" s="4">
        <v>5</v>
      </c>
      <c r="D630" s="8">
        <v>1.52</v>
      </c>
      <c r="E630" s="4">
        <v>3</v>
      </c>
      <c r="F630" s="8">
        <v>1.69</v>
      </c>
      <c r="G630" s="4">
        <v>2</v>
      </c>
      <c r="H630" s="8">
        <v>1.36</v>
      </c>
      <c r="I630" s="4">
        <v>0</v>
      </c>
    </row>
    <row r="631" spans="1:9" x14ac:dyDescent="0.2">
      <c r="A631" s="2">
        <v>17</v>
      </c>
      <c r="B631" s="1" t="s">
        <v>131</v>
      </c>
      <c r="C631" s="4">
        <v>5</v>
      </c>
      <c r="D631" s="8">
        <v>1.52</v>
      </c>
      <c r="E631" s="4">
        <v>4</v>
      </c>
      <c r="F631" s="8">
        <v>2.2599999999999998</v>
      </c>
      <c r="G631" s="4">
        <v>1</v>
      </c>
      <c r="H631" s="8">
        <v>0.68</v>
      </c>
      <c r="I631" s="4">
        <v>0</v>
      </c>
    </row>
    <row r="632" spans="1:9" x14ac:dyDescent="0.2">
      <c r="A632" s="2">
        <v>19</v>
      </c>
      <c r="B632" s="1" t="s">
        <v>154</v>
      </c>
      <c r="C632" s="4">
        <v>4</v>
      </c>
      <c r="D632" s="8">
        <v>1.22</v>
      </c>
      <c r="E632" s="4">
        <v>1</v>
      </c>
      <c r="F632" s="8">
        <v>0.56000000000000005</v>
      </c>
      <c r="G632" s="4">
        <v>3</v>
      </c>
      <c r="H632" s="8">
        <v>2.04</v>
      </c>
      <c r="I632" s="4">
        <v>0</v>
      </c>
    </row>
    <row r="633" spans="1:9" x14ac:dyDescent="0.2">
      <c r="A633" s="2">
        <v>19</v>
      </c>
      <c r="B633" s="1" t="s">
        <v>125</v>
      </c>
      <c r="C633" s="4">
        <v>4</v>
      </c>
      <c r="D633" s="8">
        <v>1.22</v>
      </c>
      <c r="E633" s="4">
        <v>0</v>
      </c>
      <c r="F633" s="8">
        <v>0</v>
      </c>
      <c r="G633" s="4">
        <v>4</v>
      </c>
      <c r="H633" s="8">
        <v>2.72</v>
      </c>
      <c r="I633" s="4">
        <v>0</v>
      </c>
    </row>
    <row r="634" spans="1:9" x14ac:dyDescent="0.2">
      <c r="A634" s="2">
        <v>19</v>
      </c>
      <c r="B634" s="1" t="s">
        <v>123</v>
      </c>
      <c r="C634" s="4">
        <v>4</v>
      </c>
      <c r="D634" s="8">
        <v>1.22</v>
      </c>
      <c r="E634" s="4">
        <v>0</v>
      </c>
      <c r="F634" s="8">
        <v>0</v>
      </c>
      <c r="G634" s="4">
        <v>4</v>
      </c>
      <c r="H634" s="8">
        <v>2.72</v>
      </c>
      <c r="I634" s="4">
        <v>0</v>
      </c>
    </row>
    <row r="635" spans="1:9" x14ac:dyDescent="0.2">
      <c r="A635" s="2">
        <v>19</v>
      </c>
      <c r="B635" s="1" t="s">
        <v>120</v>
      </c>
      <c r="C635" s="4">
        <v>4</v>
      </c>
      <c r="D635" s="8">
        <v>1.22</v>
      </c>
      <c r="E635" s="4">
        <v>2</v>
      </c>
      <c r="F635" s="8">
        <v>1.1299999999999999</v>
      </c>
      <c r="G635" s="4">
        <v>2</v>
      </c>
      <c r="H635" s="8">
        <v>1.36</v>
      </c>
      <c r="I635" s="4">
        <v>0</v>
      </c>
    </row>
    <row r="636" spans="1:9" x14ac:dyDescent="0.2">
      <c r="A636" s="1"/>
      <c r="C636" s="4"/>
      <c r="D636" s="8"/>
      <c r="E636" s="4"/>
      <c r="F636" s="8"/>
      <c r="G636" s="4"/>
      <c r="H636" s="8"/>
      <c r="I636" s="4"/>
    </row>
    <row r="637" spans="1:9" x14ac:dyDescent="0.2">
      <c r="A637" s="1" t="s">
        <v>28</v>
      </c>
      <c r="C637" s="4"/>
      <c r="D637" s="8"/>
      <c r="E637" s="4"/>
      <c r="F637" s="8"/>
      <c r="G637" s="4"/>
      <c r="H637" s="8"/>
      <c r="I637" s="4"/>
    </row>
    <row r="638" spans="1:9" x14ac:dyDescent="0.2">
      <c r="A638" s="2">
        <v>1</v>
      </c>
      <c r="B638" s="1" t="s">
        <v>114</v>
      </c>
      <c r="C638" s="4">
        <v>38</v>
      </c>
      <c r="D638" s="8">
        <v>17.43</v>
      </c>
      <c r="E638" s="4">
        <v>27</v>
      </c>
      <c r="F638" s="8">
        <v>20.77</v>
      </c>
      <c r="G638" s="4">
        <v>11</v>
      </c>
      <c r="H638" s="8">
        <v>12.79</v>
      </c>
      <c r="I638" s="4">
        <v>0</v>
      </c>
    </row>
    <row r="639" spans="1:9" x14ac:dyDescent="0.2">
      <c r="A639" s="2">
        <v>2</v>
      </c>
      <c r="B639" s="1" t="s">
        <v>115</v>
      </c>
      <c r="C639" s="4">
        <v>21</v>
      </c>
      <c r="D639" s="8">
        <v>9.6300000000000008</v>
      </c>
      <c r="E639" s="4">
        <v>17</v>
      </c>
      <c r="F639" s="8">
        <v>13.08</v>
      </c>
      <c r="G639" s="4">
        <v>4</v>
      </c>
      <c r="H639" s="8">
        <v>4.6500000000000004</v>
      </c>
      <c r="I639" s="4">
        <v>0</v>
      </c>
    </row>
    <row r="640" spans="1:9" x14ac:dyDescent="0.2">
      <c r="A640" s="2">
        <v>3</v>
      </c>
      <c r="B640" s="1" t="s">
        <v>116</v>
      </c>
      <c r="C640" s="4">
        <v>15</v>
      </c>
      <c r="D640" s="8">
        <v>6.88</v>
      </c>
      <c r="E640" s="4">
        <v>12</v>
      </c>
      <c r="F640" s="8">
        <v>9.23</v>
      </c>
      <c r="G640" s="4">
        <v>3</v>
      </c>
      <c r="H640" s="8">
        <v>3.49</v>
      </c>
      <c r="I640" s="4">
        <v>0</v>
      </c>
    </row>
    <row r="641" spans="1:9" x14ac:dyDescent="0.2">
      <c r="A641" s="2">
        <v>4</v>
      </c>
      <c r="B641" s="1" t="s">
        <v>110</v>
      </c>
      <c r="C641" s="4">
        <v>14</v>
      </c>
      <c r="D641" s="8">
        <v>6.42</v>
      </c>
      <c r="E641" s="4">
        <v>6</v>
      </c>
      <c r="F641" s="8">
        <v>4.62</v>
      </c>
      <c r="G641" s="4">
        <v>8</v>
      </c>
      <c r="H641" s="8">
        <v>9.3000000000000007</v>
      </c>
      <c r="I641" s="4">
        <v>0</v>
      </c>
    </row>
    <row r="642" spans="1:9" x14ac:dyDescent="0.2">
      <c r="A642" s="2">
        <v>5</v>
      </c>
      <c r="B642" s="1" t="s">
        <v>101</v>
      </c>
      <c r="C642" s="4">
        <v>13</v>
      </c>
      <c r="D642" s="8">
        <v>5.96</v>
      </c>
      <c r="E642" s="4">
        <v>6</v>
      </c>
      <c r="F642" s="8">
        <v>4.62</v>
      </c>
      <c r="G642" s="4">
        <v>7</v>
      </c>
      <c r="H642" s="8">
        <v>8.14</v>
      </c>
      <c r="I642" s="4">
        <v>0</v>
      </c>
    </row>
    <row r="643" spans="1:9" x14ac:dyDescent="0.2">
      <c r="A643" s="2">
        <v>6</v>
      </c>
      <c r="B643" s="1" t="s">
        <v>108</v>
      </c>
      <c r="C643" s="4">
        <v>10</v>
      </c>
      <c r="D643" s="8">
        <v>4.59</v>
      </c>
      <c r="E643" s="4">
        <v>8</v>
      </c>
      <c r="F643" s="8">
        <v>6.15</v>
      </c>
      <c r="G643" s="4">
        <v>2</v>
      </c>
      <c r="H643" s="8">
        <v>2.33</v>
      </c>
      <c r="I643" s="4">
        <v>0</v>
      </c>
    </row>
    <row r="644" spans="1:9" x14ac:dyDescent="0.2">
      <c r="A644" s="2">
        <v>7</v>
      </c>
      <c r="B644" s="1" t="s">
        <v>103</v>
      </c>
      <c r="C644" s="4">
        <v>9</v>
      </c>
      <c r="D644" s="8">
        <v>4.13</v>
      </c>
      <c r="E644" s="4">
        <v>6</v>
      </c>
      <c r="F644" s="8">
        <v>4.62</v>
      </c>
      <c r="G644" s="4">
        <v>3</v>
      </c>
      <c r="H644" s="8">
        <v>3.49</v>
      </c>
      <c r="I644" s="4">
        <v>0</v>
      </c>
    </row>
    <row r="645" spans="1:9" x14ac:dyDescent="0.2">
      <c r="A645" s="2">
        <v>7</v>
      </c>
      <c r="B645" s="1" t="s">
        <v>117</v>
      </c>
      <c r="C645" s="4">
        <v>9</v>
      </c>
      <c r="D645" s="8">
        <v>4.13</v>
      </c>
      <c r="E645" s="4">
        <v>5</v>
      </c>
      <c r="F645" s="8">
        <v>3.85</v>
      </c>
      <c r="G645" s="4">
        <v>3</v>
      </c>
      <c r="H645" s="8">
        <v>3.49</v>
      </c>
      <c r="I645" s="4">
        <v>1</v>
      </c>
    </row>
    <row r="646" spans="1:9" x14ac:dyDescent="0.2">
      <c r="A646" s="2">
        <v>9</v>
      </c>
      <c r="B646" s="1" t="s">
        <v>102</v>
      </c>
      <c r="C646" s="4">
        <v>8</v>
      </c>
      <c r="D646" s="8">
        <v>3.67</v>
      </c>
      <c r="E646" s="4">
        <v>5</v>
      </c>
      <c r="F646" s="8">
        <v>3.85</v>
      </c>
      <c r="G646" s="4">
        <v>3</v>
      </c>
      <c r="H646" s="8">
        <v>3.49</v>
      </c>
      <c r="I646" s="4">
        <v>0</v>
      </c>
    </row>
    <row r="647" spans="1:9" x14ac:dyDescent="0.2">
      <c r="A647" s="2">
        <v>10</v>
      </c>
      <c r="B647" s="1" t="s">
        <v>109</v>
      </c>
      <c r="C647" s="4">
        <v>6</v>
      </c>
      <c r="D647" s="8">
        <v>2.75</v>
      </c>
      <c r="E647" s="4">
        <v>6</v>
      </c>
      <c r="F647" s="8">
        <v>4.62</v>
      </c>
      <c r="G647" s="4">
        <v>0</v>
      </c>
      <c r="H647" s="8">
        <v>0</v>
      </c>
      <c r="I647" s="4">
        <v>0</v>
      </c>
    </row>
    <row r="648" spans="1:9" x14ac:dyDescent="0.2">
      <c r="A648" s="2">
        <v>10</v>
      </c>
      <c r="B648" s="1" t="s">
        <v>112</v>
      </c>
      <c r="C648" s="4">
        <v>6</v>
      </c>
      <c r="D648" s="8">
        <v>2.75</v>
      </c>
      <c r="E648" s="4">
        <v>6</v>
      </c>
      <c r="F648" s="8">
        <v>4.62</v>
      </c>
      <c r="G648" s="4">
        <v>0</v>
      </c>
      <c r="H648" s="8">
        <v>0</v>
      </c>
      <c r="I648" s="4">
        <v>0</v>
      </c>
    </row>
    <row r="649" spans="1:9" x14ac:dyDescent="0.2">
      <c r="A649" s="2">
        <v>10</v>
      </c>
      <c r="B649" s="1" t="s">
        <v>113</v>
      </c>
      <c r="C649" s="4">
        <v>6</v>
      </c>
      <c r="D649" s="8">
        <v>2.75</v>
      </c>
      <c r="E649" s="4">
        <v>3</v>
      </c>
      <c r="F649" s="8">
        <v>2.31</v>
      </c>
      <c r="G649" s="4">
        <v>3</v>
      </c>
      <c r="H649" s="8">
        <v>3.49</v>
      </c>
      <c r="I649" s="4">
        <v>0</v>
      </c>
    </row>
    <row r="650" spans="1:9" x14ac:dyDescent="0.2">
      <c r="A650" s="2">
        <v>13</v>
      </c>
      <c r="B650" s="1" t="s">
        <v>118</v>
      </c>
      <c r="C650" s="4">
        <v>5</v>
      </c>
      <c r="D650" s="8">
        <v>2.29</v>
      </c>
      <c r="E650" s="4">
        <v>4</v>
      </c>
      <c r="F650" s="8">
        <v>3.08</v>
      </c>
      <c r="G650" s="4">
        <v>1</v>
      </c>
      <c r="H650" s="8">
        <v>1.1599999999999999</v>
      </c>
      <c r="I650" s="4">
        <v>0</v>
      </c>
    </row>
    <row r="651" spans="1:9" x14ac:dyDescent="0.2">
      <c r="A651" s="2">
        <v>14</v>
      </c>
      <c r="B651" s="1" t="s">
        <v>105</v>
      </c>
      <c r="C651" s="4">
        <v>4</v>
      </c>
      <c r="D651" s="8">
        <v>1.83</v>
      </c>
      <c r="E651" s="4">
        <v>0</v>
      </c>
      <c r="F651" s="8">
        <v>0</v>
      </c>
      <c r="G651" s="4">
        <v>4</v>
      </c>
      <c r="H651" s="8">
        <v>4.6500000000000004</v>
      </c>
      <c r="I651" s="4">
        <v>0</v>
      </c>
    </row>
    <row r="652" spans="1:9" x14ac:dyDescent="0.2">
      <c r="A652" s="2">
        <v>14</v>
      </c>
      <c r="B652" s="1" t="s">
        <v>107</v>
      </c>
      <c r="C652" s="4">
        <v>4</v>
      </c>
      <c r="D652" s="8">
        <v>1.83</v>
      </c>
      <c r="E652" s="4">
        <v>1</v>
      </c>
      <c r="F652" s="8">
        <v>0.77</v>
      </c>
      <c r="G652" s="4">
        <v>3</v>
      </c>
      <c r="H652" s="8">
        <v>3.49</v>
      </c>
      <c r="I652" s="4">
        <v>0</v>
      </c>
    </row>
    <row r="653" spans="1:9" x14ac:dyDescent="0.2">
      <c r="A653" s="2">
        <v>14</v>
      </c>
      <c r="B653" s="1" t="s">
        <v>120</v>
      </c>
      <c r="C653" s="4">
        <v>4</v>
      </c>
      <c r="D653" s="8">
        <v>1.83</v>
      </c>
      <c r="E653" s="4">
        <v>4</v>
      </c>
      <c r="F653" s="8">
        <v>3.08</v>
      </c>
      <c r="G653" s="4">
        <v>0</v>
      </c>
      <c r="H653" s="8">
        <v>0</v>
      </c>
      <c r="I653" s="4">
        <v>0</v>
      </c>
    </row>
    <row r="654" spans="1:9" x14ac:dyDescent="0.2">
      <c r="A654" s="2">
        <v>17</v>
      </c>
      <c r="B654" s="1" t="s">
        <v>133</v>
      </c>
      <c r="C654" s="4">
        <v>3</v>
      </c>
      <c r="D654" s="8">
        <v>1.38</v>
      </c>
      <c r="E654" s="4">
        <v>0</v>
      </c>
      <c r="F654" s="8">
        <v>0</v>
      </c>
      <c r="G654" s="4">
        <v>3</v>
      </c>
      <c r="H654" s="8">
        <v>3.49</v>
      </c>
      <c r="I654" s="4">
        <v>0</v>
      </c>
    </row>
    <row r="655" spans="1:9" x14ac:dyDescent="0.2">
      <c r="A655" s="2">
        <v>18</v>
      </c>
      <c r="B655" s="1" t="s">
        <v>127</v>
      </c>
      <c r="C655" s="4">
        <v>2</v>
      </c>
      <c r="D655" s="8">
        <v>0.92</v>
      </c>
      <c r="E655" s="4">
        <v>1</v>
      </c>
      <c r="F655" s="8">
        <v>0.77</v>
      </c>
      <c r="G655" s="4">
        <v>1</v>
      </c>
      <c r="H655" s="8">
        <v>1.1599999999999999</v>
      </c>
      <c r="I655" s="4">
        <v>0</v>
      </c>
    </row>
    <row r="656" spans="1:9" x14ac:dyDescent="0.2">
      <c r="A656" s="2">
        <v>18</v>
      </c>
      <c r="B656" s="1" t="s">
        <v>155</v>
      </c>
      <c r="C656" s="4">
        <v>2</v>
      </c>
      <c r="D656" s="8">
        <v>0.92</v>
      </c>
      <c r="E656" s="4">
        <v>1</v>
      </c>
      <c r="F656" s="8">
        <v>0.77</v>
      </c>
      <c r="G656" s="4">
        <v>1</v>
      </c>
      <c r="H656" s="8">
        <v>1.1599999999999999</v>
      </c>
      <c r="I656" s="4">
        <v>0</v>
      </c>
    </row>
    <row r="657" spans="1:9" x14ac:dyDescent="0.2">
      <c r="A657" s="2">
        <v>18</v>
      </c>
      <c r="B657" s="1" t="s">
        <v>154</v>
      </c>
      <c r="C657" s="4">
        <v>2</v>
      </c>
      <c r="D657" s="8">
        <v>0.92</v>
      </c>
      <c r="E657" s="4">
        <v>2</v>
      </c>
      <c r="F657" s="8">
        <v>1.54</v>
      </c>
      <c r="G657" s="4">
        <v>0</v>
      </c>
      <c r="H657" s="8">
        <v>0</v>
      </c>
      <c r="I657" s="4">
        <v>0</v>
      </c>
    </row>
    <row r="658" spans="1:9" x14ac:dyDescent="0.2">
      <c r="A658" s="2">
        <v>18</v>
      </c>
      <c r="B658" s="1" t="s">
        <v>140</v>
      </c>
      <c r="C658" s="4">
        <v>2</v>
      </c>
      <c r="D658" s="8">
        <v>0.92</v>
      </c>
      <c r="E658" s="4">
        <v>1</v>
      </c>
      <c r="F658" s="8">
        <v>0.77</v>
      </c>
      <c r="G658" s="4">
        <v>1</v>
      </c>
      <c r="H658" s="8">
        <v>1.1599999999999999</v>
      </c>
      <c r="I658" s="4">
        <v>0</v>
      </c>
    </row>
    <row r="659" spans="1:9" x14ac:dyDescent="0.2">
      <c r="A659" s="2">
        <v>18</v>
      </c>
      <c r="B659" s="1" t="s">
        <v>134</v>
      </c>
      <c r="C659" s="4">
        <v>2</v>
      </c>
      <c r="D659" s="8">
        <v>0.92</v>
      </c>
      <c r="E659" s="4">
        <v>1</v>
      </c>
      <c r="F659" s="8">
        <v>0.77</v>
      </c>
      <c r="G659" s="4">
        <v>1</v>
      </c>
      <c r="H659" s="8">
        <v>1.1599999999999999</v>
      </c>
      <c r="I659" s="4">
        <v>0</v>
      </c>
    </row>
    <row r="660" spans="1:9" x14ac:dyDescent="0.2">
      <c r="A660" s="2">
        <v>18</v>
      </c>
      <c r="B660" s="1" t="s">
        <v>111</v>
      </c>
      <c r="C660" s="4">
        <v>2</v>
      </c>
      <c r="D660" s="8">
        <v>0.92</v>
      </c>
      <c r="E660" s="4">
        <v>0</v>
      </c>
      <c r="F660" s="8">
        <v>0</v>
      </c>
      <c r="G660" s="4">
        <v>2</v>
      </c>
      <c r="H660" s="8">
        <v>2.33</v>
      </c>
      <c r="I660" s="4">
        <v>0</v>
      </c>
    </row>
    <row r="661" spans="1:9" x14ac:dyDescent="0.2">
      <c r="A661" s="2">
        <v>18</v>
      </c>
      <c r="B661" s="1" t="s">
        <v>153</v>
      </c>
      <c r="C661" s="4">
        <v>2</v>
      </c>
      <c r="D661" s="8">
        <v>0.92</v>
      </c>
      <c r="E661" s="4">
        <v>0</v>
      </c>
      <c r="F661" s="8">
        <v>0</v>
      </c>
      <c r="G661" s="4">
        <v>2</v>
      </c>
      <c r="H661" s="8">
        <v>2.33</v>
      </c>
      <c r="I661" s="4">
        <v>0</v>
      </c>
    </row>
    <row r="662" spans="1:9" x14ac:dyDescent="0.2">
      <c r="A662" s="2">
        <v>18</v>
      </c>
      <c r="B662" s="1" t="s">
        <v>131</v>
      </c>
      <c r="C662" s="4">
        <v>2</v>
      </c>
      <c r="D662" s="8">
        <v>0.92</v>
      </c>
      <c r="E662" s="4">
        <v>0</v>
      </c>
      <c r="F662" s="8">
        <v>0</v>
      </c>
      <c r="G662" s="4">
        <v>2</v>
      </c>
      <c r="H662" s="8">
        <v>2.33</v>
      </c>
      <c r="I662" s="4">
        <v>0</v>
      </c>
    </row>
    <row r="663" spans="1:9" x14ac:dyDescent="0.2">
      <c r="A663" s="2">
        <v>18</v>
      </c>
      <c r="B663" s="1" t="s">
        <v>132</v>
      </c>
      <c r="C663" s="4">
        <v>2</v>
      </c>
      <c r="D663" s="8">
        <v>0.92</v>
      </c>
      <c r="E663" s="4">
        <v>1</v>
      </c>
      <c r="F663" s="8">
        <v>0.77</v>
      </c>
      <c r="G663" s="4">
        <v>1</v>
      </c>
      <c r="H663" s="8">
        <v>1.1599999999999999</v>
      </c>
      <c r="I663" s="4">
        <v>0</v>
      </c>
    </row>
    <row r="664" spans="1:9" x14ac:dyDescent="0.2">
      <c r="A664" s="2">
        <v>18</v>
      </c>
      <c r="B664" s="1" t="s">
        <v>147</v>
      </c>
      <c r="C664" s="4">
        <v>2</v>
      </c>
      <c r="D664" s="8">
        <v>0.92</v>
      </c>
      <c r="E664" s="4">
        <v>2</v>
      </c>
      <c r="F664" s="8">
        <v>1.54</v>
      </c>
      <c r="G664" s="4">
        <v>0</v>
      </c>
      <c r="H664" s="8">
        <v>0</v>
      </c>
      <c r="I664" s="4">
        <v>0</v>
      </c>
    </row>
    <row r="665" spans="1:9" x14ac:dyDescent="0.2">
      <c r="A665" s="2">
        <v>18</v>
      </c>
      <c r="B665" s="1" t="s">
        <v>124</v>
      </c>
      <c r="C665" s="4">
        <v>2</v>
      </c>
      <c r="D665" s="8">
        <v>0.92</v>
      </c>
      <c r="E665" s="4">
        <v>0</v>
      </c>
      <c r="F665" s="8">
        <v>0</v>
      </c>
      <c r="G665" s="4">
        <v>2</v>
      </c>
      <c r="H665" s="8">
        <v>2.33</v>
      </c>
      <c r="I665" s="4">
        <v>0</v>
      </c>
    </row>
    <row r="666" spans="1:9" x14ac:dyDescent="0.2">
      <c r="A666" s="1"/>
      <c r="C666" s="4"/>
      <c r="D666" s="8"/>
      <c r="E666" s="4"/>
      <c r="F666" s="8"/>
      <c r="G666" s="4"/>
      <c r="H666" s="8"/>
      <c r="I666" s="4"/>
    </row>
    <row r="667" spans="1:9" x14ac:dyDescent="0.2">
      <c r="A667" s="1" t="s">
        <v>29</v>
      </c>
      <c r="C667" s="4"/>
      <c r="D667" s="8"/>
      <c r="E667" s="4"/>
      <c r="F667" s="8"/>
      <c r="G667" s="4"/>
      <c r="H667" s="8"/>
      <c r="I667" s="4"/>
    </row>
    <row r="668" spans="1:9" x14ac:dyDescent="0.2">
      <c r="A668" s="2">
        <v>1</v>
      </c>
      <c r="B668" s="1" t="s">
        <v>101</v>
      </c>
      <c r="C668" s="4">
        <v>12</v>
      </c>
      <c r="D668" s="8">
        <v>9.16</v>
      </c>
      <c r="E668" s="4">
        <v>8</v>
      </c>
      <c r="F668" s="8">
        <v>9.09</v>
      </c>
      <c r="G668" s="4">
        <v>4</v>
      </c>
      <c r="H668" s="8">
        <v>12.9</v>
      </c>
      <c r="I668" s="4">
        <v>0</v>
      </c>
    </row>
    <row r="669" spans="1:9" x14ac:dyDescent="0.2">
      <c r="A669" s="2">
        <v>1</v>
      </c>
      <c r="B669" s="1" t="s">
        <v>116</v>
      </c>
      <c r="C669" s="4">
        <v>12</v>
      </c>
      <c r="D669" s="8">
        <v>9.16</v>
      </c>
      <c r="E669" s="4">
        <v>10</v>
      </c>
      <c r="F669" s="8">
        <v>11.36</v>
      </c>
      <c r="G669" s="4">
        <v>0</v>
      </c>
      <c r="H669" s="8">
        <v>0</v>
      </c>
      <c r="I669" s="4">
        <v>1</v>
      </c>
    </row>
    <row r="670" spans="1:9" x14ac:dyDescent="0.2">
      <c r="A670" s="2">
        <v>3</v>
      </c>
      <c r="B670" s="1" t="s">
        <v>115</v>
      </c>
      <c r="C670" s="4">
        <v>11</v>
      </c>
      <c r="D670" s="8">
        <v>8.4</v>
      </c>
      <c r="E670" s="4">
        <v>11</v>
      </c>
      <c r="F670" s="8">
        <v>12.5</v>
      </c>
      <c r="G670" s="4">
        <v>0</v>
      </c>
      <c r="H670" s="8">
        <v>0</v>
      </c>
      <c r="I670" s="4">
        <v>0</v>
      </c>
    </row>
    <row r="671" spans="1:9" x14ac:dyDescent="0.2">
      <c r="A671" s="2">
        <v>4</v>
      </c>
      <c r="B671" s="1" t="s">
        <v>102</v>
      </c>
      <c r="C671" s="4">
        <v>9</v>
      </c>
      <c r="D671" s="8">
        <v>6.87</v>
      </c>
      <c r="E671" s="4">
        <v>8</v>
      </c>
      <c r="F671" s="8">
        <v>9.09</v>
      </c>
      <c r="G671" s="4">
        <v>1</v>
      </c>
      <c r="H671" s="8">
        <v>3.23</v>
      </c>
      <c r="I671" s="4">
        <v>0</v>
      </c>
    </row>
    <row r="672" spans="1:9" x14ac:dyDescent="0.2">
      <c r="A672" s="2">
        <v>5</v>
      </c>
      <c r="B672" s="1" t="s">
        <v>108</v>
      </c>
      <c r="C672" s="4">
        <v>8</v>
      </c>
      <c r="D672" s="8">
        <v>6.11</v>
      </c>
      <c r="E672" s="4">
        <v>6</v>
      </c>
      <c r="F672" s="8">
        <v>6.82</v>
      </c>
      <c r="G672" s="4">
        <v>2</v>
      </c>
      <c r="H672" s="8">
        <v>6.45</v>
      </c>
      <c r="I672" s="4">
        <v>0</v>
      </c>
    </row>
    <row r="673" spans="1:9" x14ac:dyDescent="0.2">
      <c r="A673" s="2">
        <v>6</v>
      </c>
      <c r="B673" s="1" t="s">
        <v>110</v>
      </c>
      <c r="C673" s="4">
        <v>7</v>
      </c>
      <c r="D673" s="8">
        <v>5.34</v>
      </c>
      <c r="E673" s="4">
        <v>6</v>
      </c>
      <c r="F673" s="8">
        <v>6.82</v>
      </c>
      <c r="G673" s="4">
        <v>1</v>
      </c>
      <c r="H673" s="8">
        <v>3.23</v>
      </c>
      <c r="I673" s="4">
        <v>0</v>
      </c>
    </row>
    <row r="674" spans="1:9" x14ac:dyDescent="0.2">
      <c r="A674" s="2">
        <v>6</v>
      </c>
      <c r="B674" s="1" t="s">
        <v>117</v>
      </c>
      <c r="C674" s="4">
        <v>7</v>
      </c>
      <c r="D674" s="8">
        <v>5.34</v>
      </c>
      <c r="E674" s="4">
        <v>4</v>
      </c>
      <c r="F674" s="8">
        <v>4.55</v>
      </c>
      <c r="G674" s="4">
        <v>0</v>
      </c>
      <c r="H674" s="8">
        <v>0</v>
      </c>
      <c r="I674" s="4">
        <v>0</v>
      </c>
    </row>
    <row r="675" spans="1:9" x14ac:dyDescent="0.2">
      <c r="A675" s="2">
        <v>8</v>
      </c>
      <c r="B675" s="1" t="s">
        <v>103</v>
      </c>
      <c r="C675" s="4">
        <v>6</v>
      </c>
      <c r="D675" s="8">
        <v>4.58</v>
      </c>
      <c r="E675" s="4">
        <v>4</v>
      </c>
      <c r="F675" s="8">
        <v>4.55</v>
      </c>
      <c r="G675" s="4">
        <v>2</v>
      </c>
      <c r="H675" s="8">
        <v>6.45</v>
      </c>
      <c r="I675" s="4">
        <v>0</v>
      </c>
    </row>
    <row r="676" spans="1:9" x14ac:dyDescent="0.2">
      <c r="A676" s="2">
        <v>8</v>
      </c>
      <c r="B676" s="1" t="s">
        <v>118</v>
      </c>
      <c r="C676" s="4">
        <v>6</v>
      </c>
      <c r="D676" s="8">
        <v>4.58</v>
      </c>
      <c r="E676" s="4">
        <v>6</v>
      </c>
      <c r="F676" s="8">
        <v>6.82</v>
      </c>
      <c r="G676" s="4">
        <v>0</v>
      </c>
      <c r="H676" s="8">
        <v>0</v>
      </c>
      <c r="I676" s="4">
        <v>0</v>
      </c>
    </row>
    <row r="677" spans="1:9" x14ac:dyDescent="0.2">
      <c r="A677" s="2">
        <v>8</v>
      </c>
      <c r="B677" s="1" t="s">
        <v>119</v>
      </c>
      <c r="C677" s="4">
        <v>6</v>
      </c>
      <c r="D677" s="8">
        <v>4.58</v>
      </c>
      <c r="E677" s="4">
        <v>0</v>
      </c>
      <c r="F677" s="8">
        <v>0</v>
      </c>
      <c r="G677" s="4">
        <v>2</v>
      </c>
      <c r="H677" s="8">
        <v>6.45</v>
      </c>
      <c r="I677" s="4">
        <v>0</v>
      </c>
    </row>
    <row r="678" spans="1:9" x14ac:dyDescent="0.2">
      <c r="A678" s="2">
        <v>11</v>
      </c>
      <c r="B678" s="1" t="s">
        <v>114</v>
      </c>
      <c r="C678" s="4">
        <v>5</v>
      </c>
      <c r="D678" s="8">
        <v>3.82</v>
      </c>
      <c r="E678" s="4">
        <v>3</v>
      </c>
      <c r="F678" s="8">
        <v>3.41</v>
      </c>
      <c r="G678" s="4">
        <v>2</v>
      </c>
      <c r="H678" s="8">
        <v>6.45</v>
      </c>
      <c r="I678" s="4">
        <v>0</v>
      </c>
    </row>
    <row r="679" spans="1:9" x14ac:dyDescent="0.2">
      <c r="A679" s="2">
        <v>12</v>
      </c>
      <c r="B679" s="1" t="s">
        <v>105</v>
      </c>
      <c r="C679" s="4">
        <v>4</v>
      </c>
      <c r="D679" s="8">
        <v>3.05</v>
      </c>
      <c r="E679" s="4">
        <v>3</v>
      </c>
      <c r="F679" s="8">
        <v>3.41</v>
      </c>
      <c r="G679" s="4">
        <v>1</v>
      </c>
      <c r="H679" s="8">
        <v>3.23</v>
      </c>
      <c r="I679" s="4">
        <v>0</v>
      </c>
    </row>
    <row r="680" spans="1:9" x14ac:dyDescent="0.2">
      <c r="A680" s="2">
        <v>13</v>
      </c>
      <c r="B680" s="1" t="s">
        <v>156</v>
      </c>
      <c r="C680" s="4">
        <v>3</v>
      </c>
      <c r="D680" s="8">
        <v>2.29</v>
      </c>
      <c r="E680" s="4">
        <v>3</v>
      </c>
      <c r="F680" s="8">
        <v>3.41</v>
      </c>
      <c r="G680" s="4">
        <v>0</v>
      </c>
      <c r="H680" s="8">
        <v>0</v>
      </c>
      <c r="I680" s="4">
        <v>0</v>
      </c>
    </row>
    <row r="681" spans="1:9" x14ac:dyDescent="0.2">
      <c r="A681" s="2">
        <v>13</v>
      </c>
      <c r="B681" s="1" t="s">
        <v>126</v>
      </c>
      <c r="C681" s="4">
        <v>3</v>
      </c>
      <c r="D681" s="8">
        <v>2.29</v>
      </c>
      <c r="E681" s="4">
        <v>2</v>
      </c>
      <c r="F681" s="8">
        <v>2.27</v>
      </c>
      <c r="G681" s="4">
        <v>1</v>
      </c>
      <c r="H681" s="8">
        <v>3.23</v>
      </c>
      <c r="I681" s="4">
        <v>0</v>
      </c>
    </row>
    <row r="682" spans="1:9" x14ac:dyDescent="0.2">
      <c r="A682" s="2">
        <v>13</v>
      </c>
      <c r="B682" s="1" t="s">
        <v>113</v>
      </c>
      <c r="C682" s="4">
        <v>3</v>
      </c>
      <c r="D682" s="8">
        <v>2.29</v>
      </c>
      <c r="E682" s="4">
        <v>1</v>
      </c>
      <c r="F682" s="8">
        <v>1.1399999999999999</v>
      </c>
      <c r="G682" s="4">
        <v>2</v>
      </c>
      <c r="H682" s="8">
        <v>6.45</v>
      </c>
      <c r="I682" s="4">
        <v>0</v>
      </c>
    </row>
    <row r="683" spans="1:9" x14ac:dyDescent="0.2">
      <c r="A683" s="2">
        <v>13</v>
      </c>
      <c r="B683" s="1" t="s">
        <v>124</v>
      </c>
      <c r="C683" s="4">
        <v>3</v>
      </c>
      <c r="D683" s="8">
        <v>2.29</v>
      </c>
      <c r="E683" s="4">
        <v>0</v>
      </c>
      <c r="F683" s="8">
        <v>0</v>
      </c>
      <c r="G683" s="4">
        <v>3</v>
      </c>
      <c r="H683" s="8">
        <v>9.68</v>
      </c>
      <c r="I683" s="4">
        <v>0</v>
      </c>
    </row>
    <row r="684" spans="1:9" x14ac:dyDescent="0.2">
      <c r="A684" s="2">
        <v>17</v>
      </c>
      <c r="B684" s="1" t="s">
        <v>104</v>
      </c>
      <c r="C684" s="4">
        <v>2</v>
      </c>
      <c r="D684" s="8">
        <v>1.53</v>
      </c>
      <c r="E684" s="4">
        <v>1</v>
      </c>
      <c r="F684" s="8">
        <v>1.1399999999999999</v>
      </c>
      <c r="G684" s="4">
        <v>1</v>
      </c>
      <c r="H684" s="8">
        <v>3.23</v>
      </c>
      <c r="I684" s="4">
        <v>0</v>
      </c>
    </row>
    <row r="685" spans="1:9" x14ac:dyDescent="0.2">
      <c r="A685" s="2">
        <v>17</v>
      </c>
      <c r="B685" s="1" t="s">
        <v>136</v>
      </c>
      <c r="C685" s="4">
        <v>2</v>
      </c>
      <c r="D685" s="8">
        <v>1.53</v>
      </c>
      <c r="E685" s="4">
        <v>2</v>
      </c>
      <c r="F685" s="8">
        <v>2.27</v>
      </c>
      <c r="G685" s="4">
        <v>0</v>
      </c>
      <c r="H685" s="8">
        <v>0</v>
      </c>
      <c r="I685" s="4">
        <v>0</v>
      </c>
    </row>
    <row r="686" spans="1:9" x14ac:dyDescent="0.2">
      <c r="A686" s="2">
        <v>17</v>
      </c>
      <c r="B686" s="1" t="s">
        <v>135</v>
      </c>
      <c r="C686" s="4">
        <v>2</v>
      </c>
      <c r="D686" s="8">
        <v>1.53</v>
      </c>
      <c r="E686" s="4">
        <v>1</v>
      </c>
      <c r="F686" s="8">
        <v>1.1399999999999999</v>
      </c>
      <c r="G686" s="4">
        <v>1</v>
      </c>
      <c r="H686" s="8">
        <v>3.23</v>
      </c>
      <c r="I686" s="4">
        <v>0</v>
      </c>
    </row>
    <row r="687" spans="1:9" x14ac:dyDescent="0.2">
      <c r="A687" s="2">
        <v>17</v>
      </c>
      <c r="B687" s="1" t="s">
        <v>109</v>
      </c>
      <c r="C687" s="4">
        <v>2</v>
      </c>
      <c r="D687" s="8">
        <v>1.53</v>
      </c>
      <c r="E687" s="4">
        <v>0</v>
      </c>
      <c r="F687" s="8">
        <v>0</v>
      </c>
      <c r="G687" s="4">
        <v>2</v>
      </c>
      <c r="H687" s="8">
        <v>6.45</v>
      </c>
      <c r="I687" s="4">
        <v>0</v>
      </c>
    </row>
    <row r="688" spans="1:9" x14ac:dyDescent="0.2">
      <c r="A688" s="2">
        <v>17</v>
      </c>
      <c r="B688" s="1" t="s">
        <v>111</v>
      </c>
      <c r="C688" s="4">
        <v>2</v>
      </c>
      <c r="D688" s="8">
        <v>1.53</v>
      </c>
      <c r="E688" s="4">
        <v>0</v>
      </c>
      <c r="F688" s="8">
        <v>0</v>
      </c>
      <c r="G688" s="4">
        <v>1</v>
      </c>
      <c r="H688" s="8">
        <v>3.23</v>
      </c>
      <c r="I688" s="4">
        <v>0</v>
      </c>
    </row>
    <row r="689" spans="1:9" x14ac:dyDescent="0.2">
      <c r="A689" s="2">
        <v>17</v>
      </c>
      <c r="B689" s="1" t="s">
        <v>120</v>
      </c>
      <c r="C689" s="4">
        <v>2</v>
      </c>
      <c r="D689" s="8">
        <v>1.53</v>
      </c>
      <c r="E689" s="4">
        <v>2</v>
      </c>
      <c r="F689" s="8">
        <v>2.27</v>
      </c>
      <c r="G689" s="4">
        <v>0</v>
      </c>
      <c r="H689" s="8">
        <v>0</v>
      </c>
      <c r="I689" s="4">
        <v>0</v>
      </c>
    </row>
    <row r="690" spans="1:9" x14ac:dyDescent="0.2">
      <c r="A690" s="1"/>
      <c r="C690" s="4"/>
      <c r="D690" s="8"/>
      <c r="E690" s="4"/>
      <c r="F690" s="8"/>
      <c r="G690" s="4"/>
      <c r="H690" s="8"/>
      <c r="I690" s="4"/>
    </row>
    <row r="691" spans="1:9" x14ac:dyDescent="0.2">
      <c r="A691" s="1" t="s">
        <v>30</v>
      </c>
      <c r="C691" s="4"/>
      <c r="D691" s="8"/>
      <c r="E691" s="4"/>
      <c r="F691" s="8"/>
      <c r="G691" s="4"/>
      <c r="H691" s="8"/>
      <c r="I691" s="4"/>
    </row>
    <row r="692" spans="1:9" x14ac:dyDescent="0.2">
      <c r="A692" s="2">
        <v>1</v>
      </c>
      <c r="B692" s="1" t="s">
        <v>114</v>
      </c>
      <c r="C692" s="4">
        <v>44</v>
      </c>
      <c r="D692" s="8">
        <v>18.88</v>
      </c>
      <c r="E692" s="4">
        <v>40</v>
      </c>
      <c r="F692" s="8">
        <v>25.81</v>
      </c>
      <c r="G692" s="4">
        <v>4</v>
      </c>
      <c r="H692" s="8">
        <v>5.71</v>
      </c>
      <c r="I692" s="4">
        <v>0</v>
      </c>
    </row>
    <row r="693" spans="1:9" x14ac:dyDescent="0.2">
      <c r="A693" s="2">
        <v>2</v>
      </c>
      <c r="B693" s="1" t="s">
        <v>101</v>
      </c>
      <c r="C693" s="4">
        <v>26</v>
      </c>
      <c r="D693" s="8">
        <v>11.16</v>
      </c>
      <c r="E693" s="4">
        <v>15</v>
      </c>
      <c r="F693" s="8">
        <v>9.68</v>
      </c>
      <c r="G693" s="4">
        <v>11</v>
      </c>
      <c r="H693" s="8">
        <v>15.71</v>
      </c>
      <c r="I693" s="4">
        <v>0</v>
      </c>
    </row>
    <row r="694" spans="1:9" x14ac:dyDescent="0.2">
      <c r="A694" s="2">
        <v>3</v>
      </c>
      <c r="B694" s="1" t="s">
        <v>115</v>
      </c>
      <c r="C694" s="4">
        <v>25</v>
      </c>
      <c r="D694" s="8">
        <v>10.73</v>
      </c>
      <c r="E694" s="4">
        <v>24</v>
      </c>
      <c r="F694" s="8">
        <v>15.48</v>
      </c>
      <c r="G694" s="4">
        <v>1</v>
      </c>
      <c r="H694" s="8">
        <v>1.43</v>
      </c>
      <c r="I694" s="4">
        <v>0</v>
      </c>
    </row>
    <row r="695" spans="1:9" x14ac:dyDescent="0.2">
      <c r="A695" s="2">
        <v>4</v>
      </c>
      <c r="B695" s="1" t="s">
        <v>102</v>
      </c>
      <c r="C695" s="4">
        <v>15</v>
      </c>
      <c r="D695" s="8">
        <v>6.44</v>
      </c>
      <c r="E695" s="4">
        <v>12</v>
      </c>
      <c r="F695" s="8">
        <v>7.74</v>
      </c>
      <c r="G695" s="4">
        <v>3</v>
      </c>
      <c r="H695" s="8">
        <v>4.29</v>
      </c>
      <c r="I695" s="4">
        <v>0</v>
      </c>
    </row>
    <row r="696" spans="1:9" x14ac:dyDescent="0.2">
      <c r="A696" s="2">
        <v>5</v>
      </c>
      <c r="B696" s="1" t="s">
        <v>108</v>
      </c>
      <c r="C696" s="4">
        <v>13</v>
      </c>
      <c r="D696" s="8">
        <v>5.58</v>
      </c>
      <c r="E696" s="4">
        <v>6</v>
      </c>
      <c r="F696" s="8">
        <v>3.87</v>
      </c>
      <c r="G696" s="4">
        <v>7</v>
      </c>
      <c r="H696" s="8">
        <v>10</v>
      </c>
      <c r="I696" s="4">
        <v>0</v>
      </c>
    </row>
    <row r="697" spans="1:9" x14ac:dyDescent="0.2">
      <c r="A697" s="2">
        <v>6</v>
      </c>
      <c r="B697" s="1" t="s">
        <v>110</v>
      </c>
      <c r="C697" s="4">
        <v>12</v>
      </c>
      <c r="D697" s="8">
        <v>5.15</v>
      </c>
      <c r="E697" s="4">
        <v>7</v>
      </c>
      <c r="F697" s="8">
        <v>4.5199999999999996</v>
      </c>
      <c r="G697" s="4">
        <v>5</v>
      </c>
      <c r="H697" s="8">
        <v>7.14</v>
      </c>
      <c r="I697" s="4">
        <v>0</v>
      </c>
    </row>
    <row r="698" spans="1:9" x14ac:dyDescent="0.2">
      <c r="A698" s="2">
        <v>6</v>
      </c>
      <c r="B698" s="1" t="s">
        <v>116</v>
      </c>
      <c r="C698" s="4">
        <v>12</v>
      </c>
      <c r="D698" s="8">
        <v>5.15</v>
      </c>
      <c r="E698" s="4">
        <v>10</v>
      </c>
      <c r="F698" s="8">
        <v>6.45</v>
      </c>
      <c r="G698" s="4">
        <v>2</v>
      </c>
      <c r="H698" s="8">
        <v>2.86</v>
      </c>
      <c r="I698" s="4">
        <v>0</v>
      </c>
    </row>
    <row r="699" spans="1:9" x14ac:dyDescent="0.2">
      <c r="A699" s="2">
        <v>8</v>
      </c>
      <c r="B699" s="1" t="s">
        <v>109</v>
      </c>
      <c r="C699" s="4">
        <v>8</v>
      </c>
      <c r="D699" s="8">
        <v>3.43</v>
      </c>
      <c r="E699" s="4">
        <v>7</v>
      </c>
      <c r="F699" s="8">
        <v>4.5199999999999996</v>
      </c>
      <c r="G699" s="4">
        <v>1</v>
      </c>
      <c r="H699" s="8">
        <v>1.43</v>
      </c>
      <c r="I699" s="4">
        <v>0</v>
      </c>
    </row>
    <row r="700" spans="1:9" x14ac:dyDescent="0.2">
      <c r="A700" s="2">
        <v>9</v>
      </c>
      <c r="B700" s="1" t="s">
        <v>105</v>
      </c>
      <c r="C700" s="4">
        <v>7</v>
      </c>
      <c r="D700" s="8">
        <v>3</v>
      </c>
      <c r="E700" s="4">
        <v>2</v>
      </c>
      <c r="F700" s="8">
        <v>1.29</v>
      </c>
      <c r="G700" s="4">
        <v>5</v>
      </c>
      <c r="H700" s="8">
        <v>7.14</v>
      </c>
      <c r="I700" s="4">
        <v>0</v>
      </c>
    </row>
    <row r="701" spans="1:9" x14ac:dyDescent="0.2">
      <c r="A701" s="2">
        <v>10</v>
      </c>
      <c r="B701" s="1" t="s">
        <v>117</v>
      </c>
      <c r="C701" s="4">
        <v>5</v>
      </c>
      <c r="D701" s="8">
        <v>2.15</v>
      </c>
      <c r="E701" s="4">
        <v>3</v>
      </c>
      <c r="F701" s="8">
        <v>1.94</v>
      </c>
      <c r="G701" s="4">
        <v>0</v>
      </c>
      <c r="H701" s="8">
        <v>0</v>
      </c>
      <c r="I701" s="4">
        <v>0</v>
      </c>
    </row>
    <row r="702" spans="1:9" x14ac:dyDescent="0.2">
      <c r="A702" s="2">
        <v>11</v>
      </c>
      <c r="B702" s="1" t="s">
        <v>103</v>
      </c>
      <c r="C702" s="4">
        <v>4</v>
      </c>
      <c r="D702" s="8">
        <v>1.72</v>
      </c>
      <c r="E702" s="4">
        <v>3</v>
      </c>
      <c r="F702" s="8">
        <v>1.94</v>
      </c>
      <c r="G702" s="4">
        <v>1</v>
      </c>
      <c r="H702" s="8">
        <v>1.43</v>
      </c>
      <c r="I702" s="4">
        <v>0</v>
      </c>
    </row>
    <row r="703" spans="1:9" x14ac:dyDescent="0.2">
      <c r="A703" s="2">
        <v>11</v>
      </c>
      <c r="B703" s="1" t="s">
        <v>127</v>
      </c>
      <c r="C703" s="4">
        <v>4</v>
      </c>
      <c r="D703" s="8">
        <v>1.72</v>
      </c>
      <c r="E703" s="4">
        <v>2</v>
      </c>
      <c r="F703" s="8">
        <v>1.29</v>
      </c>
      <c r="G703" s="4">
        <v>2</v>
      </c>
      <c r="H703" s="8">
        <v>2.86</v>
      </c>
      <c r="I703" s="4">
        <v>0</v>
      </c>
    </row>
    <row r="704" spans="1:9" x14ac:dyDescent="0.2">
      <c r="A704" s="2">
        <v>11</v>
      </c>
      <c r="B704" s="1" t="s">
        <v>143</v>
      </c>
      <c r="C704" s="4">
        <v>4</v>
      </c>
      <c r="D704" s="8">
        <v>1.72</v>
      </c>
      <c r="E704" s="4">
        <v>2</v>
      </c>
      <c r="F704" s="8">
        <v>1.29</v>
      </c>
      <c r="G704" s="4">
        <v>2</v>
      </c>
      <c r="H704" s="8">
        <v>2.86</v>
      </c>
      <c r="I704" s="4">
        <v>0</v>
      </c>
    </row>
    <row r="705" spans="1:9" x14ac:dyDescent="0.2">
      <c r="A705" s="2">
        <v>11</v>
      </c>
      <c r="B705" s="1" t="s">
        <v>112</v>
      </c>
      <c r="C705" s="4">
        <v>4</v>
      </c>
      <c r="D705" s="8">
        <v>1.72</v>
      </c>
      <c r="E705" s="4">
        <v>3</v>
      </c>
      <c r="F705" s="8">
        <v>1.94</v>
      </c>
      <c r="G705" s="4">
        <v>1</v>
      </c>
      <c r="H705" s="8">
        <v>1.43</v>
      </c>
      <c r="I705" s="4">
        <v>0</v>
      </c>
    </row>
    <row r="706" spans="1:9" x14ac:dyDescent="0.2">
      <c r="A706" s="2">
        <v>11</v>
      </c>
      <c r="B706" s="1" t="s">
        <v>119</v>
      </c>
      <c r="C706" s="4">
        <v>4</v>
      </c>
      <c r="D706" s="8">
        <v>1.72</v>
      </c>
      <c r="E706" s="4">
        <v>0</v>
      </c>
      <c r="F706" s="8">
        <v>0</v>
      </c>
      <c r="G706" s="4">
        <v>1</v>
      </c>
      <c r="H706" s="8">
        <v>1.43</v>
      </c>
      <c r="I706" s="4">
        <v>0</v>
      </c>
    </row>
    <row r="707" spans="1:9" x14ac:dyDescent="0.2">
      <c r="A707" s="2">
        <v>16</v>
      </c>
      <c r="B707" s="1" t="s">
        <v>107</v>
      </c>
      <c r="C707" s="4">
        <v>3</v>
      </c>
      <c r="D707" s="8">
        <v>1.29</v>
      </c>
      <c r="E707" s="4">
        <v>3</v>
      </c>
      <c r="F707" s="8">
        <v>1.94</v>
      </c>
      <c r="G707" s="4">
        <v>0</v>
      </c>
      <c r="H707" s="8">
        <v>0</v>
      </c>
      <c r="I707" s="4">
        <v>0</v>
      </c>
    </row>
    <row r="708" spans="1:9" x14ac:dyDescent="0.2">
      <c r="A708" s="2">
        <v>16</v>
      </c>
      <c r="B708" s="1" t="s">
        <v>113</v>
      </c>
      <c r="C708" s="4">
        <v>3</v>
      </c>
      <c r="D708" s="8">
        <v>1.29</v>
      </c>
      <c r="E708" s="4">
        <v>1</v>
      </c>
      <c r="F708" s="8">
        <v>0.65</v>
      </c>
      <c r="G708" s="4">
        <v>2</v>
      </c>
      <c r="H708" s="8">
        <v>2.86</v>
      </c>
      <c r="I708" s="4">
        <v>0</v>
      </c>
    </row>
    <row r="709" spans="1:9" x14ac:dyDescent="0.2">
      <c r="A709" s="2">
        <v>16</v>
      </c>
      <c r="B709" s="1" t="s">
        <v>129</v>
      </c>
      <c r="C709" s="4">
        <v>3</v>
      </c>
      <c r="D709" s="8">
        <v>1.29</v>
      </c>
      <c r="E709" s="4">
        <v>0</v>
      </c>
      <c r="F709" s="8">
        <v>0</v>
      </c>
      <c r="G709" s="4">
        <v>3</v>
      </c>
      <c r="H709" s="8">
        <v>4.29</v>
      </c>
      <c r="I709" s="4">
        <v>0</v>
      </c>
    </row>
    <row r="710" spans="1:9" x14ac:dyDescent="0.2">
      <c r="A710" s="2">
        <v>16</v>
      </c>
      <c r="B710" s="1" t="s">
        <v>118</v>
      </c>
      <c r="C710" s="4">
        <v>3</v>
      </c>
      <c r="D710" s="8">
        <v>1.29</v>
      </c>
      <c r="E710" s="4">
        <v>1</v>
      </c>
      <c r="F710" s="8">
        <v>0.65</v>
      </c>
      <c r="G710" s="4">
        <v>1</v>
      </c>
      <c r="H710" s="8">
        <v>1.43</v>
      </c>
      <c r="I710" s="4">
        <v>0</v>
      </c>
    </row>
    <row r="711" spans="1:9" x14ac:dyDescent="0.2">
      <c r="A711" s="2">
        <v>20</v>
      </c>
      <c r="B711" s="1" t="s">
        <v>157</v>
      </c>
      <c r="C711" s="4">
        <v>2</v>
      </c>
      <c r="D711" s="8">
        <v>0.86</v>
      </c>
      <c r="E711" s="4">
        <v>0</v>
      </c>
      <c r="F711" s="8">
        <v>0</v>
      </c>
      <c r="G711" s="4">
        <v>2</v>
      </c>
      <c r="H711" s="8">
        <v>2.86</v>
      </c>
      <c r="I711" s="4">
        <v>0</v>
      </c>
    </row>
    <row r="712" spans="1:9" x14ac:dyDescent="0.2">
      <c r="A712" s="2">
        <v>20</v>
      </c>
      <c r="B712" s="1" t="s">
        <v>137</v>
      </c>
      <c r="C712" s="4">
        <v>2</v>
      </c>
      <c r="D712" s="8">
        <v>0.86</v>
      </c>
      <c r="E712" s="4">
        <v>0</v>
      </c>
      <c r="F712" s="8">
        <v>0</v>
      </c>
      <c r="G712" s="4">
        <v>2</v>
      </c>
      <c r="H712" s="8">
        <v>2.86</v>
      </c>
      <c r="I712" s="4">
        <v>0</v>
      </c>
    </row>
    <row r="713" spans="1:9" x14ac:dyDescent="0.2">
      <c r="A713" s="2">
        <v>20</v>
      </c>
      <c r="B713" s="1" t="s">
        <v>130</v>
      </c>
      <c r="C713" s="4">
        <v>2</v>
      </c>
      <c r="D713" s="8">
        <v>0.86</v>
      </c>
      <c r="E713" s="4">
        <v>2</v>
      </c>
      <c r="F713" s="8">
        <v>1.29</v>
      </c>
      <c r="G713" s="4">
        <v>0</v>
      </c>
      <c r="H713" s="8">
        <v>0</v>
      </c>
      <c r="I713" s="4">
        <v>0</v>
      </c>
    </row>
    <row r="714" spans="1:9" x14ac:dyDescent="0.2">
      <c r="A714" s="2">
        <v>20</v>
      </c>
      <c r="B714" s="1" t="s">
        <v>104</v>
      </c>
      <c r="C714" s="4">
        <v>2</v>
      </c>
      <c r="D714" s="8">
        <v>0.86</v>
      </c>
      <c r="E714" s="4">
        <v>2</v>
      </c>
      <c r="F714" s="8">
        <v>1.29</v>
      </c>
      <c r="G714" s="4">
        <v>0</v>
      </c>
      <c r="H714" s="8">
        <v>0</v>
      </c>
      <c r="I714" s="4">
        <v>0</v>
      </c>
    </row>
    <row r="715" spans="1:9" x14ac:dyDescent="0.2">
      <c r="A715" s="2">
        <v>20</v>
      </c>
      <c r="B715" s="1" t="s">
        <v>145</v>
      </c>
      <c r="C715" s="4">
        <v>2</v>
      </c>
      <c r="D715" s="8">
        <v>0.86</v>
      </c>
      <c r="E715" s="4">
        <v>1</v>
      </c>
      <c r="F715" s="8">
        <v>0.65</v>
      </c>
      <c r="G715" s="4">
        <v>1</v>
      </c>
      <c r="H715" s="8">
        <v>1.43</v>
      </c>
      <c r="I715" s="4">
        <v>0</v>
      </c>
    </row>
    <row r="716" spans="1:9" x14ac:dyDescent="0.2">
      <c r="A716" s="2">
        <v>20</v>
      </c>
      <c r="B716" s="1" t="s">
        <v>121</v>
      </c>
      <c r="C716" s="4">
        <v>2</v>
      </c>
      <c r="D716" s="8">
        <v>0.86</v>
      </c>
      <c r="E716" s="4">
        <v>1</v>
      </c>
      <c r="F716" s="8">
        <v>0.65</v>
      </c>
      <c r="G716" s="4">
        <v>1</v>
      </c>
      <c r="H716" s="8">
        <v>1.43</v>
      </c>
      <c r="I716" s="4">
        <v>0</v>
      </c>
    </row>
    <row r="717" spans="1:9" x14ac:dyDescent="0.2">
      <c r="A717" s="2">
        <v>20</v>
      </c>
      <c r="B717" s="1" t="s">
        <v>120</v>
      </c>
      <c r="C717" s="4">
        <v>2</v>
      </c>
      <c r="D717" s="8">
        <v>0.86</v>
      </c>
      <c r="E717" s="4">
        <v>1</v>
      </c>
      <c r="F717" s="8">
        <v>0.65</v>
      </c>
      <c r="G717" s="4">
        <v>1</v>
      </c>
      <c r="H717" s="8">
        <v>1.43</v>
      </c>
      <c r="I717" s="4">
        <v>0</v>
      </c>
    </row>
    <row r="718" spans="1:9" x14ac:dyDescent="0.2">
      <c r="A718" s="1"/>
      <c r="C718" s="4"/>
      <c r="D718" s="8"/>
      <c r="E718" s="4"/>
      <c r="F718" s="8"/>
      <c r="G718" s="4"/>
      <c r="H718" s="8"/>
      <c r="I718" s="4"/>
    </row>
    <row r="719" spans="1:9" x14ac:dyDescent="0.2">
      <c r="A719" s="1" t="s">
        <v>31</v>
      </c>
      <c r="C719" s="4"/>
      <c r="D719" s="8"/>
      <c r="E719" s="4"/>
      <c r="F719" s="8"/>
      <c r="G719" s="4"/>
      <c r="H719" s="8"/>
      <c r="I719" s="4"/>
    </row>
    <row r="720" spans="1:9" x14ac:dyDescent="0.2">
      <c r="A720" s="2">
        <v>1</v>
      </c>
      <c r="B720" s="1" t="s">
        <v>115</v>
      </c>
      <c r="C720" s="4">
        <v>75</v>
      </c>
      <c r="D720" s="8">
        <v>12.04</v>
      </c>
      <c r="E720" s="4">
        <v>65</v>
      </c>
      <c r="F720" s="8">
        <v>19.23</v>
      </c>
      <c r="G720" s="4">
        <v>10</v>
      </c>
      <c r="H720" s="8">
        <v>3.69</v>
      </c>
      <c r="I720" s="4">
        <v>0</v>
      </c>
    </row>
    <row r="721" spans="1:9" x14ac:dyDescent="0.2">
      <c r="A721" s="2">
        <v>2</v>
      </c>
      <c r="B721" s="1" t="s">
        <v>116</v>
      </c>
      <c r="C721" s="4">
        <v>71</v>
      </c>
      <c r="D721" s="8">
        <v>11.4</v>
      </c>
      <c r="E721" s="4">
        <v>57</v>
      </c>
      <c r="F721" s="8">
        <v>16.86</v>
      </c>
      <c r="G721" s="4">
        <v>10</v>
      </c>
      <c r="H721" s="8">
        <v>3.69</v>
      </c>
      <c r="I721" s="4">
        <v>0</v>
      </c>
    </row>
    <row r="722" spans="1:9" x14ac:dyDescent="0.2">
      <c r="A722" s="2">
        <v>3</v>
      </c>
      <c r="B722" s="1" t="s">
        <v>101</v>
      </c>
      <c r="C722" s="4">
        <v>38</v>
      </c>
      <c r="D722" s="8">
        <v>6.1</v>
      </c>
      <c r="E722" s="4">
        <v>11</v>
      </c>
      <c r="F722" s="8">
        <v>3.25</v>
      </c>
      <c r="G722" s="4">
        <v>27</v>
      </c>
      <c r="H722" s="8">
        <v>9.9600000000000009</v>
      </c>
      <c r="I722" s="4">
        <v>0</v>
      </c>
    </row>
    <row r="723" spans="1:9" x14ac:dyDescent="0.2">
      <c r="A723" s="2">
        <v>4</v>
      </c>
      <c r="B723" s="1" t="s">
        <v>108</v>
      </c>
      <c r="C723" s="4">
        <v>36</v>
      </c>
      <c r="D723" s="8">
        <v>5.78</v>
      </c>
      <c r="E723" s="4">
        <v>26</v>
      </c>
      <c r="F723" s="8">
        <v>7.69</v>
      </c>
      <c r="G723" s="4">
        <v>10</v>
      </c>
      <c r="H723" s="8">
        <v>3.69</v>
      </c>
      <c r="I723" s="4">
        <v>0</v>
      </c>
    </row>
    <row r="724" spans="1:9" x14ac:dyDescent="0.2">
      <c r="A724" s="2">
        <v>4</v>
      </c>
      <c r="B724" s="1" t="s">
        <v>111</v>
      </c>
      <c r="C724" s="4">
        <v>36</v>
      </c>
      <c r="D724" s="8">
        <v>5.78</v>
      </c>
      <c r="E724" s="4">
        <v>15</v>
      </c>
      <c r="F724" s="8">
        <v>4.4400000000000004</v>
      </c>
      <c r="G724" s="4">
        <v>21</v>
      </c>
      <c r="H724" s="8">
        <v>7.75</v>
      </c>
      <c r="I724" s="4">
        <v>0</v>
      </c>
    </row>
    <row r="725" spans="1:9" x14ac:dyDescent="0.2">
      <c r="A725" s="2">
        <v>6</v>
      </c>
      <c r="B725" s="1" t="s">
        <v>110</v>
      </c>
      <c r="C725" s="4">
        <v>31</v>
      </c>
      <c r="D725" s="8">
        <v>4.9800000000000004</v>
      </c>
      <c r="E725" s="4">
        <v>23</v>
      </c>
      <c r="F725" s="8">
        <v>6.8</v>
      </c>
      <c r="G725" s="4">
        <v>8</v>
      </c>
      <c r="H725" s="8">
        <v>2.95</v>
      </c>
      <c r="I725" s="4">
        <v>0</v>
      </c>
    </row>
    <row r="726" spans="1:9" x14ac:dyDescent="0.2">
      <c r="A726" s="2">
        <v>7</v>
      </c>
      <c r="B726" s="1" t="s">
        <v>104</v>
      </c>
      <c r="C726" s="4">
        <v>23</v>
      </c>
      <c r="D726" s="8">
        <v>3.69</v>
      </c>
      <c r="E726" s="4">
        <v>9</v>
      </c>
      <c r="F726" s="8">
        <v>2.66</v>
      </c>
      <c r="G726" s="4">
        <v>14</v>
      </c>
      <c r="H726" s="8">
        <v>5.17</v>
      </c>
      <c r="I726" s="4">
        <v>0</v>
      </c>
    </row>
    <row r="727" spans="1:9" x14ac:dyDescent="0.2">
      <c r="A727" s="2">
        <v>8</v>
      </c>
      <c r="B727" s="1" t="s">
        <v>102</v>
      </c>
      <c r="C727" s="4">
        <v>21</v>
      </c>
      <c r="D727" s="8">
        <v>3.37</v>
      </c>
      <c r="E727" s="4">
        <v>11</v>
      </c>
      <c r="F727" s="8">
        <v>3.25</v>
      </c>
      <c r="G727" s="4">
        <v>10</v>
      </c>
      <c r="H727" s="8">
        <v>3.69</v>
      </c>
      <c r="I727" s="4">
        <v>0</v>
      </c>
    </row>
    <row r="728" spans="1:9" x14ac:dyDescent="0.2">
      <c r="A728" s="2">
        <v>8</v>
      </c>
      <c r="B728" s="1" t="s">
        <v>117</v>
      </c>
      <c r="C728" s="4">
        <v>21</v>
      </c>
      <c r="D728" s="8">
        <v>3.37</v>
      </c>
      <c r="E728" s="4">
        <v>11</v>
      </c>
      <c r="F728" s="8">
        <v>3.25</v>
      </c>
      <c r="G728" s="4">
        <v>7</v>
      </c>
      <c r="H728" s="8">
        <v>2.58</v>
      </c>
      <c r="I728" s="4">
        <v>0</v>
      </c>
    </row>
    <row r="729" spans="1:9" x14ac:dyDescent="0.2">
      <c r="A729" s="2">
        <v>10</v>
      </c>
      <c r="B729" s="1" t="s">
        <v>109</v>
      </c>
      <c r="C729" s="4">
        <v>18</v>
      </c>
      <c r="D729" s="8">
        <v>2.89</v>
      </c>
      <c r="E729" s="4">
        <v>9</v>
      </c>
      <c r="F729" s="8">
        <v>2.66</v>
      </c>
      <c r="G729" s="4">
        <v>9</v>
      </c>
      <c r="H729" s="8">
        <v>3.32</v>
      </c>
      <c r="I729" s="4">
        <v>0</v>
      </c>
    </row>
    <row r="730" spans="1:9" x14ac:dyDescent="0.2">
      <c r="A730" s="2">
        <v>11</v>
      </c>
      <c r="B730" s="1" t="s">
        <v>103</v>
      </c>
      <c r="C730" s="4">
        <v>16</v>
      </c>
      <c r="D730" s="8">
        <v>2.57</v>
      </c>
      <c r="E730" s="4">
        <v>6</v>
      </c>
      <c r="F730" s="8">
        <v>1.78</v>
      </c>
      <c r="G730" s="4">
        <v>10</v>
      </c>
      <c r="H730" s="8">
        <v>3.69</v>
      </c>
      <c r="I730" s="4">
        <v>0</v>
      </c>
    </row>
    <row r="731" spans="1:9" x14ac:dyDescent="0.2">
      <c r="A731" s="2">
        <v>11</v>
      </c>
      <c r="B731" s="1" t="s">
        <v>105</v>
      </c>
      <c r="C731" s="4">
        <v>16</v>
      </c>
      <c r="D731" s="8">
        <v>2.57</v>
      </c>
      <c r="E731" s="4">
        <v>4</v>
      </c>
      <c r="F731" s="8">
        <v>1.18</v>
      </c>
      <c r="G731" s="4">
        <v>12</v>
      </c>
      <c r="H731" s="8">
        <v>4.43</v>
      </c>
      <c r="I731" s="4">
        <v>0</v>
      </c>
    </row>
    <row r="732" spans="1:9" x14ac:dyDescent="0.2">
      <c r="A732" s="2">
        <v>13</v>
      </c>
      <c r="B732" s="1" t="s">
        <v>112</v>
      </c>
      <c r="C732" s="4">
        <v>15</v>
      </c>
      <c r="D732" s="8">
        <v>2.41</v>
      </c>
      <c r="E732" s="4">
        <v>13</v>
      </c>
      <c r="F732" s="8">
        <v>3.85</v>
      </c>
      <c r="G732" s="4">
        <v>2</v>
      </c>
      <c r="H732" s="8">
        <v>0.74</v>
      </c>
      <c r="I732" s="4">
        <v>0</v>
      </c>
    </row>
    <row r="733" spans="1:9" x14ac:dyDescent="0.2">
      <c r="A733" s="2">
        <v>14</v>
      </c>
      <c r="B733" s="1" t="s">
        <v>152</v>
      </c>
      <c r="C733" s="4">
        <v>12</v>
      </c>
      <c r="D733" s="8">
        <v>1.93</v>
      </c>
      <c r="E733" s="4">
        <v>5</v>
      </c>
      <c r="F733" s="8">
        <v>1.48</v>
      </c>
      <c r="G733" s="4">
        <v>7</v>
      </c>
      <c r="H733" s="8">
        <v>2.58</v>
      </c>
      <c r="I733" s="4">
        <v>0</v>
      </c>
    </row>
    <row r="734" spans="1:9" x14ac:dyDescent="0.2">
      <c r="A734" s="2">
        <v>14</v>
      </c>
      <c r="B734" s="1" t="s">
        <v>113</v>
      </c>
      <c r="C734" s="4">
        <v>12</v>
      </c>
      <c r="D734" s="8">
        <v>1.93</v>
      </c>
      <c r="E734" s="4">
        <v>8</v>
      </c>
      <c r="F734" s="8">
        <v>2.37</v>
      </c>
      <c r="G734" s="4">
        <v>4</v>
      </c>
      <c r="H734" s="8">
        <v>1.48</v>
      </c>
      <c r="I734" s="4">
        <v>0</v>
      </c>
    </row>
    <row r="735" spans="1:9" x14ac:dyDescent="0.2">
      <c r="A735" s="2">
        <v>14</v>
      </c>
      <c r="B735" s="1" t="s">
        <v>118</v>
      </c>
      <c r="C735" s="4">
        <v>12</v>
      </c>
      <c r="D735" s="8">
        <v>1.93</v>
      </c>
      <c r="E735" s="4">
        <v>11</v>
      </c>
      <c r="F735" s="8">
        <v>3.25</v>
      </c>
      <c r="G735" s="4">
        <v>1</v>
      </c>
      <c r="H735" s="8">
        <v>0.37</v>
      </c>
      <c r="I735" s="4">
        <v>0</v>
      </c>
    </row>
    <row r="736" spans="1:9" x14ac:dyDescent="0.2">
      <c r="A736" s="2">
        <v>17</v>
      </c>
      <c r="B736" s="1" t="s">
        <v>114</v>
      </c>
      <c r="C736" s="4">
        <v>11</v>
      </c>
      <c r="D736" s="8">
        <v>1.77</v>
      </c>
      <c r="E736" s="4">
        <v>7</v>
      </c>
      <c r="F736" s="8">
        <v>2.0699999999999998</v>
      </c>
      <c r="G736" s="4">
        <v>4</v>
      </c>
      <c r="H736" s="8">
        <v>1.48</v>
      </c>
      <c r="I736" s="4">
        <v>0</v>
      </c>
    </row>
    <row r="737" spans="1:9" x14ac:dyDescent="0.2">
      <c r="A737" s="2">
        <v>18</v>
      </c>
      <c r="B737" s="1" t="s">
        <v>107</v>
      </c>
      <c r="C737" s="4">
        <v>10</v>
      </c>
      <c r="D737" s="8">
        <v>1.61</v>
      </c>
      <c r="E737" s="4">
        <v>4</v>
      </c>
      <c r="F737" s="8">
        <v>1.18</v>
      </c>
      <c r="G737" s="4">
        <v>6</v>
      </c>
      <c r="H737" s="8">
        <v>2.21</v>
      </c>
      <c r="I737" s="4">
        <v>0</v>
      </c>
    </row>
    <row r="738" spans="1:9" x14ac:dyDescent="0.2">
      <c r="A738" s="2">
        <v>19</v>
      </c>
      <c r="B738" s="1" t="s">
        <v>106</v>
      </c>
      <c r="C738" s="4">
        <v>9</v>
      </c>
      <c r="D738" s="8">
        <v>1.44</v>
      </c>
      <c r="E738" s="4">
        <v>2</v>
      </c>
      <c r="F738" s="8">
        <v>0.59</v>
      </c>
      <c r="G738" s="4">
        <v>7</v>
      </c>
      <c r="H738" s="8">
        <v>2.58</v>
      </c>
      <c r="I738" s="4">
        <v>0</v>
      </c>
    </row>
    <row r="739" spans="1:9" x14ac:dyDescent="0.2">
      <c r="A739" s="2">
        <v>20</v>
      </c>
      <c r="B739" s="1" t="s">
        <v>126</v>
      </c>
      <c r="C739" s="4">
        <v>7</v>
      </c>
      <c r="D739" s="8">
        <v>1.1200000000000001</v>
      </c>
      <c r="E739" s="4">
        <v>3</v>
      </c>
      <c r="F739" s="8">
        <v>0.89</v>
      </c>
      <c r="G739" s="4">
        <v>4</v>
      </c>
      <c r="H739" s="8">
        <v>1.48</v>
      </c>
      <c r="I739" s="4">
        <v>0</v>
      </c>
    </row>
    <row r="740" spans="1:9" x14ac:dyDescent="0.2">
      <c r="A740" s="2">
        <v>20</v>
      </c>
      <c r="B740" s="1" t="s">
        <v>158</v>
      </c>
      <c r="C740" s="4">
        <v>7</v>
      </c>
      <c r="D740" s="8">
        <v>1.1200000000000001</v>
      </c>
      <c r="E740" s="4">
        <v>3</v>
      </c>
      <c r="F740" s="8">
        <v>0.89</v>
      </c>
      <c r="G740" s="4">
        <v>4</v>
      </c>
      <c r="H740" s="8">
        <v>1.48</v>
      </c>
      <c r="I740" s="4">
        <v>0</v>
      </c>
    </row>
    <row r="741" spans="1:9" x14ac:dyDescent="0.2">
      <c r="A741" s="2">
        <v>20</v>
      </c>
      <c r="B741" s="1" t="s">
        <v>121</v>
      </c>
      <c r="C741" s="4">
        <v>7</v>
      </c>
      <c r="D741" s="8">
        <v>1.1200000000000001</v>
      </c>
      <c r="E741" s="4">
        <v>2</v>
      </c>
      <c r="F741" s="8">
        <v>0.59</v>
      </c>
      <c r="G741" s="4">
        <v>5</v>
      </c>
      <c r="H741" s="8">
        <v>1.85</v>
      </c>
      <c r="I741" s="4">
        <v>0</v>
      </c>
    </row>
    <row r="742" spans="1:9" x14ac:dyDescent="0.2">
      <c r="A742" s="2">
        <v>20</v>
      </c>
      <c r="B742" s="1" t="s">
        <v>120</v>
      </c>
      <c r="C742" s="4">
        <v>7</v>
      </c>
      <c r="D742" s="8">
        <v>1.1200000000000001</v>
      </c>
      <c r="E742" s="4">
        <v>6</v>
      </c>
      <c r="F742" s="8">
        <v>1.78</v>
      </c>
      <c r="G742" s="4">
        <v>1</v>
      </c>
      <c r="H742" s="8">
        <v>0.37</v>
      </c>
      <c r="I742" s="4">
        <v>0</v>
      </c>
    </row>
    <row r="743" spans="1:9" x14ac:dyDescent="0.2">
      <c r="A743" s="2">
        <v>20</v>
      </c>
      <c r="B743" s="1" t="s">
        <v>124</v>
      </c>
      <c r="C743" s="4">
        <v>7</v>
      </c>
      <c r="D743" s="8">
        <v>1.1200000000000001</v>
      </c>
      <c r="E743" s="4">
        <v>1</v>
      </c>
      <c r="F743" s="8">
        <v>0.3</v>
      </c>
      <c r="G743" s="4">
        <v>5</v>
      </c>
      <c r="H743" s="8">
        <v>1.85</v>
      </c>
      <c r="I743" s="4">
        <v>0</v>
      </c>
    </row>
    <row r="744" spans="1:9" x14ac:dyDescent="0.2">
      <c r="A744" s="1"/>
      <c r="C744" s="4"/>
      <c r="D744" s="8"/>
      <c r="E744" s="4"/>
      <c r="F744" s="8"/>
      <c r="G744" s="4"/>
      <c r="H744" s="8"/>
      <c r="I744" s="4"/>
    </row>
    <row r="745" spans="1:9" x14ac:dyDescent="0.2">
      <c r="A745" s="1" t="s">
        <v>32</v>
      </c>
      <c r="C745" s="4"/>
      <c r="D745" s="8"/>
      <c r="E745" s="4"/>
      <c r="F745" s="8"/>
      <c r="G745" s="4"/>
      <c r="H745" s="8"/>
      <c r="I745" s="4"/>
    </row>
    <row r="746" spans="1:9" x14ac:dyDescent="0.2">
      <c r="A746" s="2">
        <v>1</v>
      </c>
      <c r="B746" s="1" t="s">
        <v>101</v>
      </c>
      <c r="C746" s="4">
        <v>39</v>
      </c>
      <c r="D746" s="8">
        <v>10.4</v>
      </c>
      <c r="E746" s="4">
        <v>10</v>
      </c>
      <c r="F746" s="8">
        <v>6.29</v>
      </c>
      <c r="G746" s="4">
        <v>29</v>
      </c>
      <c r="H746" s="8">
        <v>13.88</v>
      </c>
      <c r="I746" s="4">
        <v>0</v>
      </c>
    </row>
    <row r="747" spans="1:9" x14ac:dyDescent="0.2">
      <c r="A747" s="2">
        <v>2</v>
      </c>
      <c r="B747" s="1" t="s">
        <v>115</v>
      </c>
      <c r="C747" s="4">
        <v>38</v>
      </c>
      <c r="D747" s="8">
        <v>10.130000000000001</v>
      </c>
      <c r="E747" s="4">
        <v>31</v>
      </c>
      <c r="F747" s="8">
        <v>19.5</v>
      </c>
      <c r="G747" s="4">
        <v>7</v>
      </c>
      <c r="H747" s="8">
        <v>3.35</v>
      </c>
      <c r="I747" s="4">
        <v>0</v>
      </c>
    </row>
    <row r="748" spans="1:9" x14ac:dyDescent="0.2">
      <c r="A748" s="2">
        <v>3</v>
      </c>
      <c r="B748" s="1" t="s">
        <v>114</v>
      </c>
      <c r="C748" s="4">
        <v>26</v>
      </c>
      <c r="D748" s="8">
        <v>6.93</v>
      </c>
      <c r="E748" s="4">
        <v>20</v>
      </c>
      <c r="F748" s="8">
        <v>12.58</v>
      </c>
      <c r="G748" s="4">
        <v>6</v>
      </c>
      <c r="H748" s="8">
        <v>2.87</v>
      </c>
      <c r="I748" s="4">
        <v>0</v>
      </c>
    </row>
    <row r="749" spans="1:9" x14ac:dyDescent="0.2">
      <c r="A749" s="2">
        <v>4</v>
      </c>
      <c r="B749" s="1" t="s">
        <v>116</v>
      </c>
      <c r="C749" s="4">
        <v>22</v>
      </c>
      <c r="D749" s="8">
        <v>5.87</v>
      </c>
      <c r="E749" s="4">
        <v>18</v>
      </c>
      <c r="F749" s="8">
        <v>11.32</v>
      </c>
      <c r="G749" s="4">
        <v>4</v>
      </c>
      <c r="H749" s="8">
        <v>1.91</v>
      </c>
      <c r="I749" s="4">
        <v>0</v>
      </c>
    </row>
    <row r="750" spans="1:9" x14ac:dyDescent="0.2">
      <c r="A750" s="2">
        <v>5</v>
      </c>
      <c r="B750" s="1" t="s">
        <v>108</v>
      </c>
      <c r="C750" s="4">
        <v>19</v>
      </c>
      <c r="D750" s="8">
        <v>5.07</v>
      </c>
      <c r="E750" s="4">
        <v>6</v>
      </c>
      <c r="F750" s="8">
        <v>3.77</v>
      </c>
      <c r="G750" s="4">
        <v>13</v>
      </c>
      <c r="H750" s="8">
        <v>6.22</v>
      </c>
      <c r="I750" s="4">
        <v>0</v>
      </c>
    </row>
    <row r="751" spans="1:9" x14ac:dyDescent="0.2">
      <c r="A751" s="2">
        <v>5</v>
      </c>
      <c r="B751" s="1" t="s">
        <v>110</v>
      </c>
      <c r="C751" s="4">
        <v>19</v>
      </c>
      <c r="D751" s="8">
        <v>5.07</v>
      </c>
      <c r="E751" s="4">
        <v>6</v>
      </c>
      <c r="F751" s="8">
        <v>3.77</v>
      </c>
      <c r="G751" s="4">
        <v>13</v>
      </c>
      <c r="H751" s="8">
        <v>6.22</v>
      </c>
      <c r="I751" s="4">
        <v>0</v>
      </c>
    </row>
    <row r="752" spans="1:9" x14ac:dyDescent="0.2">
      <c r="A752" s="2">
        <v>7</v>
      </c>
      <c r="B752" s="1" t="s">
        <v>102</v>
      </c>
      <c r="C752" s="4">
        <v>18</v>
      </c>
      <c r="D752" s="8">
        <v>4.8</v>
      </c>
      <c r="E752" s="4">
        <v>10</v>
      </c>
      <c r="F752" s="8">
        <v>6.29</v>
      </c>
      <c r="G752" s="4">
        <v>8</v>
      </c>
      <c r="H752" s="8">
        <v>3.83</v>
      </c>
      <c r="I752" s="4">
        <v>0</v>
      </c>
    </row>
    <row r="753" spans="1:9" x14ac:dyDescent="0.2">
      <c r="A753" s="2">
        <v>8</v>
      </c>
      <c r="B753" s="1" t="s">
        <v>117</v>
      </c>
      <c r="C753" s="4">
        <v>14</v>
      </c>
      <c r="D753" s="8">
        <v>3.73</v>
      </c>
      <c r="E753" s="4">
        <v>6</v>
      </c>
      <c r="F753" s="8">
        <v>3.77</v>
      </c>
      <c r="G753" s="4">
        <v>6</v>
      </c>
      <c r="H753" s="8">
        <v>2.87</v>
      </c>
      <c r="I753" s="4">
        <v>0</v>
      </c>
    </row>
    <row r="754" spans="1:9" x14ac:dyDescent="0.2">
      <c r="A754" s="2">
        <v>9</v>
      </c>
      <c r="B754" s="1" t="s">
        <v>118</v>
      </c>
      <c r="C754" s="4">
        <v>11</v>
      </c>
      <c r="D754" s="8">
        <v>2.93</v>
      </c>
      <c r="E754" s="4">
        <v>11</v>
      </c>
      <c r="F754" s="8">
        <v>6.92</v>
      </c>
      <c r="G754" s="4">
        <v>0</v>
      </c>
      <c r="H754" s="8">
        <v>0</v>
      </c>
      <c r="I754" s="4">
        <v>0</v>
      </c>
    </row>
    <row r="755" spans="1:9" x14ac:dyDescent="0.2">
      <c r="A755" s="2">
        <v>10</v>
      </c>
      <c r="B755" s="1" t="s">
        <v>103</v>
      </c>
      <c r="C755" s="4">
        <v>8</v>
      </c>
      <c r="D755" s="8">
        <v>2.13</v>
      </c>
      <c r="E755" s="4">
        <v>3</v>
      </c>
      <c r="F755" s="8">
        <v>1.89</v>
      </c>
      <c r="G755" s="4">
        <v>5</v>
      </c>
      <c r="H755" s="8">
        <v>2.39</v>
      </c>
      <c r="I755" s="4">
        <v>0</v>
      </c>
    </row>
    <row r="756" spans="1:9" x14ac:dyDescent="0.2">
      <c r="A756" s="2">
        <v>10</v>
      </c>
      <c r="B756" s="1" t="s">
        <v>113</v>
      </c>
      <c r="C756" s="4">
        <v>8</v>
      </c>
      <c r="D756" s="8">
        <v>2.13</v>
      </c>
      <c r="E756" s="4">
        <v>1</v>
      </c>
      <c r="F756" s="8">
        <v>0.63</v>
      </c>
      <c r="G756" s="4">
        <v>6</v>
      </c>
      <c r="H756" s="8">
        <v>2.87</v>
      </c>
      <c r="I756" s="4">
        <v>0</v>
      </c>
    </row>
    <row r="757" spans="1:9" x14ac:dyDescent="0.2">
      <c r="A757" s="2">
        <v>12</v>
      </c>
      <c r="B757" s="1" t="s">
        <v>104</v>
      </c>
      <c r="C757" s="4">
        <v>7</v>
      </c>
      <c r="D757" s="8">
        <v>1.87</v>
      </c>
      <c r="E757" s="4">
        <v>2</v>
      </c>
      <c r="F757" s="8">
        <v>1.26</v>
      </c>
      <c r="G757" s="4">
        <v>5</v>
      </c>
      <c r="H757" s="8">
        <v>2.39</v>
      </c>
      <c r="I757" s="4">
        <v>0</v>
      </c>
    </row>
    <row r="758" spans="1:9" x14ac:dyDescent="0.2">
      <c r="A758" s="2">
        <v>12</v>
      </c>
      <c r="B758" s="1" t="s">
        <v>107</v>
      </c>
      <c r="C758" s="4">
        <v>7</v>
      </c>
      <c r="D758" s="8">
        <v>1.87</v>
      </c>
      <c r="E758" s="4">
        <v>4</v>
      </c>
      <c r="F758" s="8">
        <v>2.52</v>
      </c>
      <c r="G758" s="4">
        <v>3</v>
      </c>
      <c r="H758" s="8">
        <v>1.44</v>
      </c>
      <c r="I758" s="4">
        <v>0</v>
      </c>
    </row>
    <row r="759" spans="1:9" x14ac:dyDescent="0.2">
      <c r="A759" s="2">
        <v>12</v>
      </c>
      <c r="B759" s="1" t="s">
        <v>109</v>
      </c>
      <c r="C759" s="4">
        <v>7</v>
      </c>
      <c r="D759" s="8">
        <v>1.87</v>
      </c>
      <c r="E759" s="4">
        <v>5</v>
      </c>
      <c r="F759" s="8">
        <v>3.14</v>
      </c>
      <c r="G759" s="4">
        <v>2</v>
      </c>
      <c r="H759" s="8">
        <v>0.96</v>
      </c>
      <c r="I759" s="4">
        <v>0</v>
      </c>
    </row>
    <row r="760" spans="1:9" x14ac:dyDescent="0.2">
      <c r="A760" s="2">
        <v>12</v>
      </c>
      <c r="B760" s="1" t="s">
        <v>112</v>
      </c>
      <c r="C760" s="4">
        <v>7</v>
      </c>
      <c r="D760" s="8">
        <v>1.87</v>
      </c>
      <c r="E760" s="4">
        <v>4</v>
      </c>
      <c r="F760" s="8">
        <v>2.52</v>
      </c>
      <c r="G760" s="4">
        <v>3</v>
      </c>
      <c r="H760" s="8">
        <v>1.44</v>
      </c>
      <c r="I760" s="4">
        <v>0</v>
      </c>
    </row>
    <row r="761" spans="1:9" x14ac:dyDescent="0.2">
      <c r="A761" s="2">
        <v>12</v>
      </c>
      <c r="B761" s="1" t="s">
        <v>129</v>
      </c>
      <c r="C761" s="4">
        <v>7</v>
      </c>
      <c r="D761" s="8">
        <v>1.87</v>
      </c>
      <c r="E761" s="4">
        <v>0</v>
      </c>
      <c r="F761" s="8">
        <v>0</v>
      </c>
      <c r="G761" s="4">
        <v>7</v>
      </c>
      <c r="H761" s="8">
        <v>3.35</v>
      </c>
      <c r="I761" s="4">
        <v>0</v>
      </c>
    </row>
    <row r="762" spans="1:9" x14ac:dyDescent="0.2">
      <c r="A762" s="2">
        <v>12</v>
      </c>
      <c r="B762" s="1" t="s">
        <v>120</v>
      </c>
      <c r="C762" s="4">
        <v>7</v>
      </c>
      <c r="D762" s="8">
        <v>1.87</v>
      </c>
      <c r="E762" s="4">
        <v>3</v>
      </c>
      <c r="F762" s="8">
        <v>1.89</v>
      </c>
      <c r="G762" s="4">
        <v>4</v>
      </c>
      <c r="H762" s="8">
        <v>1.91</v>
      </c>
      <c r="I762" s="4">
        <v>0</v>
      </c>
    </row>
    <row r="763" spans="1:9" x14ac:dyDescent="0.2">
      <c r="A763" s="2">
        <v>18</v>
      </c>
      <c r="B763" s="1" t="s">
        <v>143</v>
      </c>
      <c r="C763" s="4">
        <v>6</v>
      </c>
      <c r="D763" s="8">
        <v>1.6</v>
      </c>
      <c r="E763" s="4">
        <v>0</v>
      </c>
      <c r="F763" s="8">
        <v>0</v>
      </c>
      <c r="G763" s="4">
        <v>6</v>
      </c>
      <c r="H763" s="8">
        <v>2.87</v>
      </c>
      <c r="I763" s="4">
        <v>0</v>
      </c>
    </row>
    <row r="764" spans="1:9" x14ac:dyDescent="0.2">
      <c r="A764" s="2">
        <v>18</v>
      </c>
      <c r="B764" s="1" t="s">
        <v>105</v>
      </c>
      <c r="C764" s="4">
        <v>6</v>
      </c>
      <c r="D764" s="8">
        <v>1.6</v>
      </c>
      <c r="E764" s="4">
        <v>1</v>
      </c>
      <c r="F764" s="8">
        <v>0.63</v>
      </c>
      <c r="G764" s="4">
        <v>5</v>
      </c>
      <c r="H764" s="8">
        <v>2.39</v>
      </c>
      <c r="I764" s="4">
        <v>0</v>
      </c>
    </row>
    <row r="765" spans="1:9" x14ac:dyDescent="0.2">
      <c r="A765" s="2">
        <v>18</v>
      </c>
      <c r="B765" s="1" t="s">
        <v>152</v>
      </c>
      <c r="C765" s="4">
        <v>6</v>
      </c>
      <c r="D765" s="8">
        <v>1.6</v>
      </c>
      <c r="E765" s="4">
        <v>2</v>
      </c>
      <c r="F765" s="8">
        <v>1.26</v>
      </c>
      <c r="G765" s="4">
        <v>4</v>
      </c>
      <c r="H765" s="8">
        <v>1.91</v>
      </c>
      <c r="I765" s="4">
        <v>0</v>
      </c>
    </row>
    <row r="766" spans="1:9" x14ac:dyDescent="0.2">
      <c r="A766" s="2">
        <v>18</v>
      </c>
      <c r="B766" s="1" t="s">
        <v>159</v>
      </c>
      <c r="C766" s="4">
        <v>6</v>
      </c>
      <c r="D766" s="8">
        <v>1.6</v>
      </c>
      <c r="E766" s="4">
        <v>1</v>
      </c>
      <c r="F766" s="8">
        <v>0.63</v>
      </c>
      <c r="G766" s="4">
        <v>5</v>
      </c>
      <c r="H766" s="8">
        <v>2.39</v>
      </c>
      <c r="I766" s="4">
        <v>0</v>
      </c>
    </row>
    <row r="767" spans="1:9" x14ac:dyDescent="0.2">
      <c r="A767" s="2">
        <v>18</v>
      </c>
      <c r="B767" s="1" t="s">
        <v>121</v>
      </c>
      <c r="C767" s="4">
        <v>6</v>
      </c>
      <c r="D767" s="8">
        <v>1.6</v>
      </c>
      <c r="E767" s="4">
        <v>0</v>
      </c>
      <c r="F767" s="8">
        <v>0</v>
      </c>
      <c r="G767" s="4">
        <v>6</v>
      </c>
      <c r="H767" s="8">
        <v>2.87</v>
      </c>
      <c r="I767" s="4">
        <v>0</v>
      </c>
    </row>
    <row r="768" spans="1:9" x14ac:dyDescent="0.2">
      <c r="A768" s="2">
        <v>18</v>
      </c>
      <c r="B768" s="1" t="s">
        <v>106</v>
      </c>
      <c r="C768" s="4">
        <v>6</v>
      </c>
      <c r="D768" s="8">
        <v>1.6</v>
      </c>
      <c r="E768" s="4">
        <v>0</v>
      </c>
      <c r="F768" s="8">
        <v>0</v>
      </c>
      <c r="G768" s="4">
        <v>6</v>
      </c>
      <c r="H768" s="8">
        <v>2.87</v>
      </c>
      <c r="I768" s="4">
        <v>0</v>
      </c>
    </row>
    <row r="769" spans="1:9" x14ac:dyDescent="0.2">
      <c r="A769" s="1"/>
      <c r="C769" s="4"/>
      <c r="D769" s="8"/>
      <c r="E769" s="4"/>
      <c r="F769" s="8"/>
      <c r="G769" s="4"/>
      <c r="H769" s="8"/>
      <c r="I769" s="4"/>
    </row>
    <row r="770" spans="1:9" x14ac:dyDescent="0.2">
      <c r="A770" s="1" t="s">
        <v>33</v>
      </c>
      <c r="C770" s="4"/>
      <c r="D770" s="8"/>
      <c r="E770" s="4"/>
      <c r="F770" s="8"/>
      <c r="G770" s="4"/>
      <c r="H770" s="8"/>
      <c r="I770" s="4"/>
    </row>
    <row r="771" spans="1:9" x14ac:dyDescent="0.2">
      <c r="A771" s="2">
        <v>1</v>
      </c>
      <c r="B771" s="1" t="s">
        <v>114</v>
      </c>
      <c r="C771" s="4">
        <v>59</v>
      </c>
      <c r="D771" s="8">
        <v>19.8</v>
      </c>
      <c r="E771" s="4">
        <v>51</v>
      </c>
      <c r="F771" s="8">
        <v>26.29</v>
      </c>
      <c r="G771" s="4">
        <v>8</v>
      </c>
      <c r="H771" s="8">
        <v>7.84</v>
      </c>
      <c r="I771" s="4">
        <v>0</v>
      </c>
    </row>
    <row r="772" spans="1:9" x14ac:dyDescent="0.2">
      <c r="A772" s="2">
        <v>2</v>
      </c>
      <c r="B772" s="1" t="s">
        <v>101</v>
      </c>
      <c r="C772" s="4">
        <v>33</v>
      </c>
      <c r="D772" s="8">
        <v>11.07</v>
      </c>
      <c r="E772" s="4">
        <v>16</v>
      </c>
      <c r="F772" s="8">
        <v>8.25</v>
      </c>
      <c r="G772" s="4">
        <v>17</v>
      </c>
      <c r="H772" s="8">
        <v>16.670000000000002</v>
      </c>
      <c r="I772" s="4">
        <v>0</v>
      </c>
    </row>
    <row r="773" spans="1:9" x14ac:dyDescent="0.2">
      <c r="A773" s="2">
        <v>3</v>
      </c>
      <c r="B773" s="1" t="s">
        <v>115</v>
      </c>
      <c r="C773" s="4">
        <v>20</v>
      </c>
      <c r="D773" s="8">
        <v>6.71</v>
      </c>
      <c r="E773" s="4">
        <v>20</v>
      </c>
      <c r="F773" s="8">
        <v>10.31</v>
      </c>
      <c r="G773" s="4">
        <v>0</v>
      </c>
      <c r="H773" s="8">
        <v>0</v>
      </c>
      <c r="I773" s="4">
        <v>0</v>
      </c>
    </row>
    <row r="774" spans="1:9" x14ac:dyDescent="0.2">
      <c r="A774" s="2">
        <v>4</v>
      </c>
      <c r="B774" s="1" t="s">
        <v>102</v>
      </c>
      <c r="C774" s="4">
        <v>17</v>
      </c>
      <c r="D774" s="8">
        <v>5.7</v>
      </c>
      <c r="E774" s="4">
        <v>11</v>
      </c>
      <c r="F774" s="8">
        <v>5.67</v>
      </c>
      <c r="G774" s="4">
        <v>6</v>
      </c>
      <c r="H774" s="8">
        <v>5.88</v>
      </c>
      <c r="I774" s="4">
        <v>0</v>
      </c>
    </row>
    <row r="775" spans="1:9" x14ac:dyDescent="0.2">
      <c r="A775" s="2">
        <v>5</v>
      </c>
      <c r="B775" s="1" t="s">
        <v>103</v>
      </c>
      <c r="C775" s="4">
        <v>14</v>
      </c>
      <c r="D775" s="8">
        <v>4.7</v>
      </c>
      <c r="E775" s="4">
        <v>9</v>
      </c>
      <c r="F775" s="8">
        <v>4.6399999999999997</v>
      </c>
      <c r="G775" s="4">
        <v>5</v>
      </c>
      <c r="H775" s="8">
        <v>4.9000000000000004</v>
      </c>
      <c r="I775" s="4">
        <v>0</v>
      </c>
    </row>
    <row r="776" spans="1:9" x14ac:dyDescent="0.2">
      <c r="A776" s="2">
        <v>6</v>
      </c>
      <c r="B776" s="1" t="s">
        <v>116</v>
      </c>
      <c r="C776" s="4">
        <v>13</v>
      </c>
      <c r="D776" s="8">
        <v>4.3600000000000003</v>
      </c>
      <c r="E776" s="4">
        <v>11</v>
      </c>
      <c r="F776" s="8">
        <v>5.67</v>
      </c>
      <c r="G776" s="4">
        <v>2</v>
      </c>
      <c r="H776" s="8">
        <v>1.96</v>
      </c>
      <c r="I776" s="4">
        <v>0</v>
      </c>
    </row>
    <row r="777" spans="1:9" x14ac:dyDescent="0.2">
      <c r="A777" s="2">
        <v>7</v>
      </c>
      <c r="B777" s="1" t="s">
        <v>110</v>
      </c>
      <c r="C777" s="4">
        <v>10</v>
      </c>
      <c r="D777" s="8">
        <v>3.36</v>
      </c>
      <c r="E777" s="4">
        <v>5</v>
      </c>
      <c r="F777" s="8">
        <v>2.58</v>
      </c>
      <c r="G777" s="4">
        <v>5</v>
      </c>
      <c r="H777" s="8">
        <v>4.9000000000000004</v>
      </c>
      <c r="I777" s="4">
        <v>0</v>
      </c>
    </row>
    <row r="778" spans="1:9" x14ac:dyDescent="0.2">
      <c r="A778" s="2">
        <v>8</v>
      </c>
      <c r="B778" s="1" t="s">
        <v>112</v>
      </c>
      <c r="C778" s="4">
        <v>9</v>
      </c>
      <c r="D778" s="8">
        <v>3.02</v>
      </c>
      <c r="E778" s="4">
        <v>6</v>
      </c>
      <c r="F778" s="8">
        <v>3.09</v>
      </c>
      <c r="G778" s="4">
        <v>3</v>
      </c>
      <c r="H778" s="8">
        <v>2.94</v>
      </c>
      <c r="I778" s="4">
        <v>0</v>
      </c>
    </row>
    <row r="779" spans="1:9" x14ac:dyDescent="0.2">
      <c r="A779" s="2">
        <v>8</v>
      </c>
      <c r="B779" s="1" t="s">
        <v>113</v>
      </c>
      <c r="C779" s="4">
        <v>9</v>
      </c>
      <c r="D779" s="8">
        <v>3.02</v>
      </c>
      <c r="E779" s="4">
        <v>4</v>
      </c>
      <c r="F779" s="8">
        <v>2.06</v>
      </c>
      <c r="G779" s="4">
        <v>5</v>
      </c>
      <c r="H779" s="8">
        <v>4.9000000000000004</v>
      </c>
      <c r="I779" s="4">
        <v>0</v>
      </c>
    </row>
    <row r="780" spans="1:9" x14ac:dyDescent="0.2">
      <c r="A780" s="2">
        <v>10</v>
      </c>
      <c r="B780" s="1" t="s">
        <v>108</v>
      </c>
      <c r="C780" s="4">
        <v>8</v>
      </c>
      <c r="D780" s="8">
        <v>2.68</v>
      </c>
      <c r="E780" s="4">
        <v>6</v>
      </c>
      <c r="F780" s="8">
        <v>3.09</v>
      </c>
      <c r="G780" s="4">
        <v>2</v>
      </c>
      <c r="H780" s="8">
        <v>1.96</v>
      </c>
      <c r="I780" s="4">
        <v>0</v>
      </c>
    </row>
    <row r="781" spans="1:9" x14ac:dyDescent="0.2">
      <c r="A781" s="2">
        <v>10</v>
      </c>
      <c r="B781" s="1" t="s">
        <v>117</v>
      </c>
      <c r="C781" s="4">
        <v>8</v>
      </c>
      <c r="D781" s="8">
        <v>2.68</v>
      </c>
      <c r="E781" s="4">
        <v>7</v>
      </c>
      <c r="F781" s="8">
        <v>3.61</v>
      </c>
      <c r="G781" s="4">
        <v>1</v>
      </c>
      <c r="H781" s="8">
        <v>0.98</v>
      </c>
      <c r="I781" s="4">
        <v>0</v>
      </c>
    </row>
    <row r="782" spans="1:9" x14ac:dyDescent="0.2">
      <c r="A782" s="2">
        <v>12</v>
      </c>
      <c r="B782" s="1" t="s">
        <v>105</v>
      </c>
      <c r="C782" s="4">
        <v>7</v>
      </c>
      <c r="D782" s="8">
        <v>2.35</v>
      </c>
      <c r="E782" s="4">
        <v>5</v>
      </c>
      <c r="F782" s="8">
        <v>2.58</v>
      </c>
      <c r="G782" s="4">
        <v>2</v>
      </c>
      <c r="H782" s="8">
        <v>1.96</v>
      </c>
      <c r="I782" s="4">
        <v>0</v>
      </c>
    </row>
    <row r="783" spans="1:9" x14ac:dyDescent="0.2">
      <c r="A783" s="2">
        <v>12</v>
      </c>
      <c r="B783" s="1" t="s">
        <v>109</v>
      </c>
      <c r="C783" s="4">
        <v>7</v>
      </c>
      <c r="D783" s="8">
        <v>2.35</v>
      </c>
      <c r="E783" s="4">
        <v>6</v>
      </c>
      <c r="F783" s="8">
        <v>3.09</v>
      </c>
      <c r="G783" s="4">
        <v>1</v>
      </c>
      <c r="H783" s="8">
        <v>0.98</v>
      </c>
      <c r="I783" s="4">
        <v>0</v>
      </c>
    </row>
    <row r="784" spans="1:9" x14ac:dyDescent="0.2">
      <c r="A784" s="2">
        <v>14</v>
      </c>
      <c r="B784" s="1" t="s">
        <v>127</v>
      </c>
      <c r="C784" s="4">
        <v>6</v>
      </c>
      <c r="D784" s="8">
        <v>2.0099999999999998</v>
      </c>
      <c r="E784" s="4">
        <v>5</v>
      </c>
      <c r="F784" s="8">
        <v>2.58</v>
      </c>
      <c r="G784" s="4">
        <v>1</v>
      </c>
      <c r="H784" s="8">
        <v>0.98</v>
      </c>
      <c r="I784" s="4">
        <v>0</v>
      </c>
    </row>
    <row r="785" spans="1:9" x14ac:dyDescent="0.2">
      <c r="A785" s="2">
        <v>15</v>
      </c>
      <c r="B785" s="1" t="s">
        <v>130</v>
      </c>
      <c r="C785" s="4">
        <v>5</v>
      </c>
      <c r="D785" s="8">
        <v>1.68</v>
      </c>
      <c r="E785" s="4">
        <v>5</v>
      </c>
      <c r="F785" s="8">
        <v>2.58</v>
      </c>
      <c r="G785" s="4">
        <v>0</v>
      </c>
      <c r="H785" s="8">
        <v>0</v>
      </c>
      <c r="I785" s="4">
        <v>0</v>
      </c>
    </row>
    <row r="786" spans="1:9" x14ac:dyDescent="0.2">
      <c r="A786" s="2">
        <v>15</v>
      </c>
      <c r="B786" s="1" t="s">
        <v>126</v>
      </c>
      <c r="C786" s="4">
        <v>5</v>
      </c>
      <c r="D786" s="8">
        <v>1.68</v>
      </c>
      <c r="E786" s="4">
        <v>3</v>
      </c>
      <c r="F786" s="8">
        <v>1.55</v>
      </c>
      <c r="G786" s="4">
        <v>2</v>
      </c>
      <c r="H786" s="8">
        <v>1.96</v>
      </c>
      <c r="I786" s="4">
        <v>0</v>
      </c>
    </row>
    <row r="787" spans="1:9" x14ac:dyDescent="0.2">
      <c r="A787" s="2">
        <v>15</v>
      </c>
      <c r="B787" s="1" t="s">
        <v>135</v>
      </c>
      <c r="C787" s="4">
        <v>5</v>
      </c>
      <c r="D787" s="8">
        <v>1.68</v>
      </c>
      <c r="E787" s="4">
        <v>3</v>
      </c>
      <c r="F787" s="8">
        <v>1.55</v>
      </c>
      <c r="G787" s="4">
        <v>2</v>
      </c>
      <c r="H787" s="8">
        <v>1.96</v>
      </c>
      <c r="I787" s="4">
        <v>0</v>
      </c>
    </row>
    <row r="788" spans="1:9" x14ac:dyDescent="0.2">
      <c r="A788" s="2">
        <v>15</v>
      </c>
      <c r="B788" s="1" t="s">
        <v>133</v>
      </c>
      <c r="C788" s="4">
        <v>5</v>
      </c>
      <c r="D788" s="8">
        <v>1.68</v>
      </c>
      <c r="E788" s="4">
        <v>1</v>
      </c>
      <c r="F788" s="8">
        <v>0.52</v>
      </c>
      <c r="G788" s="4">
        <v>4</v>
      </c>
      <c r="H788" s="8">
        <v>3.92</v>
      </c>
      <c r="I788" s="4">
        <v>0</v>
      </c>
    </row>
    <row r="789" spans="1:9" x14ac:dyDescent="0.2">
      <c r="A789" s="2">
        <v>15</v>
      </c>
      <c r="B789" s="1" t="s">
        <v>111</v>
      </c>
      <c r="C789" s="4">
        <v>5</v>
      </c>
      <c r="D789" s="8">
        <v>1.68</v>
      </c>
      <c r="E789" s="4">
        <v>1</v>
      </c>
      <c r="F789" s="8">
        <v>0.52</v>
      </c>
      <c r="G789" s="4">
        <v>4</v>
      </c>
      <c r="H789" s="8">
        <v>3.92</v>
      </c>
      <c r="I789" s="4">
        <v>0</v>
      </c>
    </row>
    <row r="790" spans="1:9" x14ac:dyDescent="0.2">
      <c r="A790" s="2">
        <v>20</v>
      </c>
      <c r="B790" s="1" t="s">
        <v>118</v>
      </c>
      <c r="C790" s="4">
        <v>4</v>
      </c>
      <c r="D790" s="8">
        <v>1.34</v>
      </c>
      <c r="E790" s="4">
        <v>4</v>
      </c>
      <c r="F790" s="8">
        <v>2.06</v>
      </c>
      <c r="G790" s="4">
        <v>0</v>
      </c>
      <c r="H790" s="8">
        <v>0</v>
      </c>
      <c r="I790" s="4">
        <v>0</v>
      </c>
    </row>
    <row r="791" spans="1:9" x14ac:dyDescent="0.2">
      <c r="A791" s="2">
        <v>20</v>
      </c>
      <c r="B791" s="1" t="s">
        <v>120</v>
      </c>
      <c r="C791" s="4">
        <v>4</v>
      </c>
      <c r="D791" s="8">
        <v>1.34</v>
      </c>
      <c r="E791" s="4">
        <v>4</v>
      </c>
      <c r="F791" s="8">
        <v>2.06</v>
      </c>
      <c r="G791" s="4">
        <v>0</v>
      </c>
      <c r="H791" s="8">
        <v>0</v>
      </c>
      <c r="I791" s="4">
        <v>0</v>
      </c>
    </row>
    <row r="792" spans="1:9" x14ac:dyDescent="0.2">
      <c r="A792" s="1"/>
      <c r="C792" s="4"/>
      <c r="D792" s="8"/>
      <c r="E792" s="4"/>
      <c r="F792" s="8"/>
      <c r="G792" s="4"/>
      <c r="H792" s="8"/>
      <c r="I792" s="4"/>
    </row>
    <row r="793" spans="1:9" x14ac:dyDescent="0.2">
      <c r="A793" s="1" t="s">
        <v>34</v>
      </c>
      <c r="C793" s="4"/>
      <c r="D793" s="8"/>
      <c r="E793" s="4"/>
      <c r="F793" s="8"/>
      <c r="G793" s="4"/>
      <c r="H793" s="8"/>
      <c r="I793" s="4"/>
    </row>
    <row r="794" spans="1:9" x14ac:dyDescent="0.2">
      <c r="A794" s="2">
        <v>1</v>
      </c>
      <c r="B794" s="1" t="s">
        <v>115</v>
      </c>
      <c r="C794" s="4">
        <v>54</v>
      </c>
      <c r="D794" s="8">
        <v>9.49</v>
      </c>
      <c r="E794" s="4">
        <v>51</v>
      </c>
      <c r="F794" s="8">
        <v>15.69</v>
      </c>
      <c r="G794" s="4">
        <v>3</v>
      </c>
      <c r="H794" s="8">
        <v>1.24</v>
      </c>
      <c r="I794" s="4">
        <v>0</v>
      </c>
    </row>
    <row r="795" spans="1:9" x14ac:dyDescent="0.2">
      <c r="A795" s="2">
        <v>1</v>
      </c>
      <c r="B795" s="1" t="s">
        <v>116</v>
      </c>
      <c r="C795" s="4">
        <v>54</v>
      </c>
      <c r="D795" s="8">
        <v>9.49</v>
      </c>
      <c r="E795" s="4">
        <v>47</v>
      </c>
      <c r="F795" s="8">
        <v>14.46</v>
      </c>
      <c r="G795" s="4">
        <v>7</v>
      </c>
      <c r="H795" s="8">
        <v>2.89</v>
      </c>
      <c r="I795" s="4">
        <v>0</v>
      </c>
    </row>
    <row r="796" spans="1:9" x14ac:dyDescent="0.2">
      <c r="A796" s="2">
        <v>3</v>
      </c>
      <c r="B796" s="1" t="s">
        <v>110</v>
      </c>
      <c r="C796" s="4">
        <v>46</v>
      </c>
      <c r="D796" s="8">
        <v>8.08</v>
      </c>
      <c r="E796" s="4">
        <v>26</v>
      </c>
      <c r="F796" s="8">
        <v>8</v>
      </c>
      <c r="G796" s="4">
        <v>20</v>
      </c>
      <c r="H796" s="8">
        <v>8.26</v>
      </c>
      <c r="I796" s="4">
        <v>0</v>
      </c>
    </row>
    <row r="797" spans="1:9" x14ac:dyDescent="0.2">
      <c r="A797" s="2">
        <v>4</v>
      </c>
      <c r="B797" s="1" t="s">
        <v>101</v>
      </c>
      <c r="C797" s="4">
        <v>43</v>
      </c>
      <c r="D797" s="8">
        <v>7.56</v>
      </c>
      <c r="E797" s="4">
        <v>13</v>
      </c>
      <c r="F797" s="8">
        <v>4</v>
      </c>
      <c r="G797" s="4">
        <v>30</v>
      </c>
      <c r="H797" s="8">
        <v>12.4</v>
      </c>
      <c r="I797" s="4">
        <v>0</v>
      </c>
    </row>
    <row r="798" spans="1:9" x14ac:dyDescent="0.2">
      <c r="A798" s="2">
        <v>5</v>
      </c>
      <c r="B798" s="1" t="s">
        <v>108</v>
      </c>
      <c r="C798" s="4">
        <v>27</v>
      </c>
      <c r="D798" s="8">
        <v>4.75</v>
      </c>
      <c r="E798" s="4">
        <v>12</v>
      </c>
      <c r="F798" s="8">
        <v>3.69</v>
      </c>
      <c r="G798" s="4">
        <v>15</v>
      </c>
      <c r="H798" s="8">
        <v>6.2</v>
      </c>
      <c r="I798" s="4">
        <v>0</v>
      </c>
    </row>
    <row r="799" spans="1:9" x14ac:dyDescent="0.2">
      <c r="A799" s="2">
        <v>5</v>
      </c>
      <c r="B799" s="1" t="s">
        <v>111</v>
      </c>
      <c r="C799" s="4">
        <v>27</v>
      </c>
      <c r="D799" s="8">
        <v>4.75</v>
      </c>
      <c r="E799" s="4">
        <v>19</v>
      </c>
      <c r="F799" s="8">
        <v>5.85</v>
      </c>
      <c r="G799" s="4">
        <v>8</v>
      </c>
      <c r="H799" s="8">
        <v>3.31</v>
      </c>
      <c r="I799" s="4">
        <v>0</v>
      </c>
    </row>
    <row r="800" spans="1:9" x14ac:dyDescent="0.2">
      <c r="A800" s="2">
        <v>7</v>
      </c>
      <c r="B800" s="1" t="s">
        <v>102</v>
      </c>
      <c r="C800" s="4">
        <v>24</v>
      </c>
      <c r="D800" s="8">
        <v>4.22</v>
      </c>
      <c r="E800" s="4">
        <v>17</v>
      </c>
      <c r="F800" s="8">
        <v>5.23</v>
      </c>
      <c r="G800" s="4">
        <v>7</v>
      </c>
      <c r="H800" s="8">
        <v>2.89</v>
      </c>
      <c r="I800" s="4">
        <v>0</v>
      </c>
    </row>
    <row r="801" spans="1:9" x14ac:dyDescent="0.2">
      <c r="A801" s="2">
        <v>8</v>
      </c>
      <c r="B801" s="1" t="s">
        <v>103</v>
      </c>
      <c r="C801" s="4">
        <v>23</v>
      </c>
      <c r="D801" s="8">
        <v>4.04</v>
      </c>
      <c r="E801" s="4">
        <v>13</v>
      </c>
      <c r="F801" s="8">
        <v>4</v>
      </c>
      <c r="G801" s="4">
        <v>10</v>
      </c>
      <c r="H801" s="8">
        <v>4.13</v>
      </c>
      <c r="I801" s="4">
        <v>0</v>
      </c>
    </row>
    <row r="802" spans="1:9" x14ac:dyDescent="0.2">
      <c r="A802" s="2">
        <v>9</v>
      </c>
      <c r="B802" s="1" t="s">
        <v>105</v>
      </c>
      <c r="C802" s="4">
        <v>22</v>
      </c>
      <c r="D802" s="8">
        <v>3.87</v>
      </c>
      <c r="E802" s="4">
        <v>8</v>
      </c>
      <c r="F802" s="8">
        <v>2.46</v>
      </c>
      <c r="G802" s="4">
        <v>14</v>
      </c>
      <c r="H802" s="8">
        <v>5.79</v>
      </c>
      <c r="I802" s="4">
        <v>0</v>
      </c>
    </row>
    <row r="803" spans="1:9" x14ac:dyDescent="0.2">
      <c r="A803" s="2">
        <v>10</v>
      </c>
      <c r="B803" s="1" t="s">
        <v>117</v>
      </c>
      <c r="C803" s="4">
        <v>20</v>
      </c>
      <c r="D803" s="8">
        <v>3.51</v>
      </c>
      <c r="E803" s="4">
        <v>16</v>
      </c>
      <c r="F803" s="8">
        <v>4.92</v>
      </c>
      <c r="G803" s="4">
        <v>3</v>
      </c>
      <c r="H803" s="8">
        <v>1.24</v>
      </c>
      <c r="I803" s="4">
        <v>0</v>
      </c>
    </row>
    <row r="804" spans="1:9" x14ac:dyDescent="0.2">
      <c r="A804" s="2">
        <v>11</v>
      </c>
      <c r="B804" s="1" t="s">
        <v>118</v>
      </c>
      <c r="C804" s="4">
        <v>18</v>
      </c>
      <c r="D804" s="8">
        <v>3.16</v>
      </c>
      <c r="E804" s="4">
        <v>18</v>
      </c>
      <c r="F804" s="8">
        <v>5.54</v>
      </c>
      <c r="G804" s="4">
        <v>0</v>
      </c>
      <c r="H804" s="8">
        <v>0</v>
      </c>
      <c r="I804" s="4">
        <v>0</v>
      </c>
    </row>
    <row r="805" spans="1:9" x14ac:dyDescent="0.2">
      <c r="A805" s="2">
        <v>12</v>
      </c>
      <c r="B805" s="1" t="s">
        <v>152</v>
      </c>
      <c r="C805" s="4">
        <v>16</v>
      </c>
      <c r="D805" s="8">
        <v>2.81</v>
      </c>
      <c r="E805" s="4">
        <v>7</v>
      </c>
      <c r="F805" s="8">
        <v>2.15</v>
      </c>
      <c r="G805" s="4">
        <v>9</v>
      </c>
      <c r="H805" s="8">
        <v>3.72</v>
      </c>
      <c r="I805" s="4">
        <v>0</v>
      </c>
    </row>
    <row r="806" spans="1:9" x14ac:dyDescent="0.2">
      <c r="A806" s="2">
        <v>13</v>
      </c>
      <c r="B806" s="1" t="s">
        <v>113</v>
      </c>
      <c r="C806" s="4">
        <v>14</v>
      </c>
      <c r="D806" s="8">
        <v>2.46</v>
      </c>
      <c r="E806" s="4">
        <v>4</v>
      </c>
      <c r="F806" s="8">
        <v>1.23</v>
      </c>
      <c r="G806" s="4">
        <v>10</v>
      </c>
      <c r="H806" s="8">
        <v>4.13</v>
      </c>
      <c r="I806" s="4">
        <v>0</v>
      </c>
    </row>
    <row r="807" spans="1:9" x14ac:dyDescent="0.2">
      <c r="A807" s="2">
        <v>14</v>
      </c>
      <c r="B807" s="1" t="s">
        <v>107</v>
      </c>
      <c r="C807" s="4">
        <v>13</v>
      </c>
      <c r="D807" s="8">
        <v>2.2799999999999998</v>
      </c>
      <c r="E807" s="4">
        <v>6</v>
      </c>
      <c r="F807" s="8">
        <v>1.85</v>
      </c>
      <c r="G807" s="4">
        <v>7</v>
      </c>
      <c r="H807" s="8">
        <v>2.89</v>
      </c>
      <c r="I807" s="4">
        <v>0</v>
      </c>
    </row>
    <row r="808" spans="1:9" x14ac:dyDescent="0.2">
      <c r="A808" s="2">
        <v>15</v>
      </c>
      <c r="B808" s="1" t="s">
        <v>112</v>
      </c>
      <c r="C808" s="4">
        <v>12</v>
      </c>
      <c r="D808" s="8">
        <v>2.11</v>
      </c>
      <c r="E808" s="4">
        <v>8</v>
      </c>
      <c r="F808" s="8">
        <v>2.46</v>
      </c>
      <c r="G808" s="4">
        <v>4</v>
      </c>
      <c r="H808" s="8">
        <v>1.65</v>
      </c>
      <c r="I808" s="4">
        <v>0</v>
      </c>
    </row>
    <row r="809" spans="1:9" x14ac:dyDescent="0.2">
      <c r="A809" s="2">
        <v>16</v>
      </c>
      <c r="B809" s="1" t="s">
        <v>104</v>
      </c>
      <c r="C809" s="4">
        <v>11</v>
      </c>
      <c r="D809" s="8">
        <v>1.93</v>
      </c>
      <c r="E809" s="4">
        <v>5</v>
      </c>
      <c r="F809" s="8">
        <v>1.54</v>
      </c>
      <c r="G809" s="4">
        <v>6</v>
      </c>
      <c r="H809" s="8">
        <v>2.48</v>
      </c>
      <c r="I809" s="4">
        <v>0</v>
      </c>
    </row>
    <row r="810" spans="1:9" x14ac:dyDescent="0.2">
      <c r="A810" s="2">
        <v>17</v>
      </c>
      <c r="B810" s="1" t="s">
        <v>109</v>
      </c>
      <c r="C810" s="4">
        <v>10</v>
      </c>
      <c r="D810" s="8">
        <v>1.76</v>
      </c>
      <c r="E810" s="4">
        <v>4</v>
      </c>
      <c r="F810" s="8">
        <v>1.23</v>
      </c>
      <c r="G810" s="4">
        <v>6</v>
      </c>
      <c r="H810" s="8">
        <v>2.48</v>
      </c>
      <c r="I810" s="4">
        <v>0</v>
      </c>
    </row>
    <row r="811" spans="1:9" x14ac:dyDescent="0.2">
      <c r="A811" s="2">
        <v>18</v>
      </c>
      <c r="B811" s="1" t="s">
        <v>160</v>
      </c>
      <c r="C811" s="4">
        <v>9</v>
      </c>
      <c r="D811" s="8">
        <v>1.58</v>
      </c>
      <c r="E811" s="4">
        <v>3</v>
      </c>
      <c r="F811" s="8">
        <v>0.92</v>
      </c>
      <c r="G811" s="4">
        <v>6</v>
      </c>
      <c r="H811" s="8">
        <v>2.48</v>
      </c>
      <c r="I811" s="4">
        <v>0</v>
      </c>
    </row>
    <row r="812" spans="1:9" x14ac:dyDescent="0.2">
      <c r="A812" s="2">
        <v>18</v>
      </c>
      <c r="B812" s="1" t="s">
        <v>136</v>
      </c>
      <c r="C812" s="4">
        <v>9</v>
      </c>
      <c r="D812" s="8">
        <v>1.58</v>
      </c>
      <c r="E812" s="4">
        <v>5</v>
      </c>
      <c r="F812" s="8">
        <v>1.54</v>
      </c>
      <c r="G812" s="4">
        <v>4</v>
      </c>
      <c r="H812" s="8">
        <v>1.65</v>
      </c>
      <c r="I812" s="4">
        <v>0</v>
      </c>
    </row>
    <row r="813" spans="1:9" x14ac:dyDescent="0.2">
      <c r="A813" s="2">
        <v>20</v>
      </c>
      <c r="B813" s="1" t="s">
        <v>122</v>
      </c>
      <c r="C813" s="4">
        <v>8</v>
      </c>
      <c r="D813" s="8">
        <v>1.41</v>
      </c>
      <c r="E813" s="4">
        <v>1</v>
      </c>
      <c r="F813" s="8">
        <v>0.31</v>
      </c>
      <c r="G813" s="4">
        <v>7</v>
      </c>
      <c r="H813" s="8">
        <v>2.89</v>
      </c>
      <c r="I813" s="4">
        <v>0</v>
      </c>
    </row>
    <row r="814" spans="1:9" x14ac:dyDescent="0.2">
      <c r="A814" s="1"/>
      <c r="C814" s="4"/>
      <c r="D814" s="8"/>
      <c r="E814" s="4"/>
      <c r="F814" s="8"/>
      <c r="G814" s="4"/>
      <c r="H814" s="8"/>
      <c r="I814" s="4"/>
    </row>
    <row r="815" spans="1:9" x14ac:dyDescent="0.2">
      <c r="A815" s="1" t="s">
        <v>35</v>
      </c>
      <c r="C815" s="4"/>
      <c r="D815" s="8"/>
      <c r="E815" s="4"/>
      <c r="F815" s="8"/>
      <c r="G815" s="4"/>
      <c r="H815" s="8"/>
      <c r="I815" s="4"/>
    </row>
    <row r="816" spans="1:9" x14ac:dyDescent="0.2">
      <c r="A816" s="2">
        <v>1</v>
      </c>
      <c r="B816" s="1" t="s">
        <v>115</v>
      </c>
      <c r="C816" s="4">
        <v>54</v>
      </c>
      <c r="D816" s="8">
        <v>9.2200000000000006</v>
      </c>
      <c r="E816" s="4">
        <v>38</v>
      </c>
      <c r="F816" s="8">
        <v>13.29</v>
      </c>
      <c r="G816" s="4">
        <v>16</v>
      </c>
      <c r="H816" s="8">
        <v>5.35</v>
      </c>
      <c r="I816" s="4">
        <v>0</v>
      </c>
    </row>
    <row r="817" spans="1:9" x14ac:dyDescent="0.2">
      <c r="A817" s="2">
        <v>2</v>
      </c>
      <c r="B817" s="1" t="s">
        <v>116</v>
      </c>
      <c r="C817" s="4">
        <v>44</v>
      </c>
      <c r="D817" s="8">
        <v>7.51</v>
      </c>
      <c r="E817" s="4">
        <v>35</v>
      </c>
      <c r="F817" s="8">
        <v>12.24</v>
      </c>
      <c r="G817" s="4">
        <v>9</v>
      </c>
      <c r="H817" s="8">
        <v>3.01</v>
      </c>
      <c r="I817" s="4">
        <v>0</v>
      </c>
    </row>
    <row r="818" spans="1:9" x14ac:dyDescent="0.2">
      <c r="A818" s="2">
        <v>3</v>
      </c>
      <c r="B818" s="1" t="s">
        <v>101</v>
      </c>
      <c r="C818" s="4">
        <v>42</v>
      </c>
      <c r="D818" s="8">
        <v>7.17</v>
      </c>
      <c r="E818" s="4">
        <v>11</v>
      </c>
      <c r="F818" s="8">
        <v>3.85</v>
      </c>
      <c r="G818" s="4">
        <v>31</v>
      </c>
      <c r="H818" s="8">
        <v>10.37</v>
      </c>
      <c r="I818" s="4">
        <v>0</v>
      </c>
    </row>
    <row r="819" spans="1:9" x14ac:dyDescent="0.2">
      <c r="A819" s="2">
        <v>4</v>
      </c>
      <c r="B819" s="1" t="s">
        <v>105</v>
      </c>
      <c r="C819" s="4">
        <v>36</v>
      </c>
      <c r="D819" s="8">
        <v>6.14</v>
      </c>
      <c r="E819" s="4">
        <v>15</v>
      </c>
      <c r="F819" s="8">
        <v>5.24</v>
      </c>
      <c r="G819" s="4">
        <v>21</v>
      </c>
      <c r="H819" s="8">
        <v>7.02</v>
      </c>
      <c r="I819" s="4">
        <v>0</v>
      </c>
    </row>
    <row r="820" spans="1:9" x14ac:dyDescent="0.2">
      <c r="A820" s="2">
        <v>5</v>
      </c>
      <c r="B820" s="1" t="s">
        <v>110</v>
      </c>
      <c r="C820" s="4">
        <v>34</v>
      </c>
      <c r="D820" s="8">
        <v>5.8</v>
      </c>
      <c r="E820" s="4">
        <v>17</v>
      </c>
      <c r="F820" s="8">
        <v>5.94</v>
      </c>
      <c r="G820" s="4">
        <v>17</v>
      </c>
      <c r="H820" s="8">
        <v>5.69</v>
      </c>
      <c r="I820" s="4">
        <v>0</v>
      </c>
    </row>
    <row r="821" spans="1:9" x14ac:dyDescent="0.2">
      <c r="A821" s="2">
        <v>6</v>
      </c>
      <c r="B821" s="1" t="s">
        <v>102</v>
      </c>
      <c r="C821" s="4">
        <v>29</v>
      </c>
      <c r="D821" s="8">
        <v>4.95</v>
      </c>
      <c r="E821" s="4">
        <v>19</v>
      </c>
      <c r="F821" s="8">
        <v>6.64</v>
      </c>
      <c r="G821" s="4">
        <v>10</v>
      </c>
      <c r="H821" s="8">
        <v>3.34</v>
      </c>
      <c r="I821" s="4">
        <v>0</v>
      </c>
    </row>
    <row r="822" spans="1:9" x14ac:dyDescent="0.2">
      <c r="A822" s="2">
        <v>7</v>
      </c>
      <c r="B822" s="1" t="s">
        <v>108</v>
      </c>
      <c r="C822" s="4">
        <v>26</v>
      </c>
      <c r="D822" s="8">
        <v>4.4400000000000004</v>
      </c>
      <c r="E822" s="4">
        <v>13</v>
      </c>
      <c r="F822" s="8">
        <v>4.55</v>
      </c>
      <c r="G822" s="4">
        <v>13</v>
      </c>
      <c r="H822" s="8">
        <v>4.3499999999999996</v>
      </c>
      <c r="I822" s="4">
        <v>0</v>
      </c>
    </row>
    <row r="823" spans="1:9" x14ac:dyDescent="0.2">
      <c r="A823" s="2">
        <v>7</v>
      </c>
      <c r="B823" s="1" t="s">
        <v>109</v>
      </c>
      <c r="C823" s="4">
        <v>26</v>
      </c>
      <c r="D823" s="8">
        <v>4.4400000000000004</v>
      </c>
      <c r="E823" s="4">
        <v>11</v>
      </c>
      <c r="F823" s="8">
        <v>3.85</v>
      </c>
      <c r="G823" s="4">
        <v>15</v>
      </c>
      <c r="H823" s="8">
        <v>5.0199999999999996</v>
      </c>
      <c r="I823" s="4">
        <v>0</v>
      </c>
    </row>
    <row r="824" spans="1:9" x14ac:dyDescent="0.2">
      <c r="A824" s="2">
        <v>9</v>
      </c>
      <c r="B824" s="1" t="s">
        <v>111</v>
      </c>
      <c r="C824" s="4">
        <v>20</v>
      </c>
      <c r="D824" s="8">
        <v>3.41</v>
      </c>
      <c r="E824" s="4">
        <v>11</v>
      </c>
      <c r="F824" s="8">
        <v>3.85</v>
      </c>
      <c r="G824" s="4">
        <v>9</v>
      </c>
      <c r="H824" s="8">
        <v>3.01</v>
      </c>
      <c r="I824" s="4">
        <v>0</v>
      </c>
    </row>
    <row r="825" spans="1:9" x14ac:dyDescent="0.2">
      <c r="A825" s="2">
        <v>10</v>
      </c>
      <c r="B825" s="1" t="s">
        <v>104</v>
      </c>
      <c r="C825" s="4">
        <v>19</v>
      </c>
      <c r="D825" s="8">
        <v>3.24</v>
      </c>
      <c r="E825" s="4">
        <v>6</v>
      </c>
      <c r="F825" s="8">
        <v>2.1</v>
      </c>
      <c r="G825" s="4">
        <v>13</v>
      </c>
      <c r="H825" s="8">
        <v>4.3499999999999996</v>
      </c>
      <c r="I825" s="4">
        <v>0</v>
      </c>
    </row>
    <row r="826" spans="1:9" x14ac:dyDescent="0.2">
      <c r="A826" s="2">
        <v>10</v>
      </c>
      <c r="B826" s="1" t="s">
        <v>117</v>
      </c>
      <c r="C826" s="4">
        <v>19</v>
      </c>
      <c r="D826" s="8">
        <v>3.24</v>
      </c>
      <c r="E826" s="4">
        <v>13</v>
      </c>
      <c r="F826" s="8">
        <v>4.55</v>
      </c>
      <c r="G826" s="4">
        <v>5</v>
      </c>
      <c r="H826" s="8">
        <v>1.67</v>
      </c>
      <c r="I826" s="4">
        <v>0</v>
      </c>
    </row>
    <row r="827" spans="1:9" x14ac:dyDescent="0.2">
      <c r="A827" s="2">
        <v>12</v>
      </c>
      <c r="B827" s="1" t="s">
        <v>103</v>
      </c>
      <c r="C827" s="4">
        <v>14</v>
      </c>
      <c r="D827" s="8">
        <v>2.39</v>
      </c>
      <c r="E827" s="4">
        <v>4</v>
      </c>
      <c r="F827" s="8">
        <v>1.4</v>
      </c>
      <c r="G827" s="4">
        <v>10</v>
      </c>
      <c r="H827" s="8">
        <v>3.34</v>
      </c>
      <c r="I827" s="4">
        <v>0</v>
      </c>
    </row>
    <row r="828" spans="1:9" x14ac:dyDescent="0.2">
      <c r="A828" s="2">
        <v>12</v>
      </c>
      <c r="B828" s="1" t="s">
        <v>152</v>
      </c>
      <c r="C828" s="4">
        <v>14</v>
      </c>
      <c r="D828" s="8">
        <v>2.39</v>
      </c>
      <c r="E828" s="4">
        <v>6</v>
      </c>
      <c r="F828" s="8">
        <v>2.1</v>
      </c>
      <c r="G828" s="4">
        <v>8</v>
      </c>
      <c r="H828" s="8">
        <v>2.68</v>
      </c>
      <c r="I828" s="4">
        <v>0</v>
      </c>
    </row>
    <row r="829" spans="1:9" x14ac:dyDescent="0.2">
      <c r="A829" s="2">
        <v>14</v>
      </c>
      <c r="B829" s="1" t="s">
        <v>158</v>
      </c>
      <c r="C829" s="4">
        <v>13</v>
      </c>
      <c r="D829" s="8">
        <v>2.2200000000000002</v>
      </c>
      <c r="E829" s="4">
        <v>4</v>
      </c>
      <c r="F829" s="8">
        <v>1.4</v>
      </c>
      <c r="G829" s="4">
        <v>9</v>
      </c>
      <c r="H829" s="8">
        <v>3.01</v>
      </c>
      <c r="I829" s="4">
        <v>0</v>
      </c>
    </row>
    <row r="830" spans="1:9" x14ac:dyDescent="0.2">
      <c r="A830" s="2">
        <v>14</v>
      </c>
      <c r="B830" s="1" t="s">
        <v>118</v>
      </c>
      <c r="C830" s="4">
        <v>13</v>
      </c>
      <c r="D830" s="8">
        <v>2.2200000000000002</v>
      </c>
      <c r="E830" s="4">
        <v>13</v>
      </c>
      <c r="F830" s="8">
        <v>4.55</v>
      </c>
      <c r="G830" s="4">
        <v>0</v>
      </c>
      <c r="H830" s="8">
        <v>0</v>
      </c>
      <c r="I830" s="4">
        <v>0</v>
      </c>
    </row>
    <row r="831" spans="1:9" x14ac:dyDescent="0.2">
      <c r="A831" s="2">
        <v>16</v>
      </c>
      <c r="B831" s="1" t="s">
        <v>126</v>
      </c>
      <c r="C831" s="4">
        <v>12</v>
      </c>
      <c r="D831" s="8">
        <v>2.0499999999999998</v>
      </c>
      <c r="E831" s="4">
        <v>6</v>
      </c>
      <c r="F831" s="8">
        <v>2.1</v>
      </c>
      <c r="G831" s="4">
        <v>6</v>
      </c>
      <c r="H831" s="8">
        <v>2.0099999999999998</v>
      </c>
      <c r="I831" s="4">
        <v>0</v>
      </c>
    </row>
    <row r="832" spans="1:9" x14ac:dyDescent="0.2">
      <c r="A832" s="2">
        <v>16</v>
      </c>
      <c r="B832" s="1" t="s">
        <v>107</v>
      </c>
      <c r="C832" s="4">
        <v>12</v>
      </c>
      <c r="D832" s="8">
        <v>2.0499999999999998</v>
      </c>
      <c r="E832" s="4">
        <v>4</v>
      </c>
      <c r="F832" s="8">
        <v>1.4</v>
      </c>
      <c r="G832" s="4">
        <v>8</v>
      </c>
      <c r="H832" s="8">
        <v>2.68</v>
      </c>
      <c r="I832" s="4">
        <v>0</v>
      </c>
    </row>
    <row r="833" spans="1:9" x14ac:dyDescent="0.2">
      <c r="A833" s="2">
        <v>18</v>
      </c>
      <c r="B833" s="1" t="s">
        <v>112</v>
      </c>
      <c r="C833" s="4">
        <v>11</v>
      </c>
      <c r="D833" s="8">
        <v>1.88</v>
      </c>
      <c r="E833" s="4">
        <v>8</v>
      </c>
      <c r="F833" s="8">
        <v>2.8</v>
      </c>
      <c r="G833" s="4">
        <v>3</v>
      </c>
      <c r="H833" s="8">
        <v>1</v>
      </c>
      <c r="I833" s="4">
        <v>0</v>
      </c>
    </row>
    <row r="834" spans="1:9" x14ac:dyDescent="0.2">
      <c r="A834" s="2">
        <v>19</v>
      </c>
      <c r="B834" s="1" t="s">
        <v>155</v>
      </c>
      <c r="C834" s="4">
        <v>10</v>
      </c>
      <c r="D834" s="8">
        <v>1.71</v>
      </c>
      <c r="E834" s="4">
        <v>3</v>
      </c>
      <c r="F834" s="8">
        <v>1.05</v>
      </c>
      <c r="G834" s="4">
        <v>7</v>
      </c>
      <c r="H834" s="8">
        <v>2.34</v>
      </c>
      <c r="I834" s="4">
        <v>0</v>
      </c>
    </row>
    <row r="835" spans="1:9" x14ac:dyDescent="0.2">
      <c r="A835" s="2">
        <v>19</v>
      </c>
      <c r="B835" s="1" t="s">
        <v>154</v>
      </c>
      <c r="C835" s="4">
        <v>10</v>
      </c>
      <c r="D835" s="8">
        <v>1.71</v>
      </c>
      <c r="E835" s="4">
        <v>4</v>
      </c>
      <c r="F835" s="8">
        <v>1.4</v>
      </c>
      <c r="G835" s="4">
        <v>6</v>
      </c>
      <c r="H835" s="8">
        <v>2.0099999999999998</v>
      </c>
      <c r="I835" s="4">
        <v>0</v>
      </c>
    </row>
    <row r="836" spans="1:9" x14ac:dyDescent="0.2">
      <c r="A836" s="1"/>
      <c r="C836" s="4"/>
      <c r="D836" s="8"/>
      <c r="E836" s="4"/>
      <c r="F836" s="8"/>
      <c r="G836" s="4"/>
      <c r="H836" s="8"/>
      <c r="I836" s="4"/>
    </row>
    <row r="837" spans="1:9" x14ac:dyDescent="0.2">
      <c r="A837" s="1" t="s">
        <v>36</v>
      </c>
      <c r="C837" s="4"/>
      <c r="D837" s="8"/>
      <c r="E837" s="4"/>
      <c r="F837" s="8"/>
      <c r="G837" s="4"/>
      <c r="H837" s="8"/>
      <c r="I837" s="4"/>
    </row>
    <row r="838" spans="1:9" x14ac:dyDescent="0.2">
      <c r="A838" s="2">
        <v>1</v>
      </c>
      <c r="B838" s="1" t="s">
        <v>115</v>
      </c>
      <c r="C838" s="4">
        <v>34</v>
      </c>
      <c r="D838" s="8">
        <v>12.64</v>
      </c>
      <c r="E838" s="4">
        <v>29</v>
      </c>
      <c r="F838" s="8">
        <v>16.96</v>
      </c>
      <c r="G838" s="4">
        <v>5</v>
      </c>
      <c r="H838" s="8">
        <v>5.21</v>
      </c>
      <c r="I838" s="4">
        <v>0</v>
      </c>
    </row>
    <row r="839" spans="1:9" x14ac:dyDescent="0.2">
      <c r="A839" s="2">
        <v>2</v>
      </c>
      <c r="B839" s="1" t="s">
        <v>101</v>
      </c>
      <c r="C839" s="4">
        <v>30</v>
      </c>
      <c r="D839" s="8">
        <v>11.15</v>
      </c>
      <c r="E839" s="4">
        <v>14</v>
      </c>
      <c r="F839" s="8">
        <v>8.19</v>
      </c>
      <c r="G839" s="4">
        <v>16</v>
      </c>
      <c r="H839" s="8">
        <v>16.670000000000002</v>
      </c>
      <c r="I839" s="4">
        <v>0</v>
      </c>
    </row>
    <row r="840" spans="1:9" x14ac:dyDescent="0.2">
      <c r="A840" s="2">
        <v>3</v>
      </c>
      <c r="B840" s="1" t="s">
        <v>116</v>
      </c>
      <c r="C840" s="4">
        <v>26</v>
      </c>
      <c r="D840" s="8">
        <v>9.67</v>
      </c>
      <c r="E840" s="4">
        <v>25</v>
      </c>
      <c r="F840" s="8">
        <v>14.62</v>
      </c>
      <c r="G840" s="4">
        <v>1</v>
      </c>
      <c r="H840" s="8">
        <v>1.04</v>
      </c>
      <c r="I840" s="4">
        <v>0</v>
      </c>
    </row>
    <row r="841" spans="1:9" x14ac:dyDescent="0.2">
      <c r="A841" s="2">
        <v>4</v>
      </c>
      <c r="B841" s="1" t="s">
        <v>102</v>
      </c>
      <c r="C841" s="4">
        <v>16</v>
      </c>
      <c r="D841" s="8">
        <v>5.95</v>
      </c>
      <c r="E841" s="4">
        <v>10</v>
      </c>
      <c r="F841" s="8">
        <v>5.85</v>
      </c>
      <c r="G841" s="4">
        <v>6</v>
      </c>
      <c r="H841" s="8">
        <v>6.25</v>
      </c>
      <c r="I841" s="4">
        <v>0</v>
      </c>
    </row>
    <row r="842" spans="1:9" x14ac:dyDescent="0.2">
      <c r="A842" s="2">
        <v>5</v>
      </c>
      <c r="B842" s="1" t="s">
        <v>108</v>
      </c>
      <c r="C842" s="4">
        <v>15</v>
      </c>
      <c r="D842" s="8">
        <v>5.58</v>
      </c>
      <c r="E842" s="4">
        <v>8</v>
      </c>
      <c r="F842" s="8">
        <v>4.68</v>
      </c>
      <c r="G842" s="4">
        <v>7</v>
      </c>
      <c r="H842" s="8">
        <v>7.29</v>
      </c>
      <c r="I842" s="4">
        <v>0</v>
      </c>
    </row>
    <row r="843" spans="1:9" x14ac:dyDescent="0.2">
      <c r="A843" s="2">
        <v>6</v>
      </c>
      <c r="B843" s="1" t="s">
        <v>117</v>
      </c>
      <c r="C843" s="4">
        <v>13</v>
      </c>
      <c r="D843" s="8">
        <v>4.83</v>
      </c>
      <c r="E843" s="4">
        <v>13</v>
      </c>
      <c r="F843" s="8">
        <v>7.6</v>
      </c>
      <c r="G843" s="4">
        <v>0</v>
      </c>
      <c r="H843" s="8">
        <v>0</v>
      </c>
      <c r="I843" s="4">
        <v>0</v>
      </c>
    </row>
    <row r="844" spans="1:9" x14ac:dyDescent="0.2">
      <c r="A844" s="2">
        <v>6</v>
      </c>
      <c r="B844" s="1" t="s">
        <v>118</v>
      </c>
      <c r="C844" s="4">
        <v>13</v>
      </c>
      <c r="D844" s="8">
        <v>4.83</v>
      </c>
      <c r="E844" s="4">
        <v>13</v>
      </c>
      <c r="F844" s="8">
        <v>7.6</v>
      </c>
      <c r="G844" s="4">
        <v>0</v>
      </c>
      <c r="H844" s="8">
        <v>0</v>
      </c>
      <c r="I844" s="4">
        <v>0</v>
      </c>
    </row>
    <row r="845" spans="1:9" x14ac:dyDescent="0.2">
      <c r="A845" s="2">
        <v>8</v>
      </c>
      <c r="B845" s="1" t="s">
        <v>110</v>
      </c>
      <c r="C845" s="4">
        <v>12</v>
      </c>
      <c r="D845" s="8">
        <v>4.46</v>
      </c>
      <c r="E845" s="4">
        <v>6</v>
      </c>
      <c r="F845" s="8">
        <v>3.51</v>
      </c>
      <c r="G845" s="4">
        <v>6</v>
      </c>
      <c r="H845" s="8">
        <v>6.25</v>
      </c>
      <c r="I845" s="4">
        <v>0</v>
      </c>
    </row>
    <row r="846" spans="1:9" x14ac:dyDescent="0.2">
      <c r="A846" s="2">
        <v>9</v>
      </c>
      <c r="B846" s="1" t="s">
        <v>112</v>
      </c>
      <c r="C846" s="4">
        <v>9</v>
      </c>
      <c r="D846" s="8">
        <v>3.35</v>
      </c>
      <c r="E846" s="4">
        <v>9</v>
      </c>
      <c r="F846" s="8">
        <v>5.26</v>
      </c>
      <c r="G846" s="4">
        <v>0</v>
      </c>
      <c r="H846" s="8">
        <v>0</v>
      </c>
      <c r="I846" s="4">
        <v>0</v>
      </c>
    </row>
    <row r="847" spans="1:9" x14ac:dyDescent="0.2">
      <c r="A847" s="2">
        <v>9</v>
      </c>
      <c r="B847" s="1" t="s">
        <v>113</v>
      </c>
      <c r="C847" s="4">
        <v>9</v>
      </c>
      <c r="D847" s="8">
        <v>3.35</v>
      </c>
      <c r="E847" s="4">
        <v>5</v>
      </c>
      <c r="F847" s="8">
        <v>2.92</v>
      </c>
      <c r="G847" s="4">
        <v>3</v>
      </c>
      <c r="H847" s="8">
        <v>3.13</v>
      </c>
      <c r="I847" s="4">
        <v>0</v>
      </c>
    </row>
    <row r="848" spans="1:9" x14ac:dyDescent="0.2">
      <c r="A848" s="2">
        <v>11</v>
      </c>
      <c r="B848" s="1" t="s">
        <v>103</v>
      </c>
      <c r="C848" s="4">
        <v>7</v>
      </c>
      <c r="D848" s="8">
        <v>2.6</v>
      </c>
      <c r="E848" s="4">
        <v>4</v>
      </c>
      <c r="F848" s="8">
        <v>2.34</v>
      </c>
      <c r="G848" s="4">
        <v>3</v>
      </c>
      <c r="H848" s="8">
        <v>3.13</v>
      </c>
      <c r="I848" s="4">
        <v>0</v>
      </c>
    </row>
    <row r="849" spans="1:9" x14ac:dyDescent="0.2">
      <c r="A849" s="2">
        <v>12</v>
      </c>
      <c r="B849" s="1" t="s">
        <v>127</v>
      </c>
      <c r="C849" s="4">
        <v>6</v>
      </c>
      <c r="D849" s="8">
        <v>2.23</v>
      </c>
      <c r="E849" s="4">
        <v>3</v>
      </c>
      <c r="F849" s="8">
        <v>1.75</v>
      </c>
      <c r="G849" s="4">
        <v>3</v>
      </c>
      <c r="H849" s="8">
        <v>3.13</v>
      </c>
      <c r="I849" s="4">
        <v>0</v>
      </c>
    </row>
    <row r="850" spans="1:9" x14ac:dyDescent="0.2">
      <c r="A850" s="2">
        <v>12</v>
      </c>
      <c r="B850" s="1" t="s">
        <v>105</v>
      </c>
      <c r="C850" s="4">
        <v>6</v>
      </c>
      <c r="D850" s="8">
        <v>2.23</v>
      </c>
      <c r="E850" s="4">
        <v>2</v>
      </c>
      <c r="F850" s="8">
        <v>1.17</v>
      </c>
      <c r="G850" s="4">
        <v>4</v>
      </c>
      <c r="H850" s="8">
        <v>4.17</v>
      </c>
      <c r="I850" s="4">
        <v>0</v>
      </c>
    </row>
    <row r="851" spans="1:9" x14ac:dyDescent="0.2">
      <c r="A851" s="2">
        <v>12</v>
      </c>
      <c r="B851" s="1" t="s">
        <v>109</v>
      </c>
      <c r="C851" s="4">
        <v>6</v>
      </c>
      <c r="D851" s="8">
        <v>2.23</v>
      </c>
      <c r="E851" s="4">
        <v>4</v>
      </c>
      <c r="F851" s="8">
        <v>2.34</v>
      </c>
      <c r="G851" s="4">
        <v>2</v>
      </c>
      <c r="H851" s="8">
        <v>2.08</v>
      </c>
      <c r="I851" s="4">
        <v>0</v>
      </c>
    </row>
    <row r="852" spans="1:9" x14ac:dyDescent="0.2">
      <c r="A852" s="2">
        <v>15</v>
      </c>
      <c r="B852" s="1" t="s">
        <v>130</v>
      </c>
      <c r="C852" s="4">
        <v>5</v>
      </c>
      <c r="D852" s="8">
        <v>1.86</v>
      </c>
      <c r="E852" s="4">
        <v>4</v>
      </c>
      <c r="F852" s="8">
        <v>2.34</v>
      </c>
      <c r="G852" s="4">
        <v>1</v>
      </c>
      <c r="H852" s="8">
        <v>1.04</v>
      </c>
      <c r="I852" s="4">
        <v>0</v>
      </c>
    </row>
    <row r="853" spans="1:9" x14ac:dyDescent="0.2">
      <c r="A853" s="2">
        <v>15</v>
      </c>
      <c r="B853" s="1" t="s">
        <v>120</v>
      </c>
      <c r="C853" s="4">
        <v>5</v>
      </c>
      <c r="D853" s="8">
        <v>1.86</v>
      </c>
      <c r="E853" s="4">
        <v>3</v>
      </c>
      <c r="F853" s="8">
        <v>1.75</v>
      </c>
      <c r="G853" s="4">
        <v>2</v>
      </c>
      <c r="H853" s="8">
        <v>2.08</v>
      </c>
      <c r="I853" s="4">
        <v>0</v>
      </c>
    </row>
    <row r="854" spans="1:9" x14ac:dyDescent="0.2">
      <c r="A854" s="2">
        <v>17</v>
      </c>
      <c r="B854" s="1" t="s">
        <v>143</v>
      </c>
      <c r="C854" s="4">
        <v>4</v>
      </c>
      <c r="D854" s="8">
        <v>1.49</v>
      </c>
      <c r="E854" s="4">
        <v>0</v>
      </c>
      <c r="F854" s="8">
        <v>0</v>
      </c>
      <c r="G854" s="4">
        <v>4</v>
      </c>
      <c r="H854" s="8">
        <v>4.17</v>
      </c>
      <c r="I854" s="4">
        <v>0</v>
      </c>
    </row>
    <row r="855" spans="1:9" x14ac:dyDescent="0.2">
      <c r="A855" s="2">
        <v>17</v>
      </c>
      <c r="B855" s="1" t="s">
        <v>135</v>
      </c>
      <c r="C855" s="4">
        <v>4</v>
      </c>
      <c r="D855" s="8">
        <v>1.49</v>
      </c>
      <c r="E855" s="4">
        <v>2</v>
      </c>
      <c r="F855" s="8">
        <v>1.17</v>
      </c>
      <c r="G855" s="4">
        <v>2</v>
      </c>
      <c r="H855" s="8">
        <v>2.08</v>
      </c>
      <c r="I855" s="4">
        <v>0</v>
      </c>
    </row>
    <row r="856" spans="1:9" x14ac:dyDescent="0.2">
      <c r="A856" s="2">
        <v>17</v>
      </c>
      <c r="B856" s="1" t="s">
        <v>107</v>
      </c>
      <c r="C856" s="4">
        <v>4</v>
      </c>
      <c r="D856" s="8">
        <v>1.49</v>
      </c>
      <c r="E856" s="4">
        <v>1</v>
      </c>
      <c r="F856" s="8">
        <v>0.57999999999999996</v>
      </c>
      <c r="G856" s="4">
        <v>3</v>
      </c>
      <c r="H856" s="8">
        <v>3.13</v>
      </c>
      <c r="I856" s="4">
        <v>0</v>
      </c>
    </row>
    <row r="857" spans="1:9" x14ac:dyDescent="0.2">
      <c r="A857" s="2">
        <v>17</v>
      </c>
      <c r="B857" s="1" t="s">
        <v>114</v>
      </c>
      <c r="C857" s="4">
        <v>4</v>
      </c>
      <c r="D857" s="8">
        <v>1.49</v>
      </c>
      <c r="E857" s="4">
        <v>1</v>
      </c>
      <c r="F857" s="8">
        <v>0.57999999999999996</v>
      </c>
      <c r="G857" s="4">
        <v>3</v>
      </c>
      <c r="H857" s="8">
        <v>3.13</v>
      </c>
      <c r="I857" s="4">
        <v>0</v>
      </c>
    </row>
    <row r="858" spans="1:9" x14ac:dyDescent="0.2">
      <c r="A858" s="1"/>
      <c r="C858" s="4"/>
      <c r="D858" s="8"/>
      <c r="E858" s="4"/>
      <c r="F858" s="8"/>
      <c r="G858" s="4"/>
      <c r="H858" s="8"/>
      <c r="I858" s="4"/>
    </row>
    <row r="859" spans="1:9" x14ac:dyDescent="0.2">
      <c r="A859" s="1" t="s">
        <v>37</v>
      </c>
      <c r="C859" s="4"/>
      <c r="D859" s="8"/>
      <c r="E859" s="4"/>
      <c r="F859" s="8"/>
      <c r="G859" s="4"/>
      <c r="H859" s="8"/>
      <c r="I859" s="4"/>
    </row>
    <row r="860" spans="1:9" x14ac:dyDescent="0.2">
      <c r="A860" s="2">
        <v>1</v>
      </c>
      <c r="B860" s="1" t="s">
        <v>116</v>
      </c>
      <c r="C860" s="4">
        <v>40</v>
      </c>
      <c r="D860" s="8">
        <v>13.42</v>
      </c>
      <c r="E860" s="4">
        <v>35</v>
      </c>
      <c r="F860" s="8">
        <v>24.82</v>
      </c>
      <c r="G860" s="4">
        <v>5</v>
      </c>
      <c r="H860" s="8">
        <v>3.27</v>
      </c>
      <c r="I860" s="4">
        <v>0</v>
      </c>
    </row>
    <row r="861" spans="1:9" x14ac:dyDescent="0.2">
      <c r="A861" s="2">
        <v>2</v>
      </c>
      <c r="B861" s="1" t="s">
        <v>101</v>
      </c>
      <c r="C861" s="4">
        <v>23</v>
      </c>
      <c r="D861" s="8">
        <v>7.72</v>
      </c>
      <c r="E861" s="4">
        <v>8</v>
      </c>
      <c r="F861" s="8">
        <v>5.67</v>
      </c>
      <c r="G861" s="4">
        <v>15</v>
      </c>
      <c r="H861" s="8">
        <v>9.8000000000000007</v>
      </c>
      <c r="I861" s="4">
        <v>0</v>
      </c>
    </row>
    <row r="862" spans="1:9" x14ac:dyDescent="0.2">
      <c r="A862" s="2">
        <v>3</v>
      </c>
      <c r="B862" s="1" t="s">
        <v>117</v>
      </c>
      <c r="C862" s="4">
        <v>20</v>
      </c>
      <c r="D862" s="8">
        <v>6.71</v>
      </c>
      <c r="E862" s="4">
        <v>15</v>
      </c>
      <c r="F862" s="8">
        <v>10.64</v>
      </c>
      <c r="G862" s="4">
        <v>3</v>
      </c>
      <c r="H862" s="8">
        <v>1.96</v>
      </c>
      <c r="I862" s="4">
        <v>0</v>
      </c>
    </row>
    <row r="863" spans="1:9" x14ac:dyDescent="0.2">
      <c r="A863" s="2">
        <v>4</v>
      </c>
      <c r="B863" s="1" t="s">
        <v>102</v>
      </c>
      <c r="C863" s="4">
        <v>17</v>
      </c>
      <c r="D863" s="8">
        <v>5.7</v>
      </c>
      <c r="E863" s="4">
        <v>10</v>
      </c>
      <c r="F863" s="8">
        <v>7.09</v>
      </c>
      <c r="G863" s="4">
        <v>7</v>
      </c>
      <c r="H863" s="8">
        <v>4.58</v>
      </c>
      <c r="I863" s="4">
        <v>0</v>
      </c>
    </row>
    <row r="864" spans="1:9" x14ac:dyDescent="0.2">
      <c r="A864" s="2">
        <v>4</v>
      </c>
      <c r="B864" s="1" t="s">
        <v>110</v>
      </c>
      <c r="C864" s="4">
        <v>17</v>
      </c>
      <c r="D864" s="8">
        <v>5.7</v>
      </c>
      <c r="E864" s="4">
        <v>8</v>
      </c>
      <c r="F864" s="8">
        <v>5.67</v>
      </c>
      <c r="G864" s="4">
        <v>9</v>
      </c>
      <c r="H864" s="8">
        <v>5.88</v>
      </c>
      <c r="I864" s="4">
        <v>0</v>
      </c>
    </row>
    <row r="865" spans="1:9" x14ac:dyDescent="0.2">
      <c r="A865" s="2">
        <v>6</v>
      </c>
      <c r="B865" s="1" t="s">
        <v>105</v>
      </c>
      <c r="C865" s="4">
        <v>12</v>
      </c>
      <c r="D865" s="8">
        <v>4.03</v>
      </c>
      <c r="E865" s="4">
        <v>3</v>
      </c>
      <c r="F865" s="8">
        <v>2.13</v>
      </c>
      <c r="G865" s="4">
        <v>9</v>
      </c>
      <c r="H865" s="8">
        <v>5.88</v>
      </c>
      <c r="I865" s="4">
        <v>0</v>
      </c>
    </row>
    <row r="866" spans="1:9" x14ac:dyDescent="0.2">
      <c r="A866" s="2">
        <v>6</v>
      </c>
      <c r="B866" s="1" t="s">
        <v>111</v>
      </c>
      <c r="C866" s="4">
        <v>12</v>
      </c>
      <c r="D866" s="8">
        <v>4.03</v>
      </c>
      <c r="E866" s="4">
        <v>6</v>
      </c>
      <c r="F866" s="8">
        <v>4.26</v>
      </c>
      <c r="G866" s="4">
        <v>6</v>
      </c>
      <c r="H866" s="8">
        <v>3.92</v>
      </c>
      <c r="I866" s="4">
        <v>0</v>
      </c>
    </row>
    <row r="867" spans="1:9" x14ac:dyDescent="0.2">
      <c r="A867" s="2">
        <v>8</v>
      </c>
      <c r="B867" s="1" t="s">
        <v>104</v>
      </c>
      <c r="C867" s="4">
        <v>11</v>
      </c>
      <c r="D867" s="8">
        <v>3.69</v>
      </c>
      <c r="E867" s="4">
        <v>3</v>
      </c>
      <c r="F867" s="8">
        <v>2.13</v>
      </c>
      <c r="G867" s="4">
        <v>8</v>
      </c>
      <c r="H867" s="8">
        <v>5.23</v>
      </c>
      <c r="I867" s="4">
        <v>0</v>
      </c>
    </row>
    <row r="868" spans="1:9" x14ac:dyDescent="0.2">
      <c r="A868" s="2">
        <v>8</v>
      </c>
      <c r="B868" s="1" t="s">
        <v>109</v>
      </c>
      <c r="C868" s="4">
        <v>11</v>
      </c>
      <c r="D868" s="8">
        <v>3.69</v>
      </c>
      <c r="E868" s="4">
        <v>2</v>
      </c>
      <c r="F868" s="8">
        <v>1.42</v>
      </c>
      <c r="G868" s="4">
        <v>9</v>
      </c>
      <c r="H868" s="8">
        <v>5.88</v>
      </c>
      <c r="I868" s="4">
        <v>0</v>
      </c>
    </row>
    <row r="869" spans="1:9" x14ac:dyDescent="0.2">
      <c r="A869" s="2">
        <v>8</v>
      </c>
      <c r="B869" s="1" t="s">
        <v>118</v>
      </c>
      <c r="C869" s="4">
        <v>11</v>
      </c>
      <c r="D869" s="8">
        <v>3.69</v>
      </c>
      <c r="E869" s="4">
        <v>11</v>
      </c>
      <c r="F869" s="8">
        <v>7.8</v>
      </c>
      <c r="G869" s="4">
        <v>0</v>
      </c>
      <c r="H869" s="8">
        <v>0</v>
      </c>
      <c r="I869" s="4">
        <v>0</v>
      </c>
    </row>
    <row r="870" spans="1:9" x14ac:dyDescent="0.2">
      <c r="A870" s="2">
        <v>11</v>
      </c>
      <c r="B870" s="1" t="s">
        <v>103</v>
      </c>
      <c r="C870" s="4">
        <v>9</v>
      </c>
      <c r="D870" s="8">
        <v>3.02</v>
      </c>
      <c r="E870" s="4">
        <v>6</v>
      </c>
      <c r="F870" s="8">
        <v>4.26</v>
      </c>
      <c r="G870" s="4">
        <v>3</v>
      </c>
      <c r="H870" s="8">
        <v>1.96</v>
      </c>
      <c r="I870" s="4">
        <v>0</v>
      </c>
    </row>
    <row r="871" spans="1:9" x14ac:dyDescent="0.2">
      <c r="A871" s="2">
        <v>11</v>
      </c>
      <c r="B871" s="1" t="s">
        <v>106</v>
      </c>
      <c r="C871" s="4">
        <v>9</v>
      </c>
      <c r="D871" s="8">
        <v>3.02</v>
      </c>
      <c r="E871" s="4">
        <v>0</v>
      </c>
      <c r="F871" s="8">
        <v>0</v>
      </c>
      <c r="G871" s="4">
        <v>9</v>
      </c>
      <c r="H871" s="8">
        <v>5.88</v>
      </c>
      <c r="I871" s="4">
        <v>0</v>
      </c>
    </row>
    <row r="872" spans="1:9" x14ac:dyDescent="0.2">
      <c r="A872" s="2">
        <v>11</v>
      </c>
      <c r="B872" s="1" t="s">
        <v>115</v>
      </c>
      <c r="C872" s="4">
        <v>9</v>
      </c>
      <c r="D872" s="8">
        <v>3.02</v>
      </c>
      <c r="E872" s="4">
        <v>7</v>
      </c>
      <c r="F872" s="8">
        <v>4.96</v>
      </c>
      <c r="G872" s="4">
        <v>2</v>
      </c>
      <c r="H872" s="8">
        <v>1.31</v>
      </c>
      <c r="I872" s="4">
        <v>0</v>
      </c>
    </row>
    <row r="873" spans="1:9" x14ac:dyDescent="0.2">
      <c r="A873" s="2">
        <v>14</v>
      </c>
      <c r="B873" s="1" t="s">
        <v>120</v>
      </c>
      <c r="C873" s="4">
        <v>7</v>
      </c>
      <c r="D873" s="8">
        <v>2.35</v>
      </c>
      <c r="E873" s="4">
        <v>4</v>
      </c>
      <c r="F873" s="8">
        <v>2.84</v>
      </c>
      <c r="G873" s="4">
        <v>3</v>
      </c>
      <c r="H873" s="8">
        <v>1.96</v>
      </c>
      <c r="I873" s="4">
        <v>0</v>
      </c>
    </row>
    <row r="874" spans="1:9" x14ac:dyDescent="0.2">
      <c r="A874" s="2">
        <v>15</v>
      </c>
      <c r="B874" s="1" t="s">
        <v>112</v>
      </c>
      <c r="C874" s="4">
        <v>6</v>
      </c>
      <c r="D874" s="8">
        <v>2.0099999999999998</v>
      </c>
      <c r="E874" s="4">
        <v>3</v>
      </c>
      <c r="F874" s="8">
        <v>2.13</v>
      </c>
      <c r="G874" s="4">
        <v>3</v>
      </c>
      <c r="H874" s="8">
        <v>1.96</v>
      </c>
      <c r="I874" s="4">
        <v>0</v>
      </c>
    </row>
    <row r="875" spans="1:9" x14ac:dyDescent="0.2">
      <c r="A875" s="2">
        <v>15</v>
      </c>
      <c r="B875" s="1" t="s">
        <v>113</v>
      </c>
      <c r="C875" s="4">
        <v>6</v>
      </c>
      <c r="D875" s="8">
        <v>2.0099999999999998</v>
      </c>
      <c r="E875" s="4">
        <v>3</v>
      </c>
      <c r="F875" s="8">
        <v>2.13</v>
      </c>
      <c r="G875" s="4">
        <v>3</v>
      </c>
      <c r="H875" s="8">
        <v>1.96</v>
      </c>
      <c r="I875" s="4">
        <v>0</v>
      </c>
    </row>
    <row r="876" spans="1:9" x14ac:dyDescent="0.2">
      <c r="A876" s="2">
        <v>17</v>
      </c>
      <c r="B876" s="1" t="s">
        <v>158</v>
      </c>
      <c r="C876" s="4">
        <v>5</v>
      </c>
      <c r="D876" s="8">
        <v>1.68</v>
      </c>
      <c r="E876" s="4">
        <v>1</v>
      </c>
      <c r="F876" s="8">
        <v>0.71</v>
      </c>
      <c r="G876" s="4">
        <v>4</v>
      </c>
      <c r="H876" s="8">
        <v>2.61</v>
      </c>
      <c r="I876" s="4">
        <v>0</v>
      </c>
    </row>
    <row r="877" spans="1:9" x14ac:dyDescent="0.2">
      <c r="A877" s="2">
        <v>17</v>
      </c>
      <c r="B877" s="1" t="s">
        <v>121</v>
      </c>
      <c r="C877" s="4">
        <v>5</v>
      </c>
      <c r="D877" s="8">
        <v>1.68</v>
      </c>
      <c r="E877" s="4">
        <v>0</v>
      </c>
      <c r="F877" s="8">
        <v>0</v>
      </c>
      <c r="G877" s="4">
        <v>5</v>
      </c>
      <c r="H877" s="8">
        <v>3.27</v>
      </c>
      <c r="I877" s="4">
        <v>0</v>
      </c>
    </row>
    <row r="878" spans="1:9" x14ac:dyDescent="0.2">
      <c r="A878" s="2">
        <v>17</v>
      </c>
      <c r="B878" s="1" t="s">
        <v>123</v>
      </c>
      <c r="C878" s="4">
        <v>5</v>
      </c>
      <c r="D878" s="8">
        <v>1.68</v>
      </c>
      <c r="E878" s="4">
        <v>0</v>
      </c>
      <c r="F878" s="8">
        <v>0</v>
      </c>
      <c r="G878" s="4">
        <v>5</v>
      </c>
      <c r="H878" s="8">
        <v>3.27</v>
      </c>
      <c r="I878" s="4">
        <v>0</v>
      </c>
    </row>
    <row r="879" spans="1:9" x14ac:dyDescent="0.2">
      <c r="A879" s="2">
        <v>20</v>
      </c>
      <c r="B879" s="1" t="s">
        <v>126</v>
      </c>
      <c r="C879" s="4">
        <v>4</v>
      </c>
      <c r="D879" s="8">
        <v>1.34</v>
      </c>
      <c r="E879" s="4">
        <v>3</v>
      </c>
      <c r="F879" s="8">
        <v>2.13</v>
      </c>
      <c r="G879" s="4">
        <v>1</v>
      </c>
      <c r="H879" s="8">
        <v>0.65</v>
      </c>
      <c r="I879" s="4">
        <v>0</v>
      </c>
    </row>
    <row r="880" spans="1:9" x14ac:dyDescent="0.2">
      <c r="A880" s="2">
        <v>20</v>
      </c>
      <c r="B880" s="1" t="s">
        <v>154</v>
      </c>
      <c r="C880" s="4">
        <v>4</v>
      </c>
      <c r="D880" s="8">
        <v>1.34</v>
      </c>
      <c r="E880" s="4">
        <v>0</v>
      </c>
      <c r="F880" s="8">
        <v>0</v>
      </c>
      <c r="G880" s="4">
        <v>4</v>
      </c>
      <c r="H880" s="8">
        <v>2.61</v>
      </c>
      <c r="I880" s="4">
        <v>0</v>
      </c>
    </row>
    <row r="881" spans="1:9" x14ac:dyDescent="0.2">
      <c r="A881" s="2">
        <v>20</v>
      </c>
      <c r="B881" s="1" t="s">
        <v>125</v>
      </c>
      <c r="C881" s="4">
        <v>4</v>
      </c>
      <c r="D881" s="8">
        <v>1.34</v>
      </c>
      <c r="E881" s="4">
        <v>1</v>
      </c>
      <c r="F881" s="8">
        <v>0.71</v>
      </c>
      <c r="G881" s="4">
        <v>3</v>
      </c>
      <c r="H881" s="8">
        <v>1.96</v>
      </c>
      <c r="I881" s="4">
        <v>0</v>
      </c>
    </row>
    <row r="882" spans="1:9" x14ac:dyDescent="0.2">
      <c r="A882" s="2">
        <v>20</v>
      </c>
      <c r="B882" s="1" t="s">
        <v>108</v>
      </c>
      <c r="C882" s="4">
        <v>4</v>
      </c>
      <c r="D882" s="8">
        <v>1.34</v>
      </c>
      <c r="E882" s="4">
        <v>2</v>
      </c>
      <c r="F882" s="8">
        <v>1.42</v>
      </c>
      <c r="G882" s="4">
        <v>2</v>
      </c>
      <c r="H882" s="8">
        <v>1.31</v>
      </c>
      <c r="I882" s="4">
        <v>0</v>
      </c>
    </row>
    <row r="883" spans="1:9" x14ac:dyDescent="0.2">
      <c r="A883" s="1"/>
      <c r="C883" s="4"/>
      <c r="D883" s="8"/>
      <c r="E883" s="4"/>
      <c r="F883" s="8"/>
      <c r="G883" s="4"/>
      <c r="H883" s="8"/>
      <c r="I883" s="4"/>
    </row>
    <row r="884" spans="1:9" x14ac:dyDescent="0.2">
      <c r="A884" s="1" t="s">
        <v>38</v>
      </c>
      <c r="C884" s="4"/>
      <c r="D884" s="8"/>
      <c r="E884" s="4"/>
      <c r="F884" s="8"/>
      <c r="G884" s="4"/>
      <c r="H884" s="8"/>
      <c r="I884" s="4"/>
    </row>
    <row r="885" spans="1:9" x14ac:dyDescent="0.2">
      <c r="A885" s="2">
        <v>1</v>
      </c>
      <c r="B885" s="1" t="s">
        <v>101</v>
      </c>
      <c r="C885" s="4">
        <v>14</v>
      </c>
      <c r="D885" s="8">
        <v>11.67</v>
      </c>
      <c r="E885" s="4">
        <v>4</v>
      </c>
      <c r="F885" s="8">
        <v>5.33</v>
      </c>
      <c r="G885" s="4">
        <v>10</v>
      </c>
      <c r="H885" s="8">
        <v>23.81</v>
      </c>
      <c r="I885" s="4">
        <v>0</v>
      </c>
    </row>
    <row r="886" spans="1:9" x14ac:dyDescent="0.2">
      <c r="A886" s="2">
        <v>2</v>
      </c>
      <c r="B886" s="1" t="s">
        <v>115</v>
      </c>
      <c r="C886" s="4">
        <v>11</v>
      </c>
      <c r="D886" s="8">
        <v>9.17</v>
      </c>
      <c r="E886" s="4">
        <v>10</v>
      </c>
      <c r="F886" s="8">
        <v>13.33</v>
      </c>
      <c r="G886" s="4">
        <v>1</v>
      </c>
      <c r="H886" s="8">
        <v>2.38</v>
      </c>
      <c r="I886" s="4">
        <v>0</v>
      </c>
    </row>
    <row r="887" spans="1:9" x14ac:dyDescent="0.2">
      <c r="A887" s="2">
        <v>3</v>
      </c>
      <c r="B887" s="1" t="s">
        <v>102</v>
      </c>
      <c r="C887" s="4">
        <v>10</v>
      </c>
      <c r="D887" s="8">
        <v>8.33</v>
      </c>
      <c r="E887" s="4">
        <v>9</v>
      </c>
      <c r="F887" s="8">
        <v>12</v>
      </c>
      <c r="G887" s="4">
        <v>1</v>
      </c>
      <c r="H887" s="8">
        <v>2.38</v>
      </c>
      <c r="I887" s="4">
        <v>0</v>
      </c>
    </row>
    <row r="888" spans="1:9" x14ac:dyDescent="0.2">
      <c r="A888" s="2">
        <v>3</v>
      </c>
      <c r="B888" s="1" t="s">
        <v>116</v>
      </c>
      <c r="C888" s="4">
        <v>10</v>
      </c>
      <c r="D888" s="8">
        <v>8.33</v>
      </c>
      <c r="E888" s="4">
        <v>10</v>
      </c>
      <c r="F888" s="8">
        <v>13.33</v>
      </c>
      <c r="G888" s="4">
        <v>0</v>
      </c>
      <c r="H888" s="8">
        <v>0</v>
      </c>
      <c r="I888" s="4">
        <v>0</v>
      </c>
    </row>
    <row r="889" spans="1:9" x14ac:dyDescent="0.2">
      <c r="A889" s="2">
        <v>5</v>
      </c>
      <c r="B889" s="1" t="s">
        <v>108</v>
      </c>
      <c r="C889" s="4">
        <v>8</v>
      </c>
      <c r="D889" s="8">
        <v>6.67</v>
      </c>
      <c r="E889" s="4">
        <v>7</v>
      </c>
      <c r="F889" s="8">
        <v>9.33</v>
      </c>
      <c r="G889" s="4">
        <v>1</v>
      </c>
      <c r="H889" s="8">
        <v>2.38</v>
      </c>
      <c r="I889" s="4">
        <v>0</v>
      </c>
    </row>
    <row r="890" spans="1:9" x14ac:dyDescent="0.2">
      <c r="A890" s="2">
        <v>5</v>
      </c>
      <c r="B890" s="1" t="s">
        <v>110</v>
      </c>
      <c r="C890" s="4">
        <v>8</v>
      </c>
      <c r="D890" s="8">
        <v>6.67</v>
      </c>
      <c r="E890" s="4">
        <v>3</v>
      </c>
      <c r="F890" s="8">
        <v>4</v>
      </c>
      <c r="G890" s="4">
        <v>5</v>
      </c>
      <c r="H890" s="8">
        <v>11.9</v>
      </c>
      <c r="I890" s="4">
        <v>0</v>
      </c>
    </row>
    <row r="891" spans="1:9" x14ac:dyDescent="0.2">
      <c r="A891" s="2">
        <v>7</v>
      </c>
      <c r="B891" s="1" t="s">
        <v>118</v>
      </c>
      <c r="C891" s="4">
        <v>6</v>
      </c>
      <c r="D891" s="8">
        <v>5</v>
      </c>
      <c r="E891" s="4">
        <v>5</v>
      </c>
      <c r="F891" s="8">
        <v>6.67</v>
      </c>
      <c r="G891" s="4">
        <v>1</v>
      </c>
      <c r="H891" s="8">
        <v>2.38</v>
      </c>
      <c r="I891" s="4">
        <v>0</v>
      </c>
    </row>
    <row r="892" spans="1:9" x14ac:dyDescent="0.2">
      <c r="A892" s="2">
        <v>8</v>
      </c>
      <c r="B892" s="1" t="s">
        <v>103</v>
      </c>
      <c r="C892" s="4">
        <v>4</v>
      </c>
      <c r="D892" s="8">
        <v>3.33</v>
      </c>
      <c r="E892" s="4">
        <v>3</v>
      </c>
      <c r="F892" s="8">
        <v>4</v>
      </c>
      <c r="G892" s="4">
        <v>1</v>
      </c>
      <c r="H892" s="8">
        <v>2.38</v>
      </c>
      <c r="I892" s="4">
        <v>0</v>
      </c>
    </row>
    <row r="893" spans="1:9" x14ac:dyDescent="0.2">
      <c r="A893" s="2">
        <v>8</v>
      </c>
      <c r="B893" s="1" t="s">
        <v>113</v>
      </c>
      <c r="C893" s="4">
        <v>4</v>
      </c>
      <c r="D893" s="8">
        <v>3.33</v>
      </c>
      <c r="E893" s="4">
        <v>3</v>
      </c>
      <c r="F893" s="8">
        <v>4</v>
      </c>
      <c r="G893" s="4">
        <v>1</v>
      </c>
      <c r="H893" s="8">
        <v>2.38</v>
      </c>
      <c r="I893" s="4">
        <v>0</v>
      </c>
    </row>
    <row r="894" spans="1:9" x14ac:dyDescent="0.2">
      <c r="A894" s="2">
        <v>10</v>
      </c>
      <c r="B894" s="1" t="s">
        <v>127</v>
      </c>
      <c r="C894" s="4">
        <v>3</v>
      </c>
      <c r="D894" s="8">
        <v>2.5</v>
      </c>
      <c r="E894" s="4">
        <v>0</v>
      </c>
      <c r="F894" s="8">
        <v>0</v>
      </c>
      <c r="G894" s="4">
        <v>3</v>
      </c>
      <c r="H894" s="8">
        <v>7.14</v>
      </c>
      <c r="I894" s="4">
        <v>0</v>
      </c>
    </row>
    <row r="895" spans="1:9" x14ac:dyDescent="0.2">
      <c r="A895" s="2">
        <v>10</v>
      </c>
      <c r="B895" s="1" t="s">
        <v>130</v>
      </c>
      <c r="C895" s="4">
        <v>3</v>
      </c>
      <c r="D895" s="8">
        <v>2.5</v>
      </c>
      <c r="E895" s="4">
        <v>3</v>
      </c>
      <c r="F895" s="8">
        <v>4</v>
      </c>
      <c r="G895" s="4">
        <v>0</v>
      </c>
      <c r="H895" s="8">
        <v>0</v>
      </c>
      <c r="I895" s="4">
        <v>0</v>
      </c>
    </row>
    <row r="896" spans="1:9" x14ac:dyDescent="0.2">
      <c r="A896" s="2">
        <v>10</v>
      </c>
      <c r="B896" s="1" t="s">
        <v>152</v>
      </c>
      <c r="C896" s="4">
        <v>3</v>
      </c>
      <c r="D896" s="8">
        <v>2.5</v>
      </c>
      <c r="E896" s="4">
        <v>1</v>
      </c>
      <c r="F896" s="8">
        <v>1.33</v>
      </c>
      <c r="G896" s="4">
        <v>2</v>
      </c>
      <c r="H896" s="8">
        <v>4.76</v>
      </c>
      <c r="I896" s="4">
        <v>0</v>
      </c>
    </row>
    <row r="897" spans="1:9" x14ac:dyDescent="0.2">
      <c r="A897" s="2">
        <v>10</v>
      </c>
      <c r="B897" s="1" t="s">
        <v>117</v>
      </c>
      <c r="C897" s="4">
        <v>3</v>
      </c>
      <c r="D897" s="8">
        <v>2.5</v>
      </c>
      <c r="E897" s="4">
        <v>0</v>
      </c>
      <c r="F897" s="8">
        <v>0</v>
      </c>
      <c r="G897" s="4">
        <v>1</v>
      </c>
      <c r="H897" s="8">
        <v>2.38</v>
      </c>
      <c r="I897" s="4">
        <v>0</v>
      </c>
    </row>
    <row r="898" spans="1:9" x14ac:dyDescent="0.2">
      <c r="A898" s="2">
        <v>10</v>
      </c>
      <c r="B898" s="1" t="s">
        <v>120</v>
      </c>
      <c r="C898" s="4">
        <v>3</v>
      </c>
      <c r="D898" s="8">
        <v>2.5</v>
      </c>
      <c r="E898" s="4">
        <v>1</v>
      </c>
      <c r="F898" s="8">
        <v>1.33</v>
      </c>
      <c r="G898" s="4">
        <v>2</v>
      </c>
      <c r="H898" s="8">
        <v>4.76</v>
      </c>
      <c r="I898" s="4">
        <v>0</v>
      </c>
    </row>
    <row r="899" spans="1:9" x14ac:dyDescent="0.2">
      <c r="A899" s="2">
        <v>15</v>
      </c>
      <c r="B899" s="1" t="s">
        <v>157</v>
      </c>
      <c r="C899" s="4">
        <v>2</v>
      </c>
      <c r="D899" s="8">
        <v>1.67</v>
      </c>
      <c r="E899" s="4">
        <v>0</v>
      </c>
      <c r="F899" s="8">
        <v>0</v>
      </c>
      <c r="G899" s="4">
        <v>2</v>
      </c>
      <c r="H899" s="8">
        <v>4.76</v>
      </c>
      <c r="I899" s="4">
        <v>0</v>
      </c>
    </row>
    <row r="900" spans="1:9" x14ac:dyDescent="0.2">
      <c r="A900" s="2">
        <v>15</v>
      </c>
      <c r="B900" s="1" t="s">
        <v>156</v>
      </c>
      <c r="C900" s="4">
        <v>2</v>
      </c>
      <c r="D900" s="8">
        <v>1.67</v>
      </c>
      <c r="E900" s="4">
        <v>1</v>
      </c>
      <c r="F900" s="8">
        <v>1.33</v>
      </c>
      <c r="G900" s="4">
        <v>1</v>
      </c>
      <c r="H900" s="8">
        <v>2.38</v>
      </c>
      <c r="I900" s="4">
        <v>0</v>
      </c>
    </row>
    <row r="901" spans="1:9" x14ac:dyDescent="0.2">
      <c r="A901" s="2">
        <v>15</v>
      </c>
      <c r="B901" s="1" t="s">
        <v>143</v>
      </c>
      <c r="C901" s="4">
        <v>2</v>
      </c>
      <c r="D901" s="8">
        <v>1.67</v>
      </c>
      <c r="E901" s="4">
        <v>2</v>
      </c>
      <c r="F901" s="8">
        <v>2.67</v>
      </c>
      <c r="G901" s="4">
        <v>0</v>
      </c>
      <c r="H901" s="8">
        <v>0</v>
      </c>
      <c r="I901" s="4">
        <v>0</v>
      </c>
    </row>
    <row r="902" spans="1:9" x14ac:dyDescent="0.2">
      <c r="A902" s="2">
        <v>15</v>
      </c>
      <c r="B902" s="1" t="s">
        <v>135</v>
      </c>
      <c r="C902" s="4">
        <v>2</v>
      </c>
      <c r="D902" s="8">
        <v>1.67</v>
      </c>
      <c r="E902" s="4">
        <v>2</v>
      </c>
      <c r="F902" s="8">
        <v>2.67</v>
      </c>
      <c r="G902" s="4">
        <v>0</v>
      </c>
      <c r="H902" s="8">
        <v>0</v>
      </c>
      <c r="I902" s="4">
        <v>0</v>
      </c>
    </row>
    <row r="903" spans="1:9" x14ac:dyDescent="0.2">
      <c r="A903" s="2">
        <v>15</v>
      </c>
      <c r="B903" s="1" t="s">
        <v>114</v>
      </c>
      <c r="C903" s="4">
        <v>2</v>
      </c>
      <c r="D903" s="8">
        <v>1.67</v>
      </c>
      <c r="E903" s="4">
        <v>2</v>
      </c>
      <c r="F903" s="8">
        <v>2.67</v>
      </c>
      <c r="G903" s="4">
        <v>0</v>
      </c>
      <c r="H903" s="8">
        <v>0</v>
      </c>
      <c r="I903" s="4">
        <v>0</v>
      </c>
    </row>
    <row r="904" spans="1:9" x14ac:dyDescent="0.2">
      <c r="A904" s="2">
        <v>20</v>
      </c>
      <c r="B904" s="1" t="s">
        <v>142</v>
      </c>
      <c r="C904" s="4">
        <v>1</v>
      </c>
      <c r="D904" s="8">
        <v>0.83</v>
      </c>
      <c r="E904" s="4">
        <v>0</v>
      </c>
      <c r="F904" s="8">
        <v>0</v>
      </c>
      <c r="G904" s="4">
        <v>1</v>
      </c>
      <c r="H904" s="8">
        <v>2.38</v>
      </c>
      <c r="I904" s="4">
        <v>0</v>
      </c>
    </row>
    <row r="905" spans="1:9" x14ac:dyDescent="0.2">
      <c r="A905" s="2">
        <v>20</v>
      </c>
      <c r="B905" s="1" t="s">
        <v>161</v>
      </c>
      <c r="C905" s="4">
        <v>1</v>
      </c>
      <c r="D905" s="8">
        <v>0.83</v>
      </c>
      <c r="E905" s="4">
        <v>0</v>
      </c>
      <c r="F905" s="8">
        <v>0</v>
      </c>
      <c r="G905" s="4">
        <v>1</v>
      </c>
      <c r="H905" s="8">
        <v>2.38</v>
      </c>
      <c r="I905" s="4">
        <v>0</v>
      </c>
    </row>
    <row r="906" spans="1:9" x14ac:dyDescent="0.2">
      <c r="A906" s="2">
        <v>20</v>
      </c>
      <c r="B906" s="1" t="s">
        <v>104</v>
      </c>
      <c r="C906" s="4">
        <v>1</v>
      </c>
      <c r="D906" s="8">
        <v>0.83</v>
      </c>
      <c r="E906" s="4">
        <v>1</v>
      </c>
      <c r="F906" s="8">
        <v>1.33</v>
      </c>
      <c r="G906" s="4">
        <v>0</v>
      </c>
      <c r="H906" s="8">
        <v>0</v>
      </c>
      <c r="I906" s="4">
        <v>0</v>
      </c>
    </row>
    <row r="907" spans="1:9" x14ac:dyDescent="0.2">
      <c r="A907" s="2">
        <v>20</v>
      </c>
      <c r="B907" s="1" t="s">
        <v>126</v>
      </c>
      <c r="C907" s="4">
        <v>1</v>
      </c>
      <c r="D907" s="8">
        <v>0.83</v>
      </c>
      <c r="E907" s="4">
        <v>0</v>
      </c>
      <c r="F907" s="8">
        <v>0</v>
      </c>
      <c r="G907" s="4">
        <v>1</v>
      </c>
      <c r="H907" s="8">
        <v>2.38</v>
      </c>
      <c r="I907" s="4">
        <v>0</v>
      </c>
    </row>
    <row r="908" spans="1:9" x14ac:dyDescent="0.2">
      <c r="A908" s="2">
        <v>20</v>
      </c>
      <c r="B908" s="1" t="s">
        <v>105</v>
      </c>
      <c r="C908" s="4">
        <v>1</v>
      </c>
      <c r="D908" s="8">
        <v>0.83</v>
      </c>
      <c r="E908" s="4">
        <v>0</v>
      </c>
      <c r="F908" s="8">
        <v>0</v>
      </c>
      <c r="G908" s="4">
        <v>1</v>
      </c>
      <c r="H908" s="8">
        <v>2.38</v>
      </c>
      <c r="I908" s="4">
        <v>0</v>
      </c>
    </row>
    <row r="909" spans="1:9" x14ac:dyDescent="0.2">
      <c r="A909" s="2">
        <v>20</v>
      </c>
      <c r="B909" s="1" t="s">
        <v>144</v>
      </c>
      <c r="C909" s="4">
        <v>1</v>
      </c>
      <c r="D909" s="8">
        <v>0.83</v>
      </c>
      <c r="E909" s="4">
        <v>0</v>
      </c>
      <c r="F909" s="8">
        <v>0</v>
      </c>
      <c r="G909" s="4">
        <v>1</v>
      </c>
      <c r="H909" s="8">
        <v>2.38</v>
      </c>
      <c r="I909" s="4">
        <v>0</v>
      </c>
    </row>
    <row r="910" spans="1:9" x14ac:dyDescent="0.2">
      <c r="A910" s="2">
        <v>20</v>
      </c>
      <c r="B910" s="1" t="s">
        <v>139</v>
      </c>
      <c r="C910" s="4">
        <v>1</v>
      </c>
      <c r="D910" s="8">
        <v>0.83</v>
      </c>
      <c r="E910" s="4">
        <v>0</v>
      </c>
      <c r="F910" s="8">
        <v>0</v>
      </c>
      <c r="G910" s="4">
        <v>1</v>
      </c>
      <c r="H910" s="8">
        <v>2.38</v>
      </c>
      <c r="I910" s="4">
        <v>0</v>
      </c>
    </row>
    <row r="911" spans="1:9" x14ac:dyDescent="0.2">
      <c r="A911" s="2">
        <v>20</v>
      </c>
      <c r="B911" s="1" t="s">
        <v>159</v>
      </c>
      <c r="C911" s="4">
        <v>1</v>
      </c>
      <c r="D911" s="8">
        <v>0.83</v>
      </c>
      <c r="E911" s="4">
        <v>1</v>
      </c>
      <c r="F911" s="8">
        <v>1.33</v>
      </c>
      <c r="G911" s="4">
        <v>0</v>
      </c>
      <c r="H911" s="8">
        <v>0</v>
      </c>
      <c r="I911" s="4">
        <v>0</v>
      </c>
    </row>
    <row r="912" spans="1:9" x14ac:dyDescent="0.2">
      <c r="A912" s="2">
        <v>20</v>
      </c>
      <c r="B912" s="1" t="s">
        <v>162</v>
      </c>
      <c r="C912" s="4">
        <v>1</v>
      </c>
      <c r="D912" s="8">
        <v>0.83</v>
      </c>
      <c r="E912" s="4">
        <v>1</v>
      </c>
      <c r="F912" s="8">
        <v>1.33</v>
      </c>
      <c r="G912" s="4">
        <v>0</v>
      </c>
      <c r="H912" s="8">
        <v>0</v>
      </c>
      <c r="I912" s="4">
        <v>0</v>
      </c>
    </row>
    <row r="913" spans="1:9" x14ac:dyDescent="0.2">
      <c r="A913" s="2">
        <v>20</v>
      </c>
      <c r="B913" s="1" t="s">
        <v>145</v>
      </c>
      <c r="C913" s="4">
        <v>1</v>
      </c>
      <c r="D913" s="8">
        <v>0.83</v>
      </c>
      <c r="E913" s="4">
        <v>1</v>
      </c>
      <c r="F913" s="8">
        <v>1.33</v>
      </c>
      <c r="G913" s="4">
        <v>0</v>
      </c>
      <c r="H913" s="8">
        <v>0</v>
      </c>
      <c r="I913" s="4">
        <v>0</v>
      </c>
    </row>
    <row r="914" spans="1:9" x14ac:dyDescent="0.2">
      <c r="A914" s="2">
        <v>20</v>
      </c>
      <c r="B914" s="1" t="s">
        <v>125</v>
      </c>
      <c r="C914" s="4">
        <v>1</v>
      </c>
      <c r="D914" s="8">
        <v>0.83</v>
      </c>
      <c r="E914" s="4">
        <v>1</v>
      </c>
      <c r="F914" s="8">
        <v>1.33</v>
      </c>
      <c r="G914" s="4">
        <v>0</v>
      </c>
      <c r="H914" s="8">
        <v>0</v>
      </c>
      <c r="I914" s="4">
        <v>0</v>
      </c>
    </row>
    <row r="915" spans="1:9" x14ac:dyDescent="0.2">
      <c r="A915" s="2">
        <v>20</v>
      </c>
      <c r="B915" s="1" t="s">
        <v>122</v>
      </c>
      <c r="C915" s="4">
        <v>1</v>
      </c>
      <c r="D915" s="8">
        <v>0.83</v>
      </c>
      <c r="E915" s="4">
        <v>0</v>
      </c>
      <c r="F915" s="8">
        <v>0</v>
      </c>
      <c r="G915" s="4">
        <v>1</v>
      </c>
      <c r="H915" s="8">
        <v>2.38</v>
      </c>
      <c r="I915" s="4">
        <v>0</v>
      </c>
    </row>
    <row r="916" spans="1:9" x14ac:dyDescent="0.2">
      <c r="A916" s="2">
        <v>20</v>
      </c>
      <c r="B916" s="1" t="s">
        <v>107</v>
      </c>
      <c r="C916" s="4">
        <v>1</v>
      </c>
      <c r="D916" s="8">
        <v>0.83</v>
      </c>
      <c r="E916" s="4">
        <v>1</v>
      </c>
      <c r="F916" s="8">
        <v>1.33</v>
      </c>
      <c r="G916" s="4">
        <v>0</v>
      </c>
      <c r="H916" s="8">
        <v>0</v>
      </c>
      <c r="I916" s="4">
        <v>0</v>
      </c>
    </row>
    <row r="917" spans="1:9" x14ac:dyDescent="0.2">
      <c r="A917" s="2">
        <v>20</v>
      </c>
      <c r="B917" s="1" t="s">
        <v>109</v>
      </c>
      <c r="C917" s="4">
        <v>1</v>
      </c>
      <c r="D917" s="8">
        <v>0.83</v>
      </c>
      <c r="E917" s="4">
        <v>1</v>
      </c>
      <c r="F917" s="8">
        <v>1.33</v>
      </c>
      <c r="G917" s="4">
        <v>0</v>
      </c>
      <c r="H917" s="8">
        <v>0</v>
      </c>
      <c r="I917" s="4">
        <v>0</v>
      </c>
    </row>
    <row r="918" spans="1:9" x14ac:dyDescent="0.2">
      <c r="A918" s="2">
        <v>20</v>
      </c>
      <c r="B918" s="1" t="s">
        <v>134</v>
      </c>
      <c r="C918" s="4">
        <v>1</v>
      </c>
      <c r="D918" s="8">
        <v>0.83</v>
      </c>
      <c r="E918" s="4">
        <v>1</v>
      </c>
      <c r="F918" s="8">
        <v>1.33</v>
      </c>
      <c r="G918" s="4">
        <v>0</v>
      </c>
      <c r="H918" s="8">
        <v>0</v>
      </c>
      <c r="I918" s="4">
        <v>0</v>
      </c>
    </row>
    <row r="919" spans="1:9" x14ac:dyDescent="0.2">
      <c r="A919" s="2">
        <v>20</v>
      </c>
      <c r="B919" s="1" t="s">
        <v>111</v>
      </c>
      <c r="C919" s="4">
        <v>1</v>
      </c>
      <c r="D919" s="8">
        <v>0.83</v>
      </c>
      <c r="E919" s="4">
        <v>0</v>
      </c>
      <c r="F919" s="8">
        <v>0</v>
      </c>
      <c r="G919" s="4">
        <v>1</v>
      </c>
      <c r="H919" s="8">
        <v>2.38</v>
      </c>
      <c r="I919" s="4">
        <v>0</v>
      </c>
    </row>
    <row r="920" spans="1:9" x14ac:dyDescent="0.2">
      <c r="A920" s="2">
        <v>20</v>
      </c>
      <c r="B920" s="1" t="s">
        <v>153</v>
      </c>
      <c r="C920" s="4">
        <v>1</v>
      </c>
      <c r="D920" s="8">
        <v>0.83</v>
      </c>
      <c r="E920" s="4">
        <v>0</v>
      </c>
      <c r="F920" s="8">
        <v>0</v>
      </c>
      <c r="G920" s="4">
        <v>1</v>
      </c>
      <c r="H920" s="8">
        <v>2.38</v>
      </c>
      <c r="I920" s="4">
        <v>0</v>
      </c>
    </row>
    <row r="921" spans="1:9" x14ac:dyDescent="0.2">
      <c r="A921" s="2">
        <v>20</v>
      </c>
      <c r="B921" s="1" t="s">
        <v>119</v>
      </c>
      <c r="C921" s="4">
        <v>1</v>
      </c>
      <c r="D921" s="8">
        <v>0.83</v>
      </c>
      <c r="E921" s="4">
        <v>0</v>
      </c>
      <c r="F921" s="8">
        <v>0</v>
      </c>
      <c r="G921" s="4">
        <v>1</v>
      </c>
      <c r="H921" s="8">
        <v>2.38</v>
      </c>
      <c r="I921" s="4">
        <v>0</v>
      </c>
    </row>
    <row r="922" spans="1:9" x14ac:dyDescent="0.2">
      <c r="A922" s="2">
        <v>20</v>
      </c>
      <c r="B922" s="1" t="s">
        <v>147</v>
      </c>
      <c r="C922" s="4">
        <v>1</v>
      </c>
      <c r="D922" s="8">
        <v>0.83</v>
      </c>
      <c r="E922" s="4">
        <v>1</v>
      </c>
      <c r="F922" s="8">
        <v>1.33</v>
      </c>
      <c r="G922" s="4">
        <v>0</v>
      </c>
      <c r="H922" s="8">
        <v>0</v>
      </c>
      <c r="I922" s="4">
        <v>0</v>
      </c>
    </row>
    <row r="923" spans="1:9" x14ac:dyDescent="0.2">
      <c r="A923" s="2">
        <v>20</v>
      </c>
      <c r="B923" s="1" t="s">
        <v>148</v>
      </c>
      <c r="C923" s="4">
        <v>1</v>
      </c>
      <c r="D923" s="8">
        <v>0.83</v>
      </c>
      <c r="E923" s="4">
        <v>0</v>
      </c>
      <c r="F923" s="8">
        <v>0</v>
      </c>
      <c r="G923" s="4">
        <v>0</v>
      </c>
      <c r="H923" s="8">
        <v>0</v>
      </c>
      <c r="I923" s="4">
        <v>0</v>
      </c>
    </row>
    <row r="924" spans="1:9" x14ac:dyDescent="0.2">
      <c r="A924" s="1"/>
      <c r="C924" s="4"/>
      <c r="D924" s="8"/>
      <c r="E924" s="4"/>
      <c r="F924" s="8"/>
      <c r="G924" s="4"/>
      <c r="H924" s="8"/>
      <c r="I924" s="4"/>
    </row>
    <row r="925" spans="1:9" x14ac:dyDescent="0.2">
      <c r="A925" s="1" t="s">
        <v>39</v>
      </c>
      <c r="C925" s="4"/>
      <c r="D925" s="8"/>
      <c r="E925" s="4"/>
      <c r="F925" s="8"/>
      <c r="G925" s="4"/>
      <c r="H925" s="8"/>
      <c r="I925" s="4"/>
    </row>
    <row r="926" spans="1:9" x14ac:dyDescent="0.2">
      <c r="A926" s="2">
        <v>1</v>
      </c>
      <c r="B926" s="1" t="s">
        <v>116</v>
      </c>
      <c r="C926" s="4">
        <v>33</v>
      </c>
      <c r="D926" s="8">
        <v>12.69</v>
      </c>
      <c r="E926" s="4">
        <v>31</v>
      </c>
      <c r="F926" s="8">
        <v>18.13</v>
      </c>
      <c r="G926" s="4">
        <v>2</v>
      </c>
      <c r="H926" s="8">
        <v>2.27</v>
      </c>
      <c r="I926" s="4">
        <v>0</v>
      </c>
    </row>
    <row r="927" spans="1:9" x14ac:dyDescent="0.2">
      <c r="A927" s="2">
        <v>2</v>
      </c>
      <c r="B927" s="1" t="s">
        <v>102</v>
      </c>
      <c r="C927" s="4">
        <v>20</v>
      </c>
      <c r="D927" s="8">
        <v>7.69</v>
      </c>
      <c r="E927" s="4">
        <v>15</v>
      </c>
      <c r="F927" s="8">
        <v>8.77</v>
      </c>
      <c r="G927" s="4">
        <v>5</v>
      </c>
      <c r="H927" s="8">
        <v>5.68</v>
      </c>
      <c r="I927" s="4">
        <v>0</v>
      </c>
    </row>
    <row r="928" spans="1:9" x14ac:dyDescent="0.2">
      <c r="A928" s="2">
        <v>3</v>
      </c>
      <c r="B928" s="1" t="s">
        <v>101</v>
      </c>
      <c r="C928" s="4">
        <v>18</v>
      </c>
      <c r="D928" s="8">
        <v>6.92</v>
      </c>
      <c r="E928" s="4">
        <v>7</v>
      </c>
      <c r="F928" s="8">
        <v>4.09</v>
      </c>
      <c r="G928" s="4">
        <v>11</v>
      </c>
      <c r="H928" s="8">
        <v>12.5</v>
      </c>
      <c r="I928" s="4">
        <v>0</v>
      </c>
    </row>
    <row r="929" spans="1:9" x14ac:dyDescent="0.2">
      <c r="A929" s="2">
        <v>3</v>
      </c>
      <c r="B929" s="1" t="s">
        <v>110</v>
      </c>
      <c r="C929" s="4">
        <v>18</v>
      </c>
      <c r="D929" s="8">
        <v>6.92</v>
      </c>
      <c r="E929" s="4">
        <v>12</v>
      </c>
      <c r="F929" s="8">
        <v>7.02</v>
      </c>
      <c r="G929" s="4">
        <v>6</v>
      </c>
      <c r="H929" s="8">
        <v>6.82</v>
      </c>
      <c r="I929" s="4">
        <v>0</v>
      </c>
    </row>
    <row r="930" spans="1:9" x14ac:dyDescent="0.2">
      <c r="A930" s="2">
        <v>3</v>
      </c>
      <c r="B930" s="1" t="s">
        <v>115</v>
      </c>
      <c r="C930" s="4">
        <v>18</v>
      </c>
      <c r="D930" s="8">
        <v>6.92</v>
      </c>
      <c r="E930" s="4">
        <v>13</v>
      </c>
      <c r="F930" s="8">
        <v>7.6</v>
      </c>
      <c r="G930" s="4">
        <v>5</v>
      </c>
      <c r="H930" s="8">
        <v>5.68</v>
      </c>
      <c r="I930" s="4">
        <v>0</v>
      </c>
    </row>
    <row r="931" spans="1:9" x14ac:dyDescent="0.2">
      <c r="A931" s="2">
        <v>6</v>
      </c>
      <c r="B931" s="1" t="s">
        <v>108</v>
      </c>
      <c r="C931" s="4">
        <v>13</v>
      </c>
      <c r="D931" s="8">
        <v>5</v>
      </c>
      <c r="E931" s="4">
        <v>8</v>
      </c>
      <c r="F931" s="8">
        <v>4.68</v>
      </c>
      <c r="G931" s="4">
        <v>5</v>
      </c>
      <c r="H931" s="8">
        <v>5.68</v>
      </c>
      <c r="I931" s="4">
        <v>0</v>
      </c>
    </row>
    <row r="932" spans="1:9" x14ac:dyDescent="0.2">
      <c r="A932" s="2">
        <v>7</v>
      </c>
      <c r="B932" s="1" t="s">
        <v>103</v>
      </c>
      <c r="C932" s="4">
        <v>11</v>
      </c>
      <c r="D932" s="8">
        <v>4.2300000000000004</v>
      </c>
      <c r="E932" s="4">
        <v>8</v>
      </c>
      <c r="F932" s="8">
        <v>4.68</v>
      </c>
      <c r="G932" s="4">
        <v>3</v>
      </c>
      <c r="H932" s="8">
        <v>3.41</v>
      </c>
      <c r="I932" s="4">
        <v>0</v>
      </c>
    </row>
    <row r="933" spans="1:9" x14ac:dyDescent="0.2">
      <c r="A933" s="2">
        <v>8</v>
      </c>
      <c r="B933" s="1" t="s">
        <v>109</v>
      </c>
      <c r="C933" s="4">
        <v>10</v>
      </c>
      <c r="D933" s="8">
        <v>3.85</v>
      </c>
      <c r="E933" s="4">
        <v>5</v>
      </c>
      <c r="F933" s="8">
        <v>2.92</v>
      </c>
      <c r="G933" s="4">
        <v>5</v>
      </c>
      <c r="H933" s="8">
        <v>5.68</v>
      </c>
      <c r="I933" s="4">
        <v>0</v>
      </c>
    </row>
    <row r="934" spans="1:9" x14ac:dyDescent="0.2">
      <c r="A934" s="2">
        <v>8</v>
      </c>
      <c r="B934" s="1" t="s">
        <v>117</v>
      </c>
      <c r="C934" s="4">
        <v>10</v>
      </c>
      <c r="D934" s="8">
        <v>3.85</v>
      </c>
      <c r="E934" s="4">
        <v>7</v>
      </c>
      <c r="F934" s="8">
        <v>4.09</v>
      </c>
      <c r="G934" s="4">
        <v>2</v>
      </c>
      <c r="H934" s="8">
        <v>2.27</v>
      </c>
      <c r="I934" s="4">
        <v>0</v>
      </c>
    </row>
    <row r="935" spans="1:9" x14ac:dyDescent="0.2">
      <c r="A935" s="2">
        <v>8</v>
      </c>
      <c r="B935" s="1" t="s">
        <v>118</v>
      </c>
      <c r="C935" s="4">
        <v>10</v>
      </c>
      <c r="D935" s="8">
        <v>3.85</v>
      </c>
      <c r="E935" s="4">
        <v>10</v>
      </c>
      <c r="F935" s="8">
        <v>5.85</v>
      </c>
      <c r="G935" s="4">
        <v>0</v>
      </c>
      <c r="H935" s="8">
        <v>0</v>
      </c>
      <c r="I935" s="4">
        <v>0</v>
      </c>
    </row>
    <row r="936" spans="1:9" x14ac:dyDescent="0.2">
      <c r="A936" s="2">
        <v>11</v>
      </c>
      <c r="B936" s="1" t="s">
        <v>104</v>
      </c>
      <c r="C936" s="4">
        <v>8</v>
      </c>
      <c r="D936" s="8">
        <v>3.08</v>
      </c>
      <c r="E936" s="4">
        <v>3</v>
      </c>
      <c r="F936" s="8">
        <v>1.75</v>
      </c>
      <c r="G936" s="4">
        <v>5</v>
      </c>
      <c r="H936" s="8">
        <v>5.68</v>
      </c>
      <c r="I936" s="4">
        <v>0</v>
      </c>
    </row>
    <row r="937" spans="1:9" x14ac:dyDescent="0.2">
      <c r="A937" s="2">
        <v>11</v>
      </c>
      <c r="B937" s="1" t="s">
        <v>112</v>
      </c>
      <c r="C937" s="4">
        <v>8</v>
      </c>
      <c r="D937" s="8">
        <v>3.08</v>
      </c>
      <c r="E937" s="4">
        <v>8</v>
      </c>
      <c r="F937" s="8">
        <v>4.68</v>
      </c>
      <c r="G937" s="4">
        <v>0</v>
      </c>
      <c r="H937" s="8">
        <v>0</v>
      </c>
      <c r="I937" s="4">
        <v>0</v>
      </c>
    </row>
    <row r="938" spans="1:9" x14ac:dyDescent="0.2">
      <c r="A938" s="2">
        <v>11</v>
      </c>
      <c r="B938" s="1" t="s">
        <v>113</v>
      </c>
      <c r="C938" s="4">
        <v>8</v>
      </c>
      <c r="D938" s="8">
        <v>3.08</v>
      </c>
      <c r="E938" s="4">
        <v>5</v>
      </c>
      <c r="F938" s="8">
        <v>2.92</v>
      </c>
      <c r="G938" s="4">
        <v>3</v>
      </c>
      <c r="H938" s="8">
        <v>3.41</v>
      </c>
      <c r="I938" s="4">
        <v>0</v>
      </c>
    </row>
    <row r="939" spans="1:9" x14ac:dyDescent="0.2">
      <c r="A939" s="2">
        <v>14</v>
      </c>
      <c r="B939" s="1" t="s">
        <v>107</v>
      </c>
      <c r="C939" s="4">
        <v>6</v>
      </c>
      <c r="D939" s="8">
        <v>2.31</v>
      </c>
      <c r="E939" s="4">
        <v>5</v>
      </c>
      <c r="F939" s="8">
        <v>2.92</v>
      </c>
      <c r="G939" s="4">
        <v>1</v>
      </c>
      <c r="H939" s="8">
        <v>1.1399999999999999</v>
      </c>
      <c r="I939" s="4">
        <v>0</v>
      </c>
    </row>
    <row r="940" spans="1:9" x14ac:dyDescent="0.2">
      <c r="A940" s="2">
        <v>15</v>
      </c>
      <c r="B940" s="1" t="s">
        <v>111</v>
      </c>
      <c r="C940" s="4">
        <v>5</v>
      </c>
      <c r="D940" s="8">
        <v>1.92</v>
      </c>
      <c r="E940" s="4">
        <v>3</v>
      </c>
      <c r="F940" s="8">
        <v>1.75</v>
      </c>
      <c r="G940" s="4">
        <v>2</v>
      </c>
      <c r="H940" s="8">
        <v>2.27</v>
      </c>
      <c r="I940" s="4">
        <v>0</v>
      </c>
    </row>
    <row r="941" spans="1:9" x14ac:dyDescent="0.2">
      <c r="A941" s="2">
        <v>16</v>
      </c>
      <c r="B941" s="1" t="s">
        <v>130</v>
      </c>
      <c r="C941" s="4">
        <v>4</v>
      </c>
      <c r="D941" s="8">
        <v>1.54</v>
      </c>
      <c r="E941" s="4">
        <v>1</v>
      </c>
      <c r="F941" s="8">
        <v>0.57999999999999996</v>
      </c>
      <c r="G941" s="4">
        <v>3</v>
      </c>
      <c r="H941" s="8">
        <v>3.41</v>
      </c>
      <c r="I941" s="4">
        <v>0</v>
      </c>
    </row>
    <row r="942" spans="1:9" x14ac:dyDescent="0.2">
      <c r="A942" s="2">
        <v>16</v>
      </c>
      <c r="B942" s="1" t="s">
        <v>154</v>
      </c>
      <c r="C942" s="4">
        <v>4</v>
      </c>
      <c r="D942" s="8">
        <v>1.54</v>
      </c>
      <c r="E942" s="4">
        <v>2</v>
      </c>
      <c r="F942" s="8">
        <v>1.17</v>
      </c>
      <c r="G942" s="4">
        <v>2</v>
      </c>
      <c r="H942" s="8">
        <v>2.27</v>
      </c>
      <c r="I942" s="4">
        <v>0</v>
      </c>
    </row>
    <row r="943" spans="1:9" x14ac:dyDescent="0.2">
      <c r="A943" s="2">
        <v>16</v>
      </c>
      <c r="B943" s="1" t="s">
        <v>144</v>
      </c>
      <c r="C943" s="4">
        <v>4</v>
      </c>
      <c r="D943" s="8">
        <v>1.54</v>
      </c>
      <c r="E943" s="4">
        <v>0</v>
      </c>
      <c r="F943" s="8">
        <v>0</v>
      </c>
      <c r="G943" s="4">
        <v>4</v>
      </c>
      <c r="H943" s="8">
        <v>4.55</v>
      </c>
      <c r="I943" s="4">
        <v>0</v>
      </c>
    </row>
    <row r="944" spans="1:9" x14ac:dyDescent="0.2">
      <c r="A944" s="2">
        <v>19</v>
      </c>
      <c r="B944" s="1" t="s">
        <v>156</v>
      </c>
      <c r="C944" s="4">
        <v>3</v>
      </c>
      <c r="D944" s="8">
        <v>1.1499999999999999</v>
      </c>
      <c r="E944" s="4">
        <v>1</v>
      </c>
      <c r="F944" s="8">
        <v>0.57999999999999996</v>
      </c>
      <c r="G944" s="4">
        <v>2</v>
      </c>
      <c r="H944" s="8">
        <v>2.27</v>
      </c>
      <c r="I944" s="4">
        <v>0</v>
      </c>
    </row>
    <row r="945" spans="1:9" x14ac:dyDescent="0.2">
      <c r="A945" s="2">
        <v>19</v>
      </c>
      <c r="B945" s="1" t="s">
        <v>122</v>
      </c>
      <c r="C945" s="4">
        <v>3</v>
      </c>
      <c r="D945" s="8">
        <v>1.1499999999999999</v>
      </c>
      <c r="E945" s="4">
        <v>2</v>
      </c>
      <c r="F945" s="8">
        <v>1.17</v>
      </c>
      <c r="G945" s="4">
        <v>1</v>
      </c>
      <c r="H945" s="8">
        <v>1.1399999999999999</v>
      </c>
      <c r="I945" s="4">
        <v>0</v>
      </c>
    </row>
    <row r="946" spans="1:9" x14ac:dyDescent="0.2">
      <c r="A946" s="2">
        <v>19</v>
      </c>
      <c r="B946" s="1" t="s">
        <v>133</v>
      </c>
      <c r="C946" s="4">
        <v>3</v>
      </c>
      <c r="D946" s="8">
        <v>1.1499999999999999</v>
      </c>
      <c r="E946" s="4">
        <v>3</v>
      </c>
      <c r="F946" s="8">
        <v>1.75</v>
      </c>
      <c r="G946" s="4">
        <v>0</v>
      </c>
      <c r="H946" s="8">
        <v>0</v>
      </c>
      <c r="I946" s="4">
        <v>0</v>
      </c>
    </row>
    <row r="947" spans="1:9" x14ac:dyDescent="0.2">
      <c r="A947" s="2">
        <v>19</v>
      </c>
      <c r="B947" s="1" t="s">
        <v>114</v>
      </c>
      <c r="C947" s="4">
        <v>3</v>
      </c>
      <c r="D947" s="8">
        <v>1.1499999999999999</v>
      </c>
      <c r="E947" s="4">
        <v>2</v>
      </c>
      <c r="F947" s="8">
        <v>1.17</v>
      </c>
      <c r="G947" s="4">
        <v>1</v>
      </c>
      <c r="H947" s="8">
        <v>1.1399999999999999</v>
      </c>
      <c r="I947" s="4">
        <v>0</v>
      </c>
    </row>
    <row r="948" spans="1:9" x14ac:dyDescent="0.2">
      <c r="A948" s="2">
        <v>19</v>
      </c>
      <c r="B948" s="1" t="s">
        <v>129</v>
      </c>
      <c r="C948" s="4">
        <v>3</v>
      </c>
      <c r="D948" s="8">
        <v>1.1499999999999999</v>
      </c>
      <c r="E948" s="4">
        <v>1</v>
      </c>
      <c r="F948" s="8">
        <v>0.57999999999999996</v>
      </c>
      <c r="G948" s="4">
        <v>2</v>
      </c>
      <c r="H948" s="8">
        <v>2.27</v>
      </c>
      <c r="I948" s="4">
        <v>0</v>
      </c>
    </row>
    <row r="949" spans="1:9" x14ac:dyDescent="0.2">
      <c r="A949" s="2">
        <v>19</v>
      </c>
      <c r="B949" s="1" t="s">
        <v>131</v>
      </c>
      <c r="C949" s="4">
        <v>3</v>
      </c>
      <c r="D949" s="8">
        <v>1.1499999999999999</v>
      </c>
      <c r="E949" s="4">
        <v>3</v>
      </c>
      <c r="F949" s="8">
        <v>1.75</v>
      </c>
      <c r="G949" s="4">
        <v>0</v>
      </c>
      <c r="H949" s="8">
        <v>0</v>
      </c>
      <c r="I949" s="4">
        <v>0</v>
      </c>
    </row>
    <row r="950" spans="1:9" x14ac:dyDescent="0.2">
      <c r="A950" s="2">
        <v>19</v>
      </c>
      <c r="B950" s="1" t="s">
        <v>147</v>
      </c>
      <c r="C950" s="4">
        <v>3</v>
      </c>
      <c r="D950" s="8">
        <v>1.1499999999999999</v>
      </c>
      <c r="E950" s="4">
        <v>2</v>
      </c>
      <c r="F950" s="8">
        <v>1.17</v>
      </c>
      <c r="G950" s="4">
        <v>1</v>
      </c>
      <c r="H950" s="8">
        <v>1.1399999999999999</v>
      </c>
      <c r="I950" s="4">
        <v>0</v>
      </c>
    </row>
    <row r="951" spans="1:9" x14ac:dyDescent="0.2">
      <c r="A951" s="1"/>
      <c r="C951" s="4"/>
      <c r="D951" s="8"/>
      <c r="E951" s="4"/>
      <c r="F951" s="8"/>
      <c r="G951" s="4"/>
      <c r="H951" s="8"/>
      <c r="I951" s="4"/>
    </row>
    <row r="952" spans="1:9" x14ac:dyDescent="0.2">
      <c r="A952" s="1" t="s">
        <v>40</v>
      </c>
      <c r="C952" s="4"/>
      <c r="D952" s="8"/>
      <c r="E952" s="4"/>
      <c r="F952" s="8"/>
      <c r="G952" s="4"/>
      <c r="H952" s="8"/>
      <c r="I952" s="4"/>
    </row>
    <row r="953" spans="1:9" x14ac:dyDescent="0.2">
      <c r="A953" s="2">
        <v>1</v>
      </c>
      <c r="B953" s="1" t="s">
        <v>115</v>
      </c>
      <c r="C953" s="4">
        <v>43</v>
      </c>
      <c r="D953" s="8">
        <v>11.44</v>
      </c>
      <c r="E953" s="4">
        <v>39</v>
      </c>
      <c r="F953" s="8">
        <v>17.649999999999999</v>
      </c>
      <c r="G953" s="4">
        <v>4</v>
      </c>
      <c r="H953" s="8">
        <v>2.61</v>
      </c>
      <c r="I953" s="4">
        <v>0</v>
      </c>
    </row>
    <row r="954" spans="1:9" x14ac:dyDescent="0.2">
      <c r="A954" s="2">
        <v>2</v>
      </c>
      <c r="B954" s="1" t="s">
        <v>116</v>
      </c>
      <c r="C954" s="4">
        <v>41</v>
      </c>
      <c r="D954" s="8">
        <v>10.9</v>
      </c>
      <c r="E954" s="4">
        <v>39</v>
      </c>
      <c r="F954" s="8">
        <v>17.649999999999999</v>
      </c>
      <c r="G954" s="4">
        <v>2</v>
      </c>
      <c r="H954" s="8">
        <v>1.31</v>
      </c>
      <c r="I954" s="4">
        <v>0</v>
      </c>
    </row>
    <row r="955" spans="1:9" x14ac:dyDescent="0.2">
      <c r="A955" s="2">
        <v>3</v>
      </c>
      <c r="B955" s="1" t="s">
        <v>101</v>
      </c>
      <c r="C955" s="4">
        <v>31</v>
      </c>
      <c r="D955" s="8">
        <v>8.24</v>
      </c>
      <c r="E955" s="4">
        <v>11</v>
      </c>
      <c r="F955" s="8">
        <v>4.9800000000000004</v>
      </c>
      <c r="G955" s="4">
        <v>20</v>
      </c>
      <c r="H955" s="8">
        <v>13.07</v>
      </c>
      <c r="I955" s="4">
        <v>0</v>
      </c>
    </row>
    <row r="956" spans="1:9" x14ac:dyDescent="0.2">
      <c r="A956" s="2">
        <v>4</v>
      </c>
      <c r="B956" s="1" t="s">
        <v>102</v>
      </c>
      <c r="C956" s="4">
        <v>29</v>
      </c>
      <c r="D956" s="8">
        <v>7.71</v>
      </c>
      <c r="E956" s="4">
        <v>21</v>
      </c>
      <c r="F956" s="8">
        <v>9.5</v>
      </c>
      <c r="G956" s="4">
        <v>8</v>
      </c>
      <c r="H956" s="8">
        <v>5.23</v>
      </c>
      <c r="I956" s="4">
        <v>0</v>
      </c>
    </row>
    <row r="957" spans="1:9" x14ac:dyDescent="0.2">
      <c r="A957" s="2">
        <v>5</v>
      </c>
      <c r="B957" s="1" t="s">
        <v>110</v>
      </c>
      <c r="C957" s="4">
        <v>27</v>
      </c>
      <c r="D957" s="8">
        <v>7.18</v>
      </c>
      <c r="E957" s="4">
        <v>11</v>
      </c>
      <c r="F957" s="8">
        <v>4.9800000000000004</v>
      </c>
      <c r="G957" s="4">
        <v>16</v>
      </c>
      <c r="H957" s="8">
        <v>10.46</v>
      </c>
      <c r="I957" s="4">
        <v>0</v>
      </c>
    </row>
    <row r="958" spans="1:9" x14ac:dyDescent="0.2">
      <c r="A958" s="2">
        <v>6</v>
      </c>
      <c r="B958" s="1" t="s">
        <v>108</v>
      </c>
      <c r="C958" s="4">
        <v>17</v>
      </c>
      <c r="D958" s="8">
        <v>4.5199999999999996</v>
      </c>
      <c r="E958" s="4">
        <v>9</v>
      </c>
      <c r="F958" s="8">
        <v>4.07</v>
      </c>
      <c r="G958" s="4">
        <v>8</v>
      </c>
      <c r="H958" s="8">
        <v>5.23</v>
      </c>
      <c r="I958" s="4">
        <v>0</v>
      </c>
    </row>
    <row r="959" spans="1:9" x14ac:dyDescent="0.2">
      <c r="A959" s="2">
        <v>7</v>
      </c>
      <c r="B959" s="1" t="s">
        <v>118</v>
      </c>
      <c r="C959" s="4">
        <v>16</v>
      </c>
      <c r="D959" s="8">
        <v>4.26</v>
      </c>
      <c r="E959" s="4">
        <v>15</v>
      </c>
      <c r="F959" s="8">
        <v>6.79</v>
      </c>
      <c r="G959" s="4">
        <v>1</v>
      </c>
      <c r="H959" s="8">
        <v>0.65</v>
      </c>
      <c r="I959" s="4">
        <v>0</v>
      </c>
    </row>
    <row r="960" spans="1:9" x14ac:dyDescent="0.2">
      <c r="A960" s="2">
        <v>8</v>
      </c>
      <c r="B960" s="1" t="s">
        <v>103</v>
      </c>
      <c r="C960" s="4">
        <v>13</v>
      </c>
      <c r="D960" s="8">
        <v>3.46</v>
      </c>
      <c r="E960" s="4">
        <v>2</v>
      </c>
      <c r="F960" s="8">
        <v>0.9</v>
      </c>
      <c r="G960" s="4">
        <v>11</v>
      </c>
      <c r="H960" s="8">
        <v>7.19</v>
      </c>
      <c r="I960" s="4">
        <v>0</v>
      </c>
    </row>
    <row r="961" spans="1:9" x14ac:dyDescent="0.2">
      <c r="A961" s="2">
        <v>9</v>
      </c>
      <c r="B961" s="1" t="s">
        <v>109</v>
      </c>
      <c r="C961" s="4">
        <v>10</v>
      </c>
      <c r="D961" s="8">
        <v>2.66</v>
      </c>
      <c r="E961" s="4">
        <v>6</v>
      </c>
      <c r="F961" s="8">
        <v>2.71</v>
      </c>
      <c r="G961" s="4">
        <v>4</v>
      </c>
      <c r="H961" s="8">
        <v>2.61</v>
      </c>
      <c r="I961" s="4">
        <v>0</v>
      </c>
    </row>
    <row r="962" spans="1:9" x14ac:dyDescent="0.2">
      <c r="A962" s="2">
        <v>9</v>
      </c>
      <c r="B962" s="1" t="s">
        <v>111</v>
      </c>
      <c r="C962" s="4">
        <v>10</v>
      </c>
      <c r="D962" s="8">
        <v>2.66</v>
      </c>
      <c r="E962" s="4">
        <v>5</v>
      </c>
      <c r="F962" s="8">
        <v>2.2599999999999998</v>
      </c>
      <c r="G962" s="4">
        <v>5</v>
      </c>
      <c r="H962" s="8">
        <v>3.27</v>
      </c>
      <c r="I962" s="4">
        <v>0</v>
      </c>
    </row>
    <row r="963" spans="1:9" x14ac:dyDescent="0.2">
      <c r="A963" s="2">
        <v>9</v>
      </c>
      <c r="B963" s="1" t="s">
        <v>117</v>
      </c>
      <c r="C963" s="4">
        <v>10</v>
      </c>
      <c r="D963" s="8">
        <v>2.66</v>
      </c>
      <c r="E963" s="4">
        <v>10</v>
      </c>
      <c r="F963" s="8">
        <v>4.5199999999999996</v>
      </c>
      <c r="G963" s="4">
        <v>0</v>
      </c>
      <c r="H963" s="8">
        <v>0</v>
      </c>
      <c r="I963" s="4">
        <v>0</v>
      </c>
    </row>
    <row r="964" spans="1:9" x14ac:dyDescent="0.2">
      <c r="A964" s="2">
        <v>12</v>
      </c>
      <c r="B964" s="1" t="s">
        <v>104</v>
      </c>
      <c r="C964" s="4">
        <v>9</v>
      </c>
      <c r="D964" s="8">
        <v>2.39</v>
      </c>
      <c r="E964" s="4">
        <v>4</v>
      </c>
      <c r="F964" s="8">
        <v>1.81</v>
      </c>
      <c r="G964" s="4">
        <v>5</v>
      </c>
      <c r="H964" s="8">
        <v>3.27</v>
      </c>
      <c r="I964" s="4">
        <v>0</v>
      </c>
    </row>
    <row r="965" spans="1:9" x14ac:dyDescent="0.2">
      <c r="A965" s="2">
        <v>13</v>
      </c>
      <c r="B965" s="1" t="s">
        <v>113</v>
      </c>
      <c r="C965" s="4">
        <v>8</v>
      </c>
      <c r="D965" s="8">
        <v>2.13</v>
      </c>
      <c r="E965" s="4">
        <v>7</v>
      </c>
      <c r="F965" s="8">
        <v>3.17</v>
      </c>
      <c r="G965" s="4">
        <v>1</v>
      </c>
      <c r="H965" s="8">
        <v>0.65</v>
      </c>
      <c r="I965" s="4">
        <v>0</v>
      </c>
    </row>
    <row r="966" spans="1:9" x14ac:dyDescent="0.2">
      <c r="A966" s="2">
        <v>14</v>
      </c>
      <c r="B966" s="1" t="s">
        <v>144</v>
      </c>
      <c r="C966" s="4">
        <v>7</v>
      </c>
      <c r="D966" s="8">
        <v>1.86</v>
      </c>
      <c r="E966" s="4">
        <v>0</v>
      </c>
      <c r="F966" s="8">
        <v>0</v>
      </c>
      <c r="G966" s="4">
        <v>7</v>
      </c>
      <c r="H966" s="8">
        <v>4.58</v>
      </c>
      <c r="I966" s="4">
        <v>0</v>
      </c>
    </row>
    <row r="967" spans="1:9" x14ac:dyDescent="0.2">
      <c r="A967" s="2">
        <v>14</v>
      </c>
      <c r="B967" s="1" t="s">
        <v>153</v>
      </c>
      <c r="C967" s="4">
        <v>7</v>
      </c>
      <c r="D967" s="8">
        <v>1.86</v>
      </c>
      <c r="E967" s="4">
        <v>2</v>
      </c>
      <c r="F967" s="8">
        <v>0.9</v>
      </c>
      <c r="G967" s="4">
        <v>5</v>
      </c>
      <c r="H967" s="8">
        <v>3.27</v>
      </c>
      <c r="I967" s="4">
        <v>0</v>
      </c>
    </row>
    <row r="968" spans="1:9" x14ac:dyDescent="0.2">
      <c r="A968" s="2">
        <v>14</v>
      </c>
      <c r="B968" s="1" t="s">
        <v>112</v>
      </c>
      <c r="C968" s="4">
        <v>7</v>
      </c>
      <c r="D968" s="8">
        <v>1.86</v>
      </c>
      <c r="E968" s="4">
        <v>6</v>
      </c>
      <c r="F968" s="8">
        <v>2.71</v>
      </c>
      <c r="G968" s="4">
        <v>1</v>
      </c>
      <c r="H968" s="8">
        <v>0.65</v>
      </c>
      <c r="I968" s="4">
        <v>0</v>
      </c>
    </row>
    <row r="969" spans="1:9" x14ac:dyDescent="0.2">
      <c r="A969" s="2">
        <v>17</v>
      </c>
      <c r="B969" s="1" t="s">
        <v>136</v>
      </c>
      <c r="C969" s="4">
        <v>6</v>
      </c>
      <c r="D969" s="8">
        <v>1.6</v>
      </c>
      <c r="E969" s="4">
        <v>2</v>
      </c>
      <c r="F969" s="8">
        <v>0.9</v>
      </c>
      <c r="G969" s="4">
        <v>4</v>
      </c>
      <c r="H969" s="8">
        <v>2.61</v>
      </c>
      <c r="I969" s="4">
        <v>0</v>
      </c>
    </row>
    <row r="970" spans="1:9" x14ac:dyDescent="0.2">
      <c r="A970" s="2">
        <v>17</v>
      </c>
      <c r="B970" s="1" t="s">
        <v>107</v>
      </c>
      <c r="C970" s="4">
        <v>6</v>
      </c>
      <c r="D970" s="8">
        <v>1.6</v>
      </c>
      <c r="E970" s="4">
        <v>2</v>
      </c>
      <c r="F970" s="8">
        <v>0.9</v>
      </c>
      <c r="G970" s="4">
        <v>4</v>
      </c>
      <c r="H970" s="8">
        <v>2.61</v>
      </c>
      <c r="I970" s="4">
        <v>0</v>
      </c>
    </row>
    <row r="971" spans="1:9" x14ac:dyDescent="0.2">
      <c r="A971" s="2">
        <v>17</v>
      </c>
      <c r="B971" s="1" t="s">
        <v>124</v>
      </c>
      <c r="C971" s="4">
        <v>6</v>
      </c>
      <c r="D971" s="8">
        <v>1.6</v>
      </c>
      <c r="E971" s="4">
        <v>1</v>
      </c>
      <c r="F971" s="8">
        <v>0.45</v>
      </c>
      <c r="G971" s="4">
        <v>5</v>
      </c>
      <c r="H971" s="8">
        <v>3.27</v>
      </c>
      <c r="I971" s="4">
        <v>0</v>
      </c>
    </row>
    <row r="972" spans="1:9" x14ac:dyDescent="0.2">
      <c r="A972" s="2">
        <v>20</v>
      </c>
      <c r="B972" s="1" t="s">
        <v>122</v>
      </c>
      <c r="C972" s="4">
        <v>5</v>
      </c>
      <c r="D972" s="8">
        <v>1.33</v>
      </c>
      <c r="E972" s="4">
        <v>1</v>
      </c>
      <c r="F972" s="8">
        <v>0.45</v>
      </c>
      <c r="G972" s="4">
        <v>4</v>
      </c>
      <c r="H972" s="8">
        <v>2.61</v>
      </c>
      <c r="I972" s="4">
        <v>0</v>
      </c>
    </row>
    <row r="973" spans="1:9" x14ac:dyDescent="0.2">
      <c r="A973" s="2">
        <v>20</v>
      </c>
      <c r="B973" s="1" t="s">
        <v>119</v>
      </c>
      <c r="C973" s="4">
        <v>5</v>
      </c>
      <c r="D973" s="8">
        <v>1.33</v>
      </c>
      <c r="E973" s="4">
        <v>0</v>
      </c>
      <c r="F973" s="8">
        <v>0</v>
      </c>
      <c r="G973" s="4">
        <v>4</v>
      </c>
      <c r="H973" s="8">
        <v>2.61</v>
      </c>
      <c r="I973" s="4">
        <v>0</v>
      </c>
    </row>
    <row r="974" spans="1:9" x14ac:dyDescent="0.2">
      <c r="A974" s="1"/>
      <c r="C974" s="4"/>
      <c r="D974" s="8"/>
      <c r="E974" s="4"/>
      <c r="F974" s="8"/>
      <c r="G974" s="4"/>
      <c r="H974" s="8"/>
      <c r="I974" s="4"/>
    </row>
    <row r="975" spans="1:9" x14ac:dyDescent="0.2">
      <c r="A975" s="1" t="s">
        <v>41</v>
      </c>
      <c r="C975" s="4"/>
      <c r="D975" s="8"/>
      <c r="E975" s="4"/>
      <c r="F975" s="8"/>
      <c r="G975" s="4"/>
      <c r="H975" s="8"/>
      <c r="I975" s="4"/>
    </row>
    <row r="976" spans="1:9" x14ac:dyDescent="0.2">
      <c r="A976" s="2">
        <v>1</v>
      </c>
      <c r="B976" s="1" t="s">
        <v>115</v>
      </c>
      <c r="C976" s="4">
        <v>38</v>
      </c>
      <c r="D976" s="8">
        <v>12.03</v>
      </c>
      <c r="E976" s="4">
        <v>28</v>
      </c>
      <c r="F976" s="8">
        <v>18.670000000000002</v>
      </c>
      <c r="G976" s="4">
        <v>10</v>
      </c>
      <c r="H976" s="8">
        <v>6.37</v>
      </c>
      <c r="I976" s="4">
        <v>0</v>
      </c>
    </row>
    <row r="977" spans="1:9" x14ac:dyDescent="0.2">
      <c r="A977" s="2">
        <v>2</v>
      </c>
      <c r="B977" s="1" t="s">
        <v>116</v>
      </c>
      <c r="C977" s="4">
        <v>30</v>
      </c>
      <c r="D977" s="8">
        <v>9.49</v>
      </c>
      <c r="E977" s="4">
        <v>27</v>
      </c>
      <c r="F977" s="8">
        <v>18</v>
      </c>
      <c r="G977" s="4">
        <v>3</v>
      </c>
      <c r="H977" s="8">
        <v>1.91</v>
      </c>
      <c r="I977" s="4">
        <v>0</v>
      </c>
    </row>
    <row r="978" spans="1:9" x14ac:dyDescent="0.2">
      <c r="A978" s="2">
        <v>3</v>
      </c>
      <c r="B978" s="1" t="s">
        <v>101</v>
      </c>
      <c r="C978" s="4">
        <v>27</v>
      </c>
      <c r="D978" s="8">
        <v>8.5399999999999991</v>
      </c>
      <c r="E978" s="4">
        <v>8</v>
      </c>
      <c r="F978" s="8">
        <v>5.33</v>
      </c>
      <c r="G978" s="4">
        <v>19</v>
      </c>
      <c r="H978" s="8">
        <v>12.1</v>
      </c>
      <c r="I978" s="4">
        <v>0</v>
      </c>
    </row>
    <row r="979" spans="1:9" x14ac:dyDescent="0.2">
      <c r="A979" s="2">
        <v>4</v>
      </c>
      <c r="B979" s="1" t="s">
        <v>110</v>
      </c>
      <c r="C979" s="4">
        <v>20</v>
      </c>
      <c r="D979" s="8">
        <v>6.33</v>
      </c>
      <c r="E979" s="4">
        <v>5</v>
      </c>
      <c r="F979" s="8">
        <v>3.33</v>
      </c>
      <c r="G979" s="4">
        <v>15</v>
      </c>
      <c r="H979" s="8">
        <v>9.5500000000000007</v>
      </c>
      <c r="I979" s="4">
        <v>0</v>
      </c>
    </row>
    <row r="980" spans="1:9" x14ac:dyDescent="0.2">
      <c r="A980" s="2">
        <v>5</v>
      </c>
      <c r="B980" s="1" t="s">
        <v>102</v>
      </c>
      <c r="C980" s="4">
        <v>16</v>
      </c>
      <c r="D980" s="8">
        <v>5.0599999999999996</v>
      </c>
      <c r="E980" s="4">
        <v>8</v>
      </c>
      <c r="F980" s="8">
        <v>5.33</v>
      </c>
      <c r="G980" s="4">
        <v>8</v>
      </c>
      <c r="H980" s="8">
        <v>5.0999999999999996</v>
      </c>
      <c r="I980" s="4">
        <v>0</v>
      </c>
    </row>
    <row r="981" spans="1:9" x14ac:dyDescent="0.2">
      <c r="A981" s="2">
        <v>6</v>
      </c>
      <c r="B981" s="1" t="s">
        <v>109</v>
      </c>
      <c r="C981" s="4">
        <v>14</v>
      </c>
      <c r="D981" s="8">
        <v>4.43</v>
      </c>
      <c r="E981" s="4">
        <v>7</v>
      </c>
      <c r="F981" s="8">
        <v>4.67</v>
      </c>
      <c r="G981" s="4">
        <v>7</v>
      </c>
      <c r="H981" s="8">
        <v>4.46</v>
      </c>
      <c r="I981" s="4">
        <v>0</v>
      </c>
    </row>
    <row r="982" spans="1:9" x14ac:dyDescent="0.2">
      <c r="A982" s="2">
        <v>7</v>
      </c>
      <c r="B982" s="1" t="s">
        <v>108</v>
      </c>
      <c r="C982" s="4">
        <v>11</v>
      </c>
      <c r="D982" s="8">
        <v>3.48</v>
      </c>
      <c r="E982" s="4">
        <v>6</v>
      </c>
      <c r="F982" s="8">
        <v>4</v>
      </c>
      <c r="G982" s="4">
        <v>5</v>
      </c>
      <c r="H982" s="8">
        <v>3.18</v>
      </c>
      <c r="I982" s="4">
        <v>0</v>
      </c>
    </row>
    <row r="983" spans="1:9" x14ac:dyDescent="0.2">
      <c r="A983" s="2">
        <v>7</v>
      </c>
      <c r="B983" s="1" t="s">
        <v>113</v>
      </c>
      <c r="C983" s="4">
        <v>11</v>
      </c>
      <c r="D983" s="8">
        <v>3.48</v>
      </c>
      <c r="E983" s="4">
        <v>7</v>
      </c>
      <c r="F983" s="8">
        <v>4.67</v>
      </c>
      <c r="G983" s="4">
        <v>3</v>
      </c>
      <c r="H983" s="8">
        <v>1.91</v>
      </c>
      <c r="I983" s="4">
        <v>0</v>
      </c>
    </row>
    <row r="984" spans="1:9" x14ac:dyDescent="0.2">
      <c r="A984" s="2">
        <v>7</v>
      </c>
      <c r="B984" s="1" t="s">
        <v>117</v>
      </c>
      <c r="C984" s="4">
        <v>11</v>
      </c>
      <c r="D984" s="8">
        <v>3.48</v>
      </c>
      <c r="E984" s="4">
        <v>4</v>
      </c>
      <c r="F984" s="8">
        <v>2.67</v>
      </c>
      <c r="G984" s="4">
        <v>4</v>
      </c>
      <c r="H984" s="8">
        <v>2.5499999999999998</v>
      </c>
      <c r="I984" s="4">
        <v>0</v>
      </c>
    </row>
    <row r="985" spans="1:9" x14ac:dyDescent="0.2">
      <c r="A985" s="2">
        <v>10</v>
      </c>
      <c r="B985" s="1" t="s">
        <v>103</v>
      </c>
      <c r="C985" s="4">
        <v>10</v>
      </c>
      <c r="D985" s="8">
        <v>3.16</v>
      </c>
      <c r="E985" s="4">
        <v>4</v>
      </c>
      <c r="F985" s="8">
        <v>2.67</v>
      </c>
      <c r="G985" s="4">
        <v>6</v>
      </c>
      <c r="H985" s="8">
        <v>3.82</v>
      </c>
      <c r="I985" s="4">
        <v>0</v>
      </c>
    </row>
    <row r="986" spans="1:9" x14ac:dyDescent="0.2">
      <c r="A986" s="2">
        <v>11</v>
      </c>
      <c r="B986" s="1" t="s">
        <v>112</v>
      </c>
      <c r="C986" s="4">
        <v>9</v>
      </c>
      <c r="D986" s="8">
        <v>2.85</v>
      </c>
      <c r="E986" s="4">
        <v>7</v>
      </c>
      <c r="F986" s="8">
        <v>4.67</v>
      </c>
      <c r="G986" s="4">
        <v>2</v>
      </c>
      <c r="H986" s="8">
        <v>1.27</v>
      </c>
      <c r="I986" s="4">
        <v>0</v>
      </c>
    </row>
    <row r="987" spans="1:9" x14ac:dyDescent="0.2">
      <c r="A987" s="2">
        <v>11</v>
      </c>
      <c r="B987" s="1" t="s">
        <v>118</v>
      </c>
      <c r="C987" s="4">
        <v>9</v>
      </c>
      <c r="D987" s="8">
        <v>2.85</v>
      </c>
      <c r="E987" s="4">
        <v>8</v>
      </c>
      <c r="F987" s="8">
        <v>5.33</v>
      </c>
      <c r="G987" s="4">
        <v>1</v>
      </c>
      <c r="H987" s="8">
        <v>0.64</v>
      </c>
      <c r="I987" s="4">
        <v>0</v>
      </c>
    </row>
    <row r="988" spans="1:9" x14ac:dyDescent="0.2">
      <c r="A988" s="2">
        <v>13</v>
      </c>
      <c r="B988" s="1" t="s">
        <v>104</v>
      </c>
      <c r="C988" s="4">
        <v>7</v>
      </c>
      <c r="D988" s="8">
        <v>2.2200000000000002</v>
      </c>
      <c r="E988" s="4">
        <v>1</v>
      </c>
      <c r="F988" s="8">
        <v>0.67</v>
      </c>
      <c r="G988" s="4">
        <v>6</v>
      </c>
      <c r="H988" s="8">
        <v>3.82</v>
      </c>
      <c r="I988" s="4">
        <v>0</v>
      </c>
    </row>
    <row r="989" spans="1:9" x14ac:dyDescent="0.2">
      <c r="A989" s="2">
        <v>13</v>
      </c>
      <c r="B989" s="1" t="s">
        <v>111</v>
      </c>
      <c r="C989" s="4">
        <v>7</v>
      </c>
      <c r="D989" s="8">
        <v>2.2200000000000002</v>
      </c>
      <c r="E989" s="4">
        <v>1</v>
      </c>
      <c r="F989" s="8">
        <v>0.67</v>
      </c>
      <c r="G989" s="4">
        <v>6</v>
      </c>
      <c r="H989" s="8">
        <v>3.82</v>
      </c>
      <c r="I989" s="4">
        <v>0</v>
      </c>
    </row>
    <row r="990" spans="1:9" x14ac:dyDescent="0.2">
      <c r="A990" s="2">
        <v>15</v>
      </c>
      <c r="B990" s="1" t="s">
        <v>126</v>
      </c>
      <c r="C990" s="4">
        <v>6</v>
      </c>
      <c r="D990" s="8">
        <v>1.9</v>
      </c>
      <c r="E990" s="4">
        <v>2</v>
      </c>
      <c r="F990" s="8">
        <v>1.33</v>
      </c>
      <c r="G990" s="4">
        <v>4</v>
      </c>
      <c r="H990" s="8">
        <v>2.5499999999999998</v>
      </c>
      <c r="I990" s="4">
        <v>0</v>
      </c>
    </row>
    <row r="991" spans="1:9" x14ac:dyDescent="0.2">
      <c r="A991" s="2">
        <v>15</v>
      </c>
      <c r="B991" s="1" t="s">
        <v>124</v>
      </c>
      <c r="C991" s="4">
        <v>6</v>
      </c>
      <c r="D991" s="8">
        <v>1.9</v>
      </c>
      <c r="E991" s="4">
        <v>0</v>
      </c>
      <c r="F991" s="8">
        <v>0</v>
      </c>
      <c r="G991" s="4">
        <v>5</v>
      </c>
      <c r="H991" s="8">
        <v>3.18</v>
      </c>
      <c r="I991" s="4">
        <v>1</v>
      </c>
    </row>
    <row r="992" spans="1:9" x14ac:dyDescent="0.2">
      <c r="A992" s="2">
        <v>17</v>
      </c>
      <c r="B992" s="1" t="s">
        <v>130</v>
      </c>
      <c r="C992" s="4">
        <v>5</v>
      </c>
      <c r="D992" s="8">
        <v>1.58</v>
      </c>
      <c r="E992" s="4">
        <v>3</v>
      </c>
      <c r="F992" s="8">
        <v>2</v>
      </c>
      <c r="G992" s="4">
        <v>2</v>
      </c>
      <c r="H992" s="8">
        <v>1.27</v>
      </c>
      <c r="I992" s="4">
        <v>0</v>
      </c>
    </row>
    <row r="993" spans="1:9" x14ac:dyDescent="0.2">
      <c r="A993" s="2">
        <v>17</v>
      </c>
      <c r="B993" s="1" t="s">
        <v>107</v>
      </c>
      <c r="C993" s="4">
        <v>5</v>
      </c>
      <c r="D993" s="8">
        <v>1.58</v>
      </c>
      <c r="E993" s="4">
        <v>1</v>
      </c>
      <c r="F993" s="8">
        <v>0.67</v>
      </c>
      <c r="G993" s="4">
        <v>4</v>
      </c>
      <c r="H993" s="8">
        <v>2.5499999999999998</v>
      </c>
      <c r="I993" s="4">
        <v>0</v>
      </c>
    </row>
    <row r="994" spans="1:9" x14ac:dyDescent="0.2">
      <c r="A994" s="2">
        <v>17</v>
      </c>
      <c r="B994" s="1" t="s">
        <v>131</v>
      </c>
      <c r="C994" s="4">
        <v>5</v>
      </c>
      <c r="D994" s="8">
        <v>1.58</v>
      </c>
      <c r="E994" s="4">
        <v>4</v>
      </c>
      <c r="F994" s="8">
        <v>2.67</v>
      </c>
      <c r="G994" s="4">
        <v>1</v>
      </c>
      <c r="H994" s="8">
        <v>0.64</v>
      </c>
      <c r="I994" s="4">
        <v>0</v>
      </c>
    </row>
    <row r="995" spans="1:9" x14ac:dyDescent="0.2">
      <c r="A995" s="2">
        <v>17</v>
      </c>
      <c r="B995" s="1" t="s">
        <v>132</v>
      </c>
      <c r="C995" s="4">
        <v>5</v>
      </c>
      <c r="D995" s="8">
        <v>1.58</v>
      </c>
      <c r="E995" s="4">
        <v>1</v>
      </c>
      <c r="F995" s="8">
        <v>0.67</v>
      </c>
      <c r="G995" s="4">
        <v>4</v>
      </c>
      <c r="H995" s="8">
        <v>2.5499999999999998</v>
      </c>
      <c r="I995" s="4">
        <v>0</v>
      </c>
    </row>
    <row r="996" spans="1:9" x14ac:dyDescent="0.2">
      <c r="A996" s="1"/>
      <c r="C996" s="4"/>
      <c r="D996" s="8"/>
      <c r="E996" s="4"/>
      <c r="F996" s="8"/>
      <c r="G996" s="4"/>
      <c r="H996" s="8"/>
      <c r="I996" s="4"/>
    </row>
    <row r="997" spans="1:9" x14ac:dyDescent="0.2">
      <c r="A997" s="1" t="s">
        <v>42</v>
      </c>
      <c r="C997" s="4"/>
      <c r="D997" s="8"/>
      <c r="E997" s="4"/>
      <c r="F997" s="8"/>
      <c r="G997" s="4"/>
      <c r="H997" s="8"/>
      <c r="I997" s="4"/>
    </row>
    <row r="998" spans="1:9" x14ac:dyDescent="0.2">
      <c r="A998" s="2">
        <v>1</v>
      </c>
      <c r="B998" s="1" t="s">
        <v>101</v>
      </c>
      <c r="C998" s="4">
        <v>27</v>
      </c>
      <c r="D998" s="8">
        <v>18.239999999999998</v>
      </c>
      <c r="E998" s="4">
        <v>10</v>
      </c>
      <c r="F998" s="8">
        <v>10.199999999999999</v>
      </c>
      <c r="G998" s="4">
        <v>17</v>
      </c>
      <c r="H998" s="8">
        <v>36.96</v>
      </c>
      <c r="I998" s="4">
        <v>0</v>
      </c>
    </row>
    <row r="999" spans="1:9" x14ac:dyDescent="0.2">
      <c r="A999" s="2">
        <v>2</v>
      </c>
      <c r="B999" s="1" t="s">
        <v>102</v>
      </c>
      <c r="C999" s="4">
        <v>16</v>
      </c>
      <c r="D999" s="8">
        <v>10.81</v>
      </c>
      <c r="E999" s="4">
        <v>13</v>
      </c>
      <c r="F999" s="8">
        <v>13.27</v>
      </c>
      <c r="G999" s="4">
        <v>3</v>
      </c>
      <c r="H999" s="8">
        <v>6.52</v>
      </c>
      <c r="I999" s="4">
        <v>0</v>
      </c>
    </row>
    <row r="1000" spans="1:9" x14ac:dyDescent="0.2">
      <c r="A1000" s="2">
        <v>3</v>
      </c>
      <c r="B1000" s="1" t="s">
        <v>110</v>
      </c>
      <c r="C1000" s="4">
        <v>13</v>
      </c>
      <c r="D1000" s="8">
        <v>8.7799999999999994</v>
      </c>
      <c r="E1000" s="4">
        <v>8</v>
      </c>
      <c r="F1000" s="8">
        <v>8.16</v>
      </c>
      <c r="G1000" s="4">
        <v>5</v>
      </c>
      <c r="H1000" s="8">
        <v>10.87</v>
      </c>
      <c r="I1000" s="4">
        <v>0</v>
      </c>
    </row>
    <row r="1001" spans="1:9" x14ac:dyDescent="0.2">
      <c r="A1001" s="2">
        <v>4</v>
      </c>
      <c r="B1001" s="1" t="s">
        <v>115</v>
      </c>
      <c r="C1001" s="4">
        <v>11</v>
      </c>
      <c r="D1001" s="8">
        <v>7.43</v>
      </c>
      <c r="E1001" s="4">
        <v>10</v>
      </c>
      <c r="F1001" s="8">
        <v>10.199999999999999</v>
      </c>
      <c r="G1001" s="4">
        <v>1</v>
      </c>
      <c r="H1001" s="8">
        <v>2.17</v>
      </c>
      <c r="I1001" s="4">
        <v>0</v>
      </c>
    </row>
    <row r="1002" spans="1:9" x14ac:dyDescent="0.2">
      <c r="A1002" s="2">
        <v>4</v>
      </c>
      <c r="B1002" s="1" t="s">
        <v>116</v>
      </c>
      <c r="C1002" s="4">
        <v>11</v>
      </c>
      <c r="D1002" s="8">
        <v>7.43</v>
      </c>
      <c r="E1002" s="4">
        <v>11</v>
      </c>
      <c r="F1002" s="8">
        <v>11.22</v>
      </c>
      <c r="G1002" s="4">
        <v>0</v>
      </c>
      <c r="H1002" s="8">
        <v>0</v>
      </c>
      <c r="I1002" s="4">
        <v>0</v>
      </c>
    </row>
    <row r="1003" spans="1:9" x14ac:dyDescent="0.2">
      <c r="A1003" s="2">
        <v>6</v>
      </c>
      <c r="B1003" s="1" t="s">
        <v>108</v>
      </c>
      <c r="C1003" s="4">
        <v>9</v>
      </c>
      <c r="D1003" s="8">
        <v>6.08</v>
      </c>
      <c r="E1003" s="4">
        <v>8</v>
      </c>
      <c r="F1003" s="8">
        <v>8.16</v>
      </c>
      <c r="G1003" s="4">
        <v>1</v>
      </c>
      <c r="H1003" s="8">
        <v>2.17</v>
      </c>
      <c r="I1003" s="4">
        <v>0</v>
      </c>
    </row>
    <row r="1004" spans="1:9" x14ac:dyDescent="0.2">
      <c r="A1004" s="2">
        <v>7</v>
      </c>
      <c r="B1004" s="1" t="s">
        <v>103</v>
      </c>
      <c r="C1004" s="4">
        <v>7</v>
      </c>
      <c r="D1004" s="8">
        <v>4.7300000000000004</v>
      </c>
      <c r="E1004" s="4">
        <v>6</v>
      </c>
      <c r="F1004" s="8">
        <v>6.12</v>
      </c>
      <c r="G1004" s="4">
        <v>1</v>
      </c>
      <c r="H1004" s="8">
        <v>2.17</v>
      </c>
      <c r="I1004" s="4">
        <v>0</v>
      </c>
    </row>
    <row r="1005" spans="1:9" x14ac:dyDescent="0.2">
      <c r="A1005" s="2">
        <v>8</v>
      </c>
      <c r="B1005" s="1" t="s">
        <v>109</v>
      </c>
      <c r="C1005" s="4">
        <v>5</v>
      </c>
      <c r="D1005" s="8">
        <v>3.38</v>
      </c>
      <c r="E1005" s="4">
        <v>3</v>
      </c>
      <c r="F1005" s="8">
        <v>3.06</v>
      </c>
      <c r="G1005" s="4">
        <v>2</v>
      </c>
      <c r="H1005" s="8">
        <v>4.3499999999999996</v>
      </c>
      <c r="I1005" s="4">
        <v>0</v>
      </c>
    </row>
    <row r="1006" spans="1:9" x14ac:dyDescent="0.2">
      <c r="A1006" s="2">
        <v>9</v>
      </c>
      <c r="B1006" s="1" t="s">
        <v>107</v>
      </c>
      <c r="C1006" s="4">
        <v>4</v>
      </c>
      <c r="D1006" s="8">
        <v>2.7</v>
      </c>
      <c r="E1006" s="4">
        <v>2</v>
      </c>
      <c r="F1006" s="8">
        <v>2.04</v>
      </c>
      <c r="G1006" s="4">
        <v>2</v>
      </c>
      <c r="H1006" s="8">
        <v>4.3499999999999996</v>
      </c>
      <c r="I1006" s="4">
        <v>0</v>
      </c>
    </row>
    <row r="1007" spans="1:9" x14ac:dyDescent="0.2">
      <c r="A1007" s="2">
        <v>9</v>
      </c>
      <c r="B1007" s="1" t="s">
        <v>113</v>
      </c>
      <c r="C1007" s="4">
        <v>4</v>
      </c>
      <c r="D1007" s="8">
        <v>2.7</v>
      </c>
      <c r="E1007" s="4">
        <v>2</v>
      </c>
      <c r="F1007" s="8">
        <v>2.04</v>
      </c>
      <c r="G1007" s="4">
        <v>1</v>
      </c>
      <c r="H1007" s="8">
        <v>2.17</v>
      </c>
      <c r="I1007" s="4">
        <v>0</v>
      </c>
    </row>
    <row r="1008" spans="1:9" x14ac:dyDescent="0.2">
      <c r="A1008" s="2">
        <v>11</v>
      </c>
      <c r="B1008" s="1" t="s">
        <v>121</v>
      </c>
      <c r="C1008" s="4">
        <v>3</v>
      </c>
      <c r="D1008" s="8">
        <v>2.0299999999999998</v>
      </c>
      <c r="E1008" s="4">
        <v>1</v>
      </c>
      <c r="F1008" s="8">
        <v>1.02</v>
      </c>
      <c r="G1008" s="4">
        <v>2</v>
      </c>
      <c r="H1008" s="8">
        <v>4.3499999999999996</v>
      </c>
      <c r="I1008" s="4">
        <v>0</v>
      </c>
    </row>
    <row r="1009" spans="1:9" x14ac:dyDescent="0.2">
      <c r="A1009" s="2">
        <v>11</v>
      </c>
      <c r="B1009" s="1" t="s">
        <v>133</v>
      </c>
      <c r="C1009" s="4">
        <v>3</v>
      </c>
      <c r="D1009" s="8">
        <v>2.0299999999999998</v>
      </c>
      <c r="E1009" s="4">
        <v>3</v>
      </c>
      <c r="F1009" s="8">
        <v>3.06</v>
      </c>
      <c r="G1009" s="4">
        <v>0</v>
      </c>
      <c r="H1009" s="8">
        <v>0</v>
      </c>
      <c r="I1009" s="4">
        <v>0</v>
      </c>
    </row>
    <row r="1010" spans="1:9" x14ac:dyDescent="0.2">
      <c r="A1010" s="2">
        <v>11</v>
      </c>
      <c r="B1010" s="1" t="s">
        <v>114</v>
      </c>
      <c r="C1010" s="4">
        <v>3</v>
      </c>
      <c r="D1010" s="8">
        <v>2.0299999999999998</v>
      </c>
      <c r="E1010" s="4">
        <v>2</v>
      </c>
      <c r="F1010" s="8">
        <v>2.04</v>
      </c>
      <c r="G1010" s="4">
        <v>0</v>
      </c>
      <c r="H1010" s="8">
        <v>0</v>
      </c>
      <c r="I1010" s="4">
        <v>1</v>
      </c>
    </row>
    <row r="1011" spans="1:9" x14ac:dyDescent="0.2">
      <c r="A1011" s="2">
        <v>11</v>
      </c>
      <c r="B1011" s="1" t="s">
        <v>117</v>
      </c>
      <c r="C1011" s="4">
        <v>3</v>
      </c>
      <c r="D1011" s="8">
        <v>2.0299999999999998</v>
      </c>
      <c r="E1011" s="4">
        <v>3</v>
      </c>
      <c r="F1011" s="8">
        <v>3.06</v>
      </c>
      <c r="G1011" s="4">
        <v>0</v>
      </c>
      <c r="H1011" s="8">
        <v>0</v>
      </c>
      <c r="I1011" s="4">
        <v>0</v>
      </c>
    </row>
    <row r="1012" spans="1:9" x14ac:dyDescent="0.2">
      <c r="A1012" s="2">
        <v>11</v>
      </c>
      <c r="B1012" s="1" t="s">
        <v>118</v>
      </c>
      <c r="C1012" s="4">
        <v>3</v>
      </c>
      <c r="D1012" s="8">
        <v>2.0299999999999998</v>
      </c>
      <c r="E1012" s="4">
        <v>3</v>
      </c>
      <c r="F1012" s="8">
        <v>3.06</v>
      </c>
      <c r="G1012" s="4">
        <v>0</v>
      </c>
      <c r="H1012" s="8">
        <v>0</v>
      </c>
      <c r="I1012" s="4">
        <v>0</v>
      </c>
    </row>
    <row r="1013" spans="1:9" x14ac:dyDescent="0.2">
      <c r="A1013" s="2">
        <v>11</v>
      </c>
      <c r="B1013" s="1" t="s">
        <v>119</v>
      </c>
      <c r="C1013" s="4">
        <v>3</v>
      </c>
      <c r="D1013" s="8">
        <v>2.0299999999999998</v>
      </c>
      <c r="E1013" s="4">
        <v>0</v>
      </c>
      <c r="F1013" s="8">
        <v>0</v>
      </c>
      <c r="G1013" s="4">
        <v>3</v>
      </c>
      <c r="H1013" s="8">
        <v>6.52</v>
      </c>
      <c r="I1013" s="4">
        <v>0</v>
      </c>
    </row>
    <row r="1014" spans="1:9" x14ac:dyDescent="0.2">
      <c r="A1014" s="2">
        <v>11</v>
      </c>
      <c r="B1014" s="1" t="s">
        <v>124</v>
      </c>
      <c r="C1014" s="4">
        <v>3</v>
      </c>
      <c r="D1014" s="8">
        <v>2.0299999999999998</v>
      </c>
      <c r="E1014" s="4">
        <v>3</v>
      </c>
      <c r="F1014" s="8">
        <v>3.06</v>
      </c>
      <c r="G1014" s="4">
        <v>0</v>
      </c>
      <c r="H1014" s="8">
        <v>0</v>
      </c>
      <c r="I1014" s="4">
        <v>0</v>
      </c>
    </row>
    <row r="1015" spans="1:9" x14ac:dyDescent="0.2">
      <c r="A1015" s="2">
        <v>18</v>
      </c>
      <c r="B1015" s="1" t="s">
        <v>149</v>
      </c>
      <c r="C1015" s="4">
        <v>2</v>
      </c>
      <c r="D1015" s="8">
        <v>1.35</v>
      </c>
      <c r="E1015" s="4">
        <v>0</v>
      </c>
      <c r="F1015" s="8">
        <v>0</v>
      </c>
      <c r="G1015" s="4">
        <v>2</v>
      </c>
      <c r="H1015" s="8">
        <v>4.3499999999999996</v>
      </c>
      <c r="I1015" s="4">
        <v>0</v>
      </c>
    </row>
    <row r="1016" spans="1:9" x14ac:dyDescent="0.2">
      <c r="A1016" s="2">
        <v>18</v>
      </c>
      <c r="B1016" s="1" t="s">
        <v>135</v>
      </c>
      <c r="C1016" s="4">
        <v>2</v>
      </c>
      <c r="D1016" s="8">
        <v>1.35</v>
      </c>
      <c r="E1016" s="4">
        <v>2</v>
      </c>
      <c r="F1016" s="8">
        <v>2.04</v>
      </c>
      <c r="G1016" s="4">
        <v>0</v>
      </c>
      <c r="H1016" s="8">
        <v>0</v>
      </c>
      <c r="I1016" s="4">
        <v>0</v>
      </c>
    </row>
    <row r="1017" spans="1:9" x14ac:dyDescent="0.2">
      <c r="A1017" s="2">
        <v>18</v>
      </c>
      <c r="B1017" s="1" t="s">
        <v>112</v>
      </c>
      <c r="C1017" s="4">
        <v>2</v>
      </c>
      <c r="D1017" s="8">
        <v>1.35</v>
      </c>
      <c r="E1017" s="4">
        <v>2</v>
      </c>
      <c r="F1017" s="8">
        <v>2.04</v>
      </c>
      <c r="G1017" s="4">
        <v>0</v>
      </c>
      <c r="H1017" s="8">
        <v>0</v>
      </c>
      <c r="I1017" s="4">
        <v>0</v>
      </c>
    </row>
    <row r="1018" spans="1:9" x14ac:dyDescent="0.2">
      <c r="A1018" s="2">
        <v>18</v>
      </c>
      <c r="B1018" s="1" t="s">
        <v>131</v>
      </c>
      <c r="C1018" s="4">
        <v>2</v>
      </c>
      <c r="D1018" s="8">
        <v>1.35</v>
      </c>
      <c r="E1018" s="4">
        <v>0</v>
      </c>
      <c r="F1018" s="8">
        <v>0</v>
      </c>
      <c r="G1018" s="4">
        <v>1</v>
      </c>
      <c r="H1018" s="8">
        <v>2.17</v>
      </c>
      <c r="I1018" s="4">
        <v>0</v>
      </c>
    </row>
    <row r="1019" spans="1:9" x14ac:dyDescent="0.2">
      <c r="A1019" s="2">
        <v>18</v>
      </c>
      <c r="B1019" s="1" t="s">
        <v>120</v>
      </c>
      <c r="C1019" s="4">
        <v>2</v>
      </c>
      <c r="D1019" s="8">
        <v>1.35</v>
      </c>
      <c r="E1019" s="4">
        <v>2</v>
      </c>
      <c r="F1019" s="8">
        <v>2.04</v>
      </c>
      <c r="G1019" s="4">
        <v>0</v>
      </c>
      <c r="H1019" s="8">
        <v>0</v>
      </c>
      <c r="I1019" s="4">
        <v>0</v>
      </c>
    </row>
    <row r="1020" spans="1:9" x14ac:dyDescent="0.2">
      <c r="A1020" s="1"/>
      <c r="C1020" s="4"/>
      <c r="D1020" s="8"/>
      <c r="E1020" s="4"/>
      <c r="F1020" s="8"/>
      <c r="G1020" s="4"/>
      <c r="H1020" s="8"/>
      <c r="I1020" s="4"/>
    </row>
    <row r="1021" spans="1:9" x14ac:dyDescent="0.2">
      <c r="A1021" s="1" t="s">
        <v>43</v>
      </c>
      <c r="C1021" s="4"/>
      <c r="D1021" s="8"/>
      <c r="E1021" s="4"/>
      <c r="F1021" s="8"/>
      <c r="G1021" s="4"/>
      <c r="H1021" s="8"/>
      <c r="I1021" s="4"/>
    </row>
    <row r="1022" spans="1:9" x14ac:dyDescent="0.2">
      <c r="A1022" s="2">
        <v>1</v>
      </c>
      <c r="B1022" s="1" t="s">
        <v>115</v>
      </c>
      <c r="C1022" s="4">
        <v>31</v>
      </c>
      <c r="D1022" s="8">
        <v>11.48</v>
      </c>
      <c r="E1022" s="4">
        <v>24</v>
      </c>
      <c r="F1022" s="8">
        <v>14.12</v>
      </c>
      <c r="G1022" s="4">
        <v>7</v>
      </c>
      <c r="H1022" s="8">
        <v>7.37</v>
      </c>
      <c r="I1022" s="4">
        <v>0</v>
      </c>
    </row>
    <row r="1023" spans="1:9" x14ac:dyDescent="0.2">
      <c r="A1023" s="2">
        <v>2</v>
      </c>
      <c r="B1023" s="1" t="s">
        <v>101</v>
      </c>
      <c r="C1023" s="4">
        <v>29</v>
      </c>
      <c r="D1023" s="8">
        <v>10.74</v>
      </c>
      <c r="E1023" s="4">
        <v>14</v>
      </c>
      <c r="F1023" s="8">
        <v>8.24</v>
      </c>
      <c r="G1023" s="4">
        <v>15</v>
      </c>
      <c r="H1023" s="8">
        <v>15.79</v>
      </c>
      <c r="I1023" s="4">
        <v>0</v>
      </c>
    </row>
    <row r="1024" spans="1:9" x14ac:dyDescent="0.2">
      <c r="A1024" s="2">
        <v>3</v>
      </c>
      <c r="B1024" s="1" t="s">
        <v>108</v>
      </c>
      <c r="C1024" s="4">
        <v>25</v>
      </c>
      <c r="D1024" s="8">
        <v>9.26</v>
      </c>
      <c r="E1024" s="4">
        <v>18</v>
      </c>
      <c r="F1024" s="8">
        <v>10.59</v>
      </c>
      <c r="G1024" s="4">
        <v>7</v>
      </c>
      <c r="H1024" s="8">
        <v>7.37</v>
      </c>
      <c r="I1024" s="4">
        <v>0</v>
      </c>
    </row>
    <row r="1025" spans="1:9" x14ac:dyDescent="0.2">
      <c r="A1025" s="2">
        <v>4</v>
      </c>
      <c r="B1025" s="1" t="s">
        <v>110</v>
      </c>
      <c r="C1025" s="4">
        <v>22</v>
      </c>
      <c r="D1025" s="8">
        <v>8.15</v>
      </c>
      <c r="E1025" s="4">
        <v>14</v>
      </c>
      <c r="F1025" s="8">
        <v>8.24</v>
      </c>
      <c r="G1025" s="4">
        <v>8</v>
      </c>
      <c r="H1025" s="8">
        <v>8.42</v>
      </c>
      <c r="I1025" s="4">
        <v>0</v>
      </c>
    </row>
    <row r="1026" spans="1:9" x14ac:dyDescent="0.2">
      <c r="A1026" s="2">
        <v>5</v>
      </c>
      <c r="B1026" s="1" t="s">
        <v>102</v>
      </c>
      <c r="C1026" s="4">
        <v>18</v>
      </c>
      <c r="D1026" s="8">
        <v>6.67</v>
      </c>
      <c r="E1026" s="4">
        <v>13</v>
      </c>
      <c r="F1026" s="8">
        <v>7.65</v>
      </c>
      <c r="G1026" s="4">
        <v>5</v>
      </c>
      <c r="H1026" s="8">
        <v>5.26</v>
      </c>
      <c r="I1026" s="4">
        <v>0</v>
      </c>
    </row>
    <row r="1027" spans="1:9" x14ac:dyDescent="0.2">
      <c r="A1027" s="2">
        <v>5</v>
      </c>
      <c r="B1027" s="1" t="s">
        <v>116</v>
      </c>
      <c r="C1027" s="4">
        <v>18</v>
      </c>
      <c r="D1027" s="8">
        <v>6.67</v>
      </c>
      <c r="E1027" s="4">
        <v>17</v>
      </c>
      <c r="F1027" s="8">
        <v>10</v>
      </c>
      <c r="G1027" s="4">
        <v>1</v>
      </c>
      <c r="H1027" s="8">
        <v>1.05</v>
      </c>
      <c r="I1027" s="4">
        <v>0</v>
      </c>
    </row>
    <row r="1028" spans="1:9" x14ac:dyDescent="0.2">
      <c r="A1028" s="2">
        <v>7</v>
      </c>
      <c r="B1028" s="1" t="s">
        <v>118</v>
      </c>
      <c r="C1028" s="4">
        <v>13</v>
      </c>
      <c r="D1028" s="8">
        <v>4.8099999999999996</v>
      </c>
      <c r="E1028" s="4">
        <v>11</v>
      </c>
      <c r="F1028" s="8">
        <v>6.47</v>
      </c>
      <c r="G1028" s="4">
        <v>2</v>
      </c>
      <c r="H1028" s="8">
        <v>2.11</v>
      </c>
      <c r="I1028" s="4">
        <v>0</v>
      </c>
    </row>
    <row r="1029" spans="1:9" x14ac:dyDescent="0.2">
      <c r="A1029" s="2">
        <v>8</v>
      </c>
      <c r="B1029" s="1" t="s">
        <v>117</v>
      </c>
      <c r="C1029" s="4">
        <v>8</v>
      </c>
      <c r="D1029" s="8">
        <v>2.96</v>
      </c>
      <c r="E1029" s="4">
        <v>5</v>
      </c>
      <c r="F1029" s="8">
        <v>2.94</v>
      </c>
      <c r="G1029" s="4">
        <v>3</v>
      </c>
      <c r="H1029" s="8">
        <v>3.16</v>
      </c>
      <c r="I1029" s="4">
        <v>0</v>
      </c>
    </row>
    <row r="1030" spans="1:9" x14ac:dyDescent="0.2">
      <c r="A1030" s="2">
        <v>9</v>
      </c>
      <c r="B1030" s="1" t="s">
        <v>112</v>
      </c>
      <c r="C1030" s="4">
        <v>7</v>
      </c>
      <c r="D1030" s="8">
        <v>2.59</v>
      </c>
      <c r="E1030" s="4">
        <v>4</v>
      </c>
      <c r="F1030" s="8">
        <v>2.35</v>
      </c>
      <c r="G1030" s="4">
        <v>3</v>
      </c>
      <c r="H1030" s="8">
        <v>3.16</v>
      </c>
      <c r="I1030" s="4">
        <v>0</v>
      </c>
    </row>
    <row r="1031" spans="1:9" x14ac:dyDescent="0.2">
      <c r="A1031" s="2">
        <v>10</v>
      </c>
      <c r="B1031" s="1" t="s">
        <v>103</v>
      </c>
      <c r="C1031" s="4">
        <v>6</v>
      </c>
      <c r="D1031" s="8">
        <v>2.2200000000000002</v>
      </c>
      <c r="E1031" s="4">
        <v>4</v>
      </c>
      <c r="F1031" s="8">
        <v>2.35</v>
      </c>
      <c r="G1031" s="4">
        <v>2</v>
      </c>
      <c r="H1031" s="8">
        <v>2.11</v>
      </c>
      <c r="I1031" s="4">
        <v>0</v>
      </c>
    </row>
    <row r="1032" spans="1:9" x14ac:dyDescent="0.2">
      <c r="A1032" s="2">
        <v>10</v>
      </c>
      <c r="B1032" s="1" t="s">
        <v>114</v>
      </c>
      <c r="C1032" s="4">
        <v>6</v>
      </c>
      <c r="D1032" s="8">
        <v>2.2200000000000002</v>
      </c>
      <c r="E1032" s="4">
        <v>4</v>
      </c>
      <c r="F1032" s="8">
        <v>2.35</v>
      </c>
      <c r="G1032" s="4">
        <v>2</v>
      </c>
      <c r="H1032" s="8">
        <v>2.11</v>
      </c>
      <c r="I1032" s="4">
        <v>0</v>
      </c>
    </row>
    <row r="1033" spans="1:9" x14ac:dyDescent="0.2">
      <c r="A1033" s="2">
        <v>12</v>
      </c>
      <c r="B1033" s="1" t="s">
        <v>127</v>
      </c>
      <c r="C1033" s="4">
        <v>5</v>
      </c>
      <c r="D1033" s="8">
        <v>1.85</v>
      </c>
      <c r="E1033" s="4">
        <v>1</v>
      </c>
      <c r="F1033" s="8">
        <v>0.59</v>
      </c>
      <c r="G1033" s="4">
        <v>4</v>
      </c>
      <c r="H1033" s="8">
        <v>4.21</v>
      </c>
      <c r="I1033" s="4">
        <v>0</v>
      </c>
    </row>
    <row r="1034" spans="1:9" x14ac:dyDescent="0.2">
      <c r="A1034" s="2">
        <v>12</v>
      </c>
      <c r="B1034" s="1" t="s">
        <v>109</v>
      </c>
      <c r="C1034" s="4">
        <v>5</v>
      </c>
      <c r="D1034" s="8">
        <v>1.85</v>
      </c>
      <c r="E1034" s="4">
        <v>4</v>
      </c>
      <c r="F1034" s="8">
        <v>2.35</v>
      </c>
      <c r="G1034" s="4">
        <v>1</v>
      </c>
      <c r="H1034" s="8">
        <v>1.05</v>
      </c>
      <c r="I1034" s="4">
        <v>0</v>
      </c>
    </row>
    <row r="1035" spans="1:9" x14ac:dyDescent="0.2">
      <c r="A1035" s="2">
        <v>12</v>
      </c>
      <c r="B1035" s="1" t="s">
        <v>133</v>
      </c>
      <c r="C1035" s="4">
        <v>5</v>
      </c>
      <c r="D1035" s="8">
        <v>1.85</v>
      </c>
      <c r="E1035" s="4">
        <v>5</v>
      </c>
      <c r="F1035" s="8">
        <v>2.94</v>
      </c>
      <c r="G1035" s="4">
        <v>0</v>
      </c>
      <c r="H1035" s="8">
        <v>0</v>
      </c>
      <c r="I1035" s="4">
        <v>0</v>
      </c>
    </row>
    <row r="1036" spans="1:9" x14ac:dyDescent="0.2">
      <c r="A1036" s="2">
        <v>15</v>
      </c>
      <c r="B1036" s="1" t="s">
        <v>157</v>
      </c>
      <c r="C1036" s="4">
        <v>4</v>
      </c>
      <c r="D1036" s="8">
        <v>1.48</v>
      </c>
      <c r="E1036" s="4">
        <v>2</v>
      </c>
      <c r="F1036" s="8">
        <v>1.18</v>
      </c>
      <c r="G1036" s="4">
        <v>2</v>
      </c>
      <c r="H1036" s="8">
        <v>2.11</v>
      </c>
      <c r="I1036" s="4">
        <v>0</v>
      </c>
    </row>
    <row r="1037" spans="1:9" x14ac:dyDescent="0.2">
      <c r="A1037" s="2">
        <v>15</v>
      </c>
      <c r="B1037" s="1" t="s">
        <v>156</v>
      </c>
      <c r="C1037" s="4">
        <v>4</v>
      </c>
      <c r="D1037" s="8">
        <v>1.48</v>
      </c>
      <c r="E1037" s="4">
        <v>3</v>
      </c>
      <c r="F1037" s="8">
        <v>1.76</v>
      </c>
      <c r="G1037" s="4">
        <v>1</v>
      </c>
      <c r="H1037" s="8">
        <v>1.05</v>
      </c>
      <c r="I1037" s="4">
        <v>0</v>
      </c>
    </row>
    <row r="1038" spans="1:9" x14ac:dyDescent="0.2">
      <c r="A1038" s="2">
        <v>15</v>
      </c>
      <c r="B1038" s="1" t="s">
        <v>105</v>
      </c>
      <c r="C1038" s="4">
        <v>4</v>
      </c>
      <c r="D1038" s="8">
        <v>1.48</v>
      </c>
      <c r="E1038" s="4">
        <v>2</v>
      </c>
      <c r="F1038" s="8">
        <v>1.18</v>
      </c>
      <c r="G1038" s="4">
        <v>2</v>
      </c>
      <c r="H1038" s="8">
        <v>2.11</v>
      </c>
      <c r="I1038" s="4">
        <v>0</v>
      </c>
    </row>
    <row r="1039" spans="1:9" x14ac:dyDescent="0.2">
      <c r="A1039" s="2">
        <v>15</v>
      </c>
      <c r="B1039" s="1" t="s">
        <v>107</v>
      </c>
      <c r="C1039" s="4">
        <v>4</v>
      </c>
      <c r="D1039" s="8">
        <v>1.48</v>
      </c>
      <c r="E1039" s="4">
        <v>2</v>
      </c>
      <c r="F1039" s="8">
        <v>1.18</v>
      </c>
      <c r="G1039" s="4">
        <v>2</v>
      </c>
      <c r="H1039" s="8">
        <v>2.11</v>
      </c>
      <c r="I1039" s="4">
        <v>0</v>
      </c>
    </row>
    <row r="1040" spans="1:9" x14ac:dyDescent="0.2">
      <c r="A1040" s="2">
        <v>15</v>
      </c>
      <c r="B1040" s="1" t="s">
        <v>111</v>
      </c>
      <c r="C1040" s="4">
        <v>4</v>
      </c>
      <c r="D1040" s="8">
        <v>1.48</v>
      </c>
      <c r="E1040" s="4">
        <v>1</v>
      </c>
      <c r="F1040" s="8">
        <v>0.59</v>
      </c>
      <c r="G1040" s="4">
        <v>3</v>
      </c>
      <c r="H1040" s="8">
        <v>3.16</v>
      </c>
      <c r="I1040" s="4">
        <v>0</v>
      </c>
    </row>
    <row r="1041" spans="1:9" x14ac:dyDescent="0.2">
      <c r="A1041" s="2">
        <v>15</v>
      </c>
      <c r="B1041" s="1" t="s">
        <v>132</v>
      </c>
      <c r="C1041" s="4">
        <v>4</v>
      </c>
      <c r="D1041" s="8">
        <v>1.48</v>
      </c>
      <c r="E1041" s="4">
        <v>2</v>
      </c>
      <c r="F1041" s="8">
        <v>1.18</v>
      </c>
      <c r="G1041" s="4">
        <v>2</v>
      </c>
      <c r="H1041" s="8">
        <v>2.11</v>
      </c>
      <c r="I1041" s="4">
        <v>0</v>
      </c>
    </row>
    <row r="1042" spans="1:9" x14ac:dyDescent="0.2">
      <c r="A1042" s="1"/>
      <c r="C1042" s="4"/>
      <c r="D1042" s="8"/>
      <c r="E1042" s="4"/>
      <c r="F1042" s="8"/>
      <c r="G1042" s="4"/>
      <c r="H1042" s="8"/>
      <c r="I1042" s="4"/>
    </row>
    <row r="1043" spans="1:9" x14ac:dyDescent="0.2">
      <c r="A1043" s="1" t="s">
        <v>44</v>
      </c>
      <c r="C1043" s="4"/>
      <c r="D1043" s="8"/>
      <c r="E1043" s="4"/>
      <c r="F1043" s="8"/>
      <c r="G1043" s="4"/>
      <c r="H1043" s="8"/>
      <c r="I1043" s="4"/>
    </row>
    <row r="1044" spans="1:9" x14ac:dyDescent="0.2">
      <c r="A1044" s="2">
        <v>1</v>
      </c>
      <c r="B1044" s="1" t="s">
        <v>115</v>
      </c>
      <c r="C1044" s="4">
        <v>8</v>
      </c>
      <c r="D1044" s="8">
        <v>25.81</v>
      </c>
      <c r="E1044" s="4">
        <v>8</v>
      </c>
      <c r="F1044" s="8">
        <v>44.44</v>
      </c>
      <c r="G1044" s="4">
        <v>0</v>
      </c>
      <c r="H1044" s="8">
        <v>0</v>
      </c>
      <c r="I1044" s="4">
        <v>0</v>
      </c>
    </row>
    <row r="1045" spans="1:9" x14ac:dyDescent="0.2">
      <c r="A1045" s="2">
        <v>2</v>
      </c>
      <c r="B1045" s="1" t="s">
        <v>110</v>
      </c>
      <c r="C1045" s="4">
        <v>4</v>
      </c>
      <c r="D1045" s="8">
        <v>12.9</v>
      </c>
      <c r="E1045" s="4">
        <v>2</v>
      </c>
      <c r="F1045" s="8">
        <v>11.11</v>
      </c>
      <c r="G1045" s="4">
        <v>2</v>
      </c>
      <c r="H1045" s="8">
        <v>18.18</v>
      </c>
      <c r="I1045" s="4">
        <v>0</v>
      </c>
    </row>
    <row r="1046" spans="1:9" x14ac:dyDescent="0.2">
      <c r="A1046" s="2">
        <v>3</v>
      </c>
      <c r="B1046" s="1" t="s">
        <v>101</v>
      </c>
      <c r="C1046" s="4">
        <v>3</v>
      </c>
      <c r="D1046" s="8">
        <v>9.68</v>
      </c>
      <c r="E1046" s="4">
        <v>0</v>
      </c>
      <c r="F1046" s="8">
        <v>0</v>
      </c>
      <c r="G1046" s="4">
        <v>3</v>
      </c>
      <c r="H1046" s="8">
        <v>27.27</v>
      </c>
      <c r="I1046" s="4">
        <v>0</v>
      </c>
    </row>
    <row r="1047" spans="1:9" x14ac:dyDescent="0.2">
      <c r="A1047" s="2">
        <v>3</v>
      </c>
      <c r="B1047" s="1" t="s">
        <v>108</v>
      </c>
      <c r="C1047" s="4">
        <v>3</v>
      </c>
      <c r="D1047" s="8">
        <v>9.68</v>
      </c>
      <c r="E1047" s="4">
        <v>3</v>
      </c>
      <c r="F1047" s="8">
        <v>16.670000000000002</v>
      </c>
      <c r="G1047" s="4">
        <v>0</v>
      </c>
      <c r="H1047" s="8">
        <v>0</v>
      </c>
      <c r="I1047" s="4">
        <v>0</v>
      </c>
    </row>
    <row r="1048" spans="1:9" x14ac:dyDescent="0.2">
      <c r="A1048" s="2">
        <v>3</v>
      </c>
      <c r="B1048" s="1" t="s">
        <v>132</v>
      </c>
      <c r="C1048" s="4">
        <v>3</v>
      </c>
      <c r="D1048" s="8">
        <v>9.68</v>
      </c>
      <c r="E1048" s="4">
        <v>1</v>
      </c>
      <c r="F1048" s="8">
        <v>5.56</v>
      </c>
      <c r="G1048" s="4">
        <v>2</v>
      </c>
      <c r="H1048" s="8">
        <v>18.18</v>
      </c>
      <c r="I1048" s="4">
        <v>0</v>
      </c>
    </row>
    <row r="1049" spans="1:9" x14ac:dyDescent="0.2">
      <c r="A1049" s="2">
        <v>6</v>
      </c>
      <c r="B1049" s="1" t="s">
        <v>114</v>
      </c>
      <c r="C1049" s="4">
        <v>2</v>
      </c>
      <c r="D1049" s="8">
        <v>6.45</v>
      </c>
      <c r="E1049" s="4">
        <v>0</v>
      </c>
      <c r="F1049" s="8">
        <v>0</v>
      </c>
      <c r="G1049" s="4">
        <v>2</v>
      </c>
      <c r="H1049" s="8">
        <v>18.18</v>
      </c>
      <c r="I1049" s="4">
        <v>0</v>
      </c>
    </row>
    <row r="1050" spans="1:9" x14ac:dyDescent="0.2">
      <c r="A1050" s="2">
        <v>6</v>
      </c>
      <c r="B1050" s="1" t="s">
        <v>119</v>
      </c>
      <c r="C1050" s="4">
        <v>2</v>
      </c>
      <c r="D1050" s="8">
        <v>6.45</v>
      </c>
      <c r="E1050" s="4">
        <v>0</v>
      </c>
      <c r="F1050" s="8">
        <v>0</v>
      </c>
      <c r="G1050" s="4">
        <v>1</v>
      </c>
      <c r="H1050" s="8">
        <v>9.09</v>
      </c>
      <c r="I1050" s="4">
        <v>0</v>
      </c>
    </row>
    <row r="1051" spans="1:9" x14ac:dyDescent="0.2">
      <c r="A1051" s="2">
        <v>8</v>
      </c>
      <c r="B1051" s="1" t="s">
        <v>102</v>
      </c>
      <c r="C1051" s="4">
        <v>1</v>
      </c>
      <c r="D1051" s="8">
        <v>3.23</v>
      </c>
      <c r="E1051" s="4">
        <v>1</v>
      </c>
      <c r="F1051" s="8">
        <v>5.56</v>
      </c>
      <c r="G1051" s="4">
        <v>0</v>
      </c>
      <c r="H1051" s="8">
        <v>0</v>
      </c>
      <c r="I1051" s="4">
        <v>0</v>
      </c>
    </row>
    <row r="1052" spans="1:9" x14ac:dyDescent="0.2">
      <c r="A1052" s="2">
        <v>8</v>
      </c>
      <c r="B1052" s="1" t="s">
        <v>139</v>
      </c>
      <c r="C1052" s="4">
        <v>1</v>
      </c>
      <c r="D1052" s="8">
        <v>3.23</v>
      </c>
      <c r="E1052" s="4">
        <v>0</v>
      </c>
      <c r="F1052" s="8">
        <v>0</v>
      </c>
      <c r="G1052" s="4">
        <v>0</v>
      </c>
      <c r="H1052" s="8">
        <v>0</v>
      </c>
      <c r="I1052" s="4">
        <v>0</v>
      </c>
    </row>
    <row r="1053" spans="1:9" x14ac:dyDescent="0.2">
      <c r="A1053" s="2">
        <v>8</v>
      </c>
      <c r="B1053" s="1" t="s">
        <v>116</v>
      </c>
      <c r="C1053" s="4">
        <v>1</v>
      </c>
      <c r="D1053" s="8">
        <v>3.23</v>
      </c>
      <c r="E1053" s="4">
        <v>1</v>
      </c>
      <c r="F1053" s="8">
        <v>5.56</v>
      </c>
      <c r="G1053" s="4">
        <v>0</v>
      </c>
      <c r="H1053" s="8">
        <v>0</v>
      </c>
      <c r="I1053" s="4">
        <v>0</v>
      </c>
    </row>
    <row r="1054" spans="1:9" x14ac:dyDescent="0.2">
      <c r="A1054" s="2">
        <v>8</v>
      </c>
      <c r="B1054" s="1" t="s">
        <v>118</v>
      </c>
      <c r="C1054" s="4">
        <v>1</v>
      </c>
      <c r="D1054" s="8">
        <v>3.23</v>
      </c>
      <c r="E1054" s="4">
        <v>1</v>
      </c>
      <c r="F1054" s="8">
        <v>5.56</v>
      </c>
      <c r="G1054" s="4">
        <v>0</v>
      </c>
      <c r="H1054" s="8">
        <v>0</v>
      </c>
      <c r="I1054" s="4">
        <v>0</v>
      </c>
    </row>
    <row r="1055" spans="1:9" x14ac:dyDescent="0.2">
      <c r="A1055" s="2">
        <v>8</v>
      </c>
      <c r="B1055" s="1" t="s">
        <v>163</v>
      </c>
      <c r="C1055" s="4">
        <v>1</v>
      </c>
      <c r="D1055" s="8">
        <v>3.23</v>
      </c>
      <c r="E1055" s="4">
        <v>0</v>
      </c>
      <c r="F1055" s="8">
        <v>0</v>
      </c>
      <c r="G1055" s="4">
        <v>1</v>
      </c>
      <c r="H1055" s="8">
        <v>9.09</v>
      </c>
      <c r="I1055" s="4">
        <v>0</v>
      </c>
    </row>
    <row r="1056" spans="1:9" x14ac:dyDescent="0.2">
      <c r="A1056" s="2">
        <v>8</v>
      </c>
      <c r="B1056" s="1" t="s">
        <v>120</v>
      </c>
      <c r="C1056" s="4">
        <v>1</v>
      </c>
      <c r="D1056" s="8">
        <v>3.23</v>
      </c>
      <c r="E1056" s="4">
        <v>1</v>
      </c>
      <c r="F1056" s="8">
        <v>5.56</v>
      </c>
      <c r="G1056" s="4">
        <v>0</v>
      </c>
      <c r="H1056" s="8">
        <v>0</v>
      </c>
      <c r="I1056" s="4">
        <v>0</v>
      </c>
    </row>
    <row r="1057" spans="1:9" x14ac:dyDescent="0.2">
      <c r="A1057" s="1"/>
      <c r="C1057" s="4"/>
      <c r="D1057" s="8"/>
      <c r="E1057" s="4"/>
      <c r="F1057" s="8"/>
      <c r="G1057" s="4"/>
      <c r="H1057" s="8"/>
      <c r="I1057" s="4"/>
    </row>
    <row r="1058" spans="1:9" x14ac:dyDescent="0.2">
      <c r="A1058" s="1" t="s">
        <v>45</v>
      </c>
      <c r="C1058" s="4"/>
      <c r="D1058" s="8"/>
      <c r="E1058" s="4"/>
      <c r="F1058" s="8"/>
      <c r="G1058" s="4"/>
      <c r="H1058" s="8"/>
      <c r="I1058" s="4"/>
    </row>
    <row r="1059" spans="1:9" x14ac:dyDescent="0.2">
      <c r="A1059" s="2">
        <v>1</v>
      </c>
      <c r="B1059" s="1" t="s">
        <v>110</v>
      </c>
      <c r="C1059" s="4">
        <v>4</v>
      </c>
      <c r="D1059" s="8">
        <v>11.43</v>
      </c>
      <c r="E1059" s="4">
        <v>3</v>
      </c>
      <c r="F1059" s="8">
        <v>13.04</v>
      </c>
      <c r="G1059" s="4">
        <v>1</v>
      </c>
      <c r="H1059" s="8">
        <v>9.09</v>
      </c>
      <c r="I1059" s="4">
        <v>0</v>
      </c>
    </row>
    <row r="1060" spans="1:9" x14ac:dyDescent="0.2">
      <c r="A1060" s="2">
        <v>1</v>
      </c>
      <c r="B1060" s="1" t="s">
        <v>115</v>
      </c>
      <c r="C1060" s="4">
        <v>4</v>
      </c>
      <c r="D1060" s="8">
        <v>11.43</v>
      </c>
      <c r="E1060" s="4">
        <v>4</v>
      </c>
      <c r="F1060" s="8">
        <v>17.39</v>
      </c>
      <c r="G1060" s="4">
        <v>0</v>
      </c>
      <c r="H1060" s="8">
        <v>0</v>
      </c>
      <c r="I1060" s="4">
        <v>0</v>
      </c>
    </row>
    <row r="1061" spans="1:9" x14ac:dyDescent="0.2">
      <c r="A1061" s="2">
        <v>3</v>
      </c>
      <c r="B1061" s="1" t="s">
        <v>101</v>
      </c>
      <c r="C1061" s="4">
        <v>3</v>
      </c>
      <c r="D1061" s="8">
        <v>8.57</v>
      </c>
      <c r="E1061" s="4">
        <v>1</v>
      </c>
      <c r="F1061" s="8">
        <v>4.3499999999999996</v>
      </c>
      <c r="G1061" s="4">
        <v>2</v>
      </c>
      <c r="H1061" s="8">
        <v>18.18</v>
      </c>
      <c r="I1061" s="4">
        <v>0</v>
      </c>
    </row>
    <row r="1062" spans="1:9" x14ac:dyDescent="0.2">
      <c r="A1062" s="2">
        <v>3</v>
      </c>
      <c r="B1062" s="1" t="s">
        <v>108</v>
      </c>
      <c r="C1062" s="4">
        <v>3</v>
      </c>
      <c r="D1062" s="8">
        <v>8.57</v>
      </c>
      <c r="E1062" s="4">
        <v>3</v>
      </c>
      <c r="F1062" s="8">
        <v>13.04</v>
      </c>
      <c r="G1062" s="4">
        <v>0</v>
      </c>
      <c r="H1062" s="8">
        <v>0</v>
      </c>
      <c r="I1062" s="4">
        <v>0</v>
      </c>
    </row>
    <row r="1063" spans="1:9" x14ac:dyDescent="0.2">
      <c r="A1063" s="2">
        <v>3</v>
      </c>
      <c r="B1063" s="1" t="s">
        <v>109</v>
      </c>
      <c r="C1063" s="4">
        <v>3</v>
      </c>
      <c r="D1063" s="8">
        <v>8.57</v>
      </c>
      <c r="E1063" s="4">
        <v>2</v>
      </c>
      <c r="F1063" s="8">
        <v>8.6999999999999993</v>
      </c>
      <c r="G1063" s="4">
        <v>1</v>
      </c>
      <c r="H1063" s="8">
        <v>9.09</v>
      </c>
      <c r="I1063" s="4">
        <v>0</v>
      </c>
    </row>
    <row r="1064" spans="1:9" x14ac:dyDescent="0.2">
      <c r="A1064" s="2">
        <v>3</v>
      </c>
      <c r="B1064" s="1" t="s">
        <v>116</v>
      </c>
      <c r="C1064" s="4">
        <v>3</v>
      </c>
      <c r="D1064" s="8">
        <v>8.57</v>
      </c>
      <c r="E1064" s="4">
        <v>3</v>
      </c>
      <c r="F1064" s="8">
        <v>13.04</v>
      </c>
      <c r="G1064" s="4">
        <v>0</v>
      </c>
      <c r="H1064" s="8">
        <v>0</v>
      </c>
      <c r="I1064" s="4">
        <v>0</v>
      </c>
    </row>
    <row r="1065" spans="1:9" x14ac:dyDescent="0.2">
      <c r="A1065" s="2">
        <v>3</v>
      </c>
      <c r="B1065" s="1" t="s">
        <v>119</v>
      </c>
      <c r="C1065" s="4">
        <v>3</v>
      </c>
      <c r="D1065" s="8">
        <v>8.57</v>
      </c>
      <c r="E1065" s="4">
        <v>0</v>
      </c>
      <c r="F1065" s="8">
        <v>0</v>
      </c>
      <c r="G1065" s="4">
        <v>3</v>
      </c>
      <c r="H1065" s="8">
        <v>27.27</v>
      </c>
      <c r="I1065" s="4">
        <v>0</v>
      </c>
    </row>
    <row r="1066" spans="1:9" x14ac:dyDescent="0.2">
      <c r="A1066" s="2">
        <v>8</v>
      </c>
      <c r="B1066" s="1" t="s">
        <v>102</v>
      </c>
      <c r="C1066" s="4">
        <v>2</v>
      </c>
      <c r="D1066" s="8">
        <v>5.71</v>
      </c>
      <c r="E1066" s="4">
        <v>2</v>
      </c>
      <c r="F1066" s="8">
        <v>8.6999999999999993</v>
      </c>
      <c r="G1066" s="4">
        <v>0</v>
      </c>
      <c r="H1066" s="8">
        <v>0</v>
      </c>
      <c r="I1066" s="4">
        <v>0</v>
      </c>
    </row>
    <row r="1067" spans="1:9" x14ac:dyDescent="0.2">
      <c r="A1067" s="2">
        <v>8</v>
      </c>
      <c r="B1067" s="1" t="s">
        <v>127</v>
      </c>
      <c r="C1067" s="4">
        <v>2</v>
      </c>
      <c r="D1067" s="8">
        <v>5.71</v>
      </c>
      <c r="E1067" s="4">
        <v>0</v>
      </c>
      <c r="F1067" s="8">
        <v>0</v>
      </c>
      <c r="G1067" s="4">
        <v>2</v>
      </c>
      <c r="H1067" s="8">
        <v>18.18</v>
      </c>
      <c r="I1067" s="4">
        <v>0</v>
      </c>
    </row>
    <row r="1068" spans="1:9" x14ac:dyDescent="0.2">
      <c r="A1068" s="2">
        <v>10</v>
      </c>
      <c r="B1068" s="1" t="s">
        <v>142</v>
      </c>
      <c r="C1068" s="4">
        <v>1</v>
      </c>
      <c r="D1068" s="8">
        <v>2.86</v>
      </c>
      <c r="E1068" s="4">
        <v>0</v>
      </c>
      <c r="F1068" s="8">
        <v>0</v>
      </c>
      <c r="G1068" s="4">
        <v>0</v>
      </c>
      <c r="H1068" s="8">
        <v>0</v>
      </c>
      <c r="I1068" s="4">
        <v>1</v>
      </c>
    </row>
    <row r="1069" spans="1:9" x14ac:dyDescent="0.2">
      <c r="A1069" s="2">
        <v>10</v>
      </c>
      <c r="B1069" s="1" t="s">
        <v>159</v>
      </c>
      <c r="C1069" s="4">
        <v>1</v>
      </c>
      <c r="D1069" s="8">
        <v>2.86</v>
      </c>
      <c r="E1069" s="4">
        <v>0</v>
      </c>
      <c r="F1069" s="8">
        <v>0</v>
      </c>
      <c r="G1069" s="4">
        <v>1</v>
      </c>
      <c r="H1069" s="8">
        <v>9.09</v>
      </c>
      <c r="I1069" s="4">
        <v>0</v>
      </c>
    </row>
    <row r="1070" spans="1:9" x14ac:dyDescent="0.2">
      <c r="A1070" s="2">
        <v>10</v>
      </c>
      <c r="B1070" s="1" t="s">
        <v>125</v>
      </c>
      <c r="C1070" s="4">
        <v>1</v>
      </c>
      <c r="D1070" s="8">
        <v>2.86</v>
      </c>
      <c r="E1070" s="4">
        <v>1</v>
      </c>
      <c r="F1070" s="8">
        <v>4.3499999999999996</v>
      </c>
      <c r="G1070" s="4">
        <v>0</v>
      </c>
      <c r="H1070" s="8">
        <v>0</v>
      </c>
      <c r="I1070" s="4">
        <v>0</v>
      </c>
    </row>
    <row r="1071" spans="1:9" x14ac:dyDescent="0.2">
      <c r="A1071" s="2">
        <v>10</v>
      </c>
      <c r="B1071" s="1" t="s">
        <v>111</v>
      </c>
      <c r="C1071" s="4">
        <v>1</v>
      </c>
      <c r="D1071" s="8">
        <v>2.86</v>
      </c>
      <c r="E1071" s="4">
        <v>1</v>
      </c>
      <c r="F1071" s="8">
        <v>4.3499999999999996</v>
      </c>
      <c r="G1071" s="4">
        <v>0</v>
      </c>
      <c r="H1071" s="8">
        <v>0</v>
      </c>
      <c r="I1071" s="4">
        <v>0</v>
      </c>
    </row>
    <row r="1072" spans="1:9" x14ac:dyDescent="0.2">
      <c r="A1072" s="2">
        <v>10</v>
      </c>
      <c r="B1072" s="1" t="s">
        <v>164</v>
      </c>
      <c r="C1072" s="4">
        <v>1</v>
      </c>
      <c r="D1072" s="8">
        <v>2.86</v>
      </c>
      <c r="E1072" s="4">
        <v>1</v>
      </c>
      <c r="F1072" s="8">
        <v>4.3499999999999996</v>
      </c>
      <c r="G1072" s="4">
        <v>0</v>
      </c>
      <c r="H1072" s="8">
        <v>0</v>
      </c>
      <c r="I1072" s="4">
        <v>0</v>
      </c>
    </row>
    <row r="1073" spans="1:9" x14ac:dyDescent="0.2">
      <c r="A1073" s="2">
        <v>10</v>
      </c>
      <c r="B1073" s="1" t="s">
        <v>117</v>
      </c>
      <c r="C1073" s="4">
        <v>1</v>
      </c>
      <c r="D1073" s="8">
        <v>2.86</v>
      </c>
      <c r="E1073" s="4">
        <v>0</v>
      </c>
      <c r="F1073" s="8">
        <v>0</v>
      </c>
      <c r="G1073" s="4">
        <v>1</v>
      </c>
      <c r="H1073" s="8">
        <v>9.09</v>
      </c>
      <c r="I1073" s="4">
        <v>0</v>
      </c>
    </row>
    <row r="1074" spans="1:9" x14ac:dyDescent="0.2">
      <c r="A1074" s="2">
        <v>10</v>
      </c>
      <c r="B1074" s="1" t="s">
        <v>118</v>
      </c>
      <c r="C1074" s="4">
        <v>1</v>
      </c>
      <c r="D1074" s="8">
        <v>2.86</v>
      </c>
      <c r="E1074" s="4">
        <v>1</v>
      </c>
      <c r="F1074" s="8">
        <v>4.3499999999999996</v>
      </c>
      <c r="G1074" s="4">
        <v>0</v>
      </c>
      <c r="H1074" s="8">
        <v>0</v>
      </c>
      <c r="I1074" s="4">
        <v>0</v>
      </c>
    </row>
    <row r="1075" spans="1:9" x14ac:dyDescent="0.2">
      <c r="A1075" s="2">
        <v>10</v>
      </c>
      <c r="B1075" s="1" t="s">
        <v>120</v>
      </c>
      <c r="C1075" s="4">
        <v>1</v>
      </c>
      <c r="D1075" s="8">
        <v>2.86</v>
      </c>
      <c r="E1075" s="4">
        <v>1</v>
      </c>
      <c r="F1075" s="8">
        <v>4.3499999999999996</v>
      </c>
      <c r="G1075" s="4">
        <v>0</v>
      </c>
      <c r="H1075" s="8">
        <v>0</v>
      </c>
      <c r="I1075" s="4">
        <v>0</v>
      </c>
    </row>
    <row r="1076" spans="1:9" x14ac:dyDescent="0.2">
      <c r="A1076" s="1"/>
      <c r="C1076" s="4"/>
      <c r="D1076" s="8"/>
      <c r="E1076" s="4"/>
      <c r="F1076" s="8"/>
      <c r="G1076" s="4"/>
      <c r="H1076" s="8"/>
      <c r="I1076" s="4"/>
    </row>
    <row r="1077" spans="1:9" x14ac:dyDescent="0.2">
      <c r="A1077" s="1" t="s">
        <v>46</v>
      </c>
      <c r="C1077" s="4"/>
      <c r="D1077" s="8"/>
      <c r="E1077" s="4"/>
      <c r="F1077" s="8"/>
      <c r="G1077" s="4"/>
      <c r="H1077" s="8"/>
      <c r="I1077" s="4"/>
    </row>
    <row r="1078" spans="1:9" x14ac:dyDescent="0.2">
      <c r="A1078" s="2">
        <v>1</v>
      </c>
      <c r="B1078" s="1" t="s">
        <v>101</v>
      </c>
      <c r="C1078" s="4">
        <v>18</v>
      </c>
      <c r="D1078" s="8">
        <v>16.98</v>
      </c>
      <c r="E1078" s="4">
        <v>11</v>
      </c>
      <c r="F1078" s="8">
        <v>14.86</v>
      </c>
      <c r="G1078" s="4">
        <v>7</v>
      </c>
      <c r="H1078" s="8">
        <v>25.93</v>
      </c>
      <c r="I1078" s="4">
        <v>0</v>
      </c>
    </row>
    <row r="1079" spans="1:9" x14ac:dyDescent="0.2">
      <c r="A1079" s="2">
        <v>2</v>
      </c>
      <c r="B1079" s="1" t="s">
        <v>110</v>
      </c>
      <c r="C1079" s="4">
        <v>12</v>
      </c>
      <c r="D1079" s="8">
        <v>11.32</v>
      </c>
      <c r="E1079" s="4">
        <v>9</v>
      </c>
      <c r="F1079" s="8">
        <v>12.16</v>
      </c>
      <c r="G1079" s="4">
        <v>3</v>
      </c>
      <c r="H1079" s="8">
        <v>11.11</v>
      </c>
      <c r="I1079" s="4">
        <v>0</v>
      </c>
    </row>
    <row r="1080" spans="1:9" x14ac:dyDescent="0.2">
      <c r="A1080" s="2">
        <v>3</v>
      </c>
      <c r="B1080" s="1" t="s">
        <v>102</v>
      </c>
      <c r="C1080" s="4">
        <v>10</v>
      </c>
      <c r="D1080" s="8">
        <v>9.43</v>
      </c>
      <c r="E1080" s="4">
        <v>9</v>
      </c>
      <c r="F1080" s="8">
        <v>12.16</v>
      </c>
      <c r="G1080" s="4">
        <v>1</v>
      </c>
      <c r="H1080" s="8">
        <v>3.7</v>
      </c>
      <c r="I1080" s="4">
        <v>0</v>
      </c>
    </row>
    <row r="1081" spans="1:9" x14ac:dyDescent="0.2">
      <c r="A1081" s="2">
        <v>4</v>
      </c>
      <c r="B1081" s="1" t="s">
        <v>109</v>
      </c>
      <c r="C1081" s="4">
        <v>7</v>
      </c>
      <c r="D1081" s="8">
        <v>6.6</v>
      </c>
      <c r="E1081" s="4">
        <v>6</v>
      </c>
      <c r="F1081" s="8">
        <v>8.11</v>
      </c>
      <c r="G1081" s="4">
        <v>1</v>
      </c>
      <c r="H1081" s="8">
        <v>3.7</v>
      </c>
      <c r="I1081" s="4">
        <v>0</v>
      </c>
    </row>
    <row r="1082" spans="1:9" x14ac:dyDescent="0.2">
      <c r="A1082" s="2">
        <v>4</v>
      </c>
      <c r="B1082" s="1" t="s">
        <v>116</v>
      </c>
      <c r="C1082" s="4">
        <v>7</v>
      </c>
      <c r="D1082" s="8">
        <v>6.6</v>
      </c>
      <c r="E1082" s="4">
        <v>6</v>
      </c>
      <c r="F1082" s="8">
        <v>8.11</v>
      </c>
      <c r="G1082" s="4">
        <v>0</v>
      </c>
      <c r="H1082" s="8">
        <v>0</v>
      </c>
      <c r="I1082" s="4">
        <v>0</v>
      </c>
    </row>
    <row r="1083" spans="1:9" x14ac:dyDescent="0.2">
      <c r="A1083" s="2">
        <v>6</v>
      </c>
      <c r="B1083" s="1" t="s">
        <v>115</v>
      </c>
      <c r="C1083" s="4">
        <v>6</v>
      </c>
      <c r="D1083" s="8">
        <v>5.66</v>
      </c>
      <c r="E1083" s="4">
        <v>5</v>
      </c>
      <c r="F1083" s="8">
        <v>6.76</v>
      </c>
      <c r="G1083" s="4">
        <v>1</v>
      </c>
      <c r="H1083" s="8">
        <v>3.7</v>
      </c>
      <c r="I1083" s="4">
        <v>0</v>
      </c>
    </row>
    <row r="1084" spans="1:9" x14ac:dyDescent="0.2">
      <c r="A1084" s="2">
        <v>7</v>
      </c>
      <c r="B1084" s="1" t="s">
        <v>108</v>
      </c>
      <c r="C1084" s="4">
        <v>5</v>
      </c>
      <c r="D1084" s="8">
        <v>4.72</v>
      </c>
      <c r="E1084" s="4">
        <v>3</v>
      </c>
      <c r="F1084" s="8">
        <v>4.05</v>
      </c>
      <c r="G1084" s="4">
        <v>2</v>
      </c>
      <c r="H1084" s="8">
        <v>7.41</v>
      </c>
      <c r="I1084" s="4">
        <v>0</v>
      </c>
    </row>
    <row r="1085" spans="1:9" x14ac:dyDescent="0.2">
      <c r="A1085" s="2">
        <v>8</v>
      </c>
      <c r="B1085" s="1" t="s">
        <v>117</v>
      </c>
      <c r="C1085" s="4">
        <v>4</v>
      </c>
      <c r="D1085" s="8">
        <v>3.77</v>
      </c>
      <c r="E1085" s="4">
        <v>2</v>
      </c>
      <c r="F1085" s="8">
        <v>2.7</v>
      </c>
      <c r="G1085" s="4">
        <v>1</v>
      </c>
      <c r="H1085" s="8">
        <v>3.7</v>
      </c>
      <c r="I1085" s="4">
        <v>0</v>
      </c>
    </row>
    <row r="1086" spans="1:9" x14ac:dyDescent="0.2">
      <c r="A1086" s="2">
        <v>8</v>
      </c>
      <c r="B1086" s="1" t="s">
        <v>118</v>
      </c>
      <c r="C1086" s="4">
        <v>4</v>
      </c>
      <c r="D1086" s="8">
        <v>3.77</v>
      </c>
      <c r="E1086" s="4">
        <v>4</v>
      </c>
      <c r="F1086" s="8">
        <v>5.41</v>
      </c>
      <c r="G1086" s="4">
        <v>0</v>
      </c>
      <c r="H1086" s="8">
        <v>0</v>
      </c>
      <c r="I1086" s="4">
        <v>0</v>
      </c>
    </row>
    <row r="1087" spans="1:9" x14ac:dyDescent="0.2">
      <c r="A1087" s="2">
        <v>10</v>
      </c>
      <c r="B1087" s="1" t="s">
        <v>103</v>
      </c>
      <c r="C1087" s="4">
        <v>3</v>
      </c>
      <c r="D1087" s="8">
        <v>2.83</v>
      </c>
      <c r="E1087" s="4">
        <v>1</v>
      </c>
      <c r="F1087" s="8">
        <v>1.35</v>
      </c>
      <c r="G1087" s="4">
        <v>2</v>
      </c>
      <c r="H1087" s="8">
        <v>7.41</v>
      </c>
      <c r="I1087" s="4">
        <v>0</v>
      </c>
    </row>
    <row r="1088" spans="1:9" x14ac:dyDescent="0.2">
      <c r="A1088" s="2">
        <v>10</v>
      </c>
      <c r="B1088" s="1" t="s">
        <v>144</v>
      </c>
      <c r="C1088" s="4">
        <v>3</v>
      </c>
      <c r="D1088" s="8">
        <v>2.83</v>
      </c>
      <c r="E1088" s="4">
        <v>2</v>
      </c>
      <c r="F1088" s="8">
        <v>2.7</v>
      </c>
      <c r="G1088" s="4">
        <v>1</v>
      </c>
      <c r="H1088" s="8">
        <v>3.7</v>
      </c>
      <c r="I1088" s="4">
        <v>0</v>
      </c>
    </row>
    <row r="1089" spans="1:9" x14ac:dyDescent="0.2">
      <c r="A1089" s="2">
        <v>10</v>
      </c>
      <c r="B1089" s="1" t="s">
        <v>122</v>
      </c>
      <c r="C1089" s="4">
        <v>3</v>
      </c>
      <c r="D1089" s="8">
        <v>2.83</v>
      </c>
      <c r="E1089" s="4">
        <v>2</v>
      </c>
      <c r="F1089" s="8">
        <v>2.7</v>
      </c>
      <c r="G1089" s="4">
        <v>1</v>
      </c>
      <c r="H1089" s="8">
        <v>3.7</v>
      </c>
      <c r="I1089" s="4">
        <v>0</v>
      </c>
    </row>
    <row r="1090" spans="1:9" x14ac:dyDescent="0.2">
      <c r="A1090" s="2">
        <v>10</v>
      </c>
      <c r="B1090" s="1" t="s">
        <v>112</v>
      </c>
      <c r="C1090" s="4">
        <v>3</v>
      </c>
      <c r="D1090" s="8">
        <v>2.83</v>
      </c>
      <c r="E1090" s="4">
        <v>2</v>
      </c>
      <c r="F1090" s="8">
        <v>2.7</v>
      </c>
      <c r="G1090" s="4">
        <v>1</v>
      </c>
      <c r="H1090" s="8">
        <v>3.7</v>
      </c>
      <c r="I1090" s="4">
        <v>0</v>
      </c>
    </row>
    <row r="1091" spans="1:9" x14ac:dyDescent="0.2">
      <c r="A1091" s="2">
        <v>14</v>
      </c>
      <c r="B1091" s="1" t="s">
        <v>130</v>
      </c>
      <c r="C1091" s="4">
        <v>2</v>
      </c>
      <c r="D1091" s="8">
        <v>1.89</v>
      </c>
      <c r="E1091" s="4">
        <v>2</v>
      </c>
      <c r="F1091" s="8">
        <v>2.7</v>
      </c>
      <c r="G1091" s="4">
        <v>0</v>
      </c>
      <c r="H1091" s="8">
        <v>0</v>
      </c>
      <c r="I1091" s="4">
        <v>0</v>
      </c>
    </row>
    <row r="1092" spans="1:9" x14ac:dyDescent="0.2">
      <c r="A1092" s="2">
        <v>14</v>
      </c>
      <c r="B1092" s="1" t="s">
        <v>120</v>
      </c>
      <c r="C1092" s="4">
        <v>2</v>
      </c>
      <c r="D1092" s="8">
        <v>1.89</v>
      </c>
      <c r="E1092" s="4">
        <v>1</v>
      </c>
      <c r="F1092" s="8">
        <v>1.35</v>
      </c>
      <c r="G1092" s="4">
        <v>1</v>
      </c>
      <c r="H1092" s="8">
        <v>3.7</v>
      </c>
      <c r="I1092" s="4">
        <v>0</v>
      </c>
    </row>
    <row r="1093" spans="1:9" x14ac:dyDescent="0.2">
      <c r="A1093" s="2">
        <v>16</v>
      </c>
      <c r="B1093" s="1" t="s">
        <v>149</v>
      </c>
      <c r="C1093" s="4">
        <v>1</v>
      </c>
      <c r="D1093" s="8">
        <v>0.94</v>
      </c>
      <c r="E1093" s="4">
        <v>0</v>
      </c>
      <c r="F1093" s="8">
        <v>0</v>
      </c>
      <c r="G1093" s="4">
        <v>1</v>
      </c>
      <c r="H1093" s="8">
        <v>3.7</v>
      </c>
      <c r="I1093" s="4">
        <v>0</v>
      </c>
    </row>
    <row r="1094" spans="1:9" x14ac:dyDescent="0.2">
      <c r="A1094" s="2">
        <v>16</v>
      </c>
      <c r="B1094" s="1" t="s">
        <v>127</v>
      </c>
      <c r="C1094" s="4">
        <v>1</v>
      </c>
      <c r="D1094" s="8">
        <v>0.94</v>
      </c>
      <c r="E1094" s="4">
        <v>0</v>
      </c>
      <c r="F1094" s="8">
        <v>0</v>
      </c>
      <c r="G1094" s="4">
        <v>1</v>
      </c>
      <c r="H1094" s="8">
        <v>3.7</v>
      </c>
      <c r="I1094" s="4">
        <v>0</v>
      </c>
    </row>
    <row r="1095" spans="1:9" x14ac:dyDescent="0.2">
      <c r="A1095" s="2">
        <v>16</v>
      </c>
      <c r="B1095" s="1" t="s">
        <v>142</v>
      </c>
      <c r="C1095" s="4">
        <v>1</v>
      </c>
      <c r="D1095" s="8">
        <v>0.94</v>
      </c>
      <c r="E1095" s="4">
        <v>0</v>
      </c>
      <c r="F1095" s="8">
        <v>0</v>
      </c>
      <c r="G1095" s="4">
        <v>1</v>
      </c>
      <c r="H1095" s="8">
        <v>3.7</v>
      </c>
      <c r="I1095" s="4">
        <v>0</v>
      </c>
    </row>
    <row r="1096" spans="1:9" x14ac:dyDescent="0.2">
      <c r="A1096" s="2">
        <v>16</v>
      </c>
      <c r="B1096" s="1" t="s">
        <v>156</v>
      </c>
      <c r="C1096" s="4">
        <v>1</v>
      </c>
      <c r="D1096" s="8">
        <v>0.94</v>
      </c>
      <c r="E1096" s="4">
        <v>0</v>
      </c>
      <c r="F1096" s="8">
        <v>0</v>
      </c>
      <c r="G1096" s="4">
        <v>1</v>
      </c>
      <c r="H1096" s="8">
        <v>3.7</v>
      </c>
      <c r="I1096" s="4">
        <v>0</v>
      </c>
    </row>
    <row r="1097" spans="1:9" x14ac:dyDescent="0.2">
      <c r="A1097" s="2">
        <v>16</v>
      </c>
      <c r="B1097" s="1" t="s">
        <v>159</v>
      </c>
      <c r="C1097" s="4">
        <v>1</v>
      </c>
      <c r="D1097" s="8">
        <v>0.94</v>
      </c>
      <c r="E1097" s="4">
        <v>1</v>
      </c>
      <c r="F1097" s="8">
        <v>1.35</v>
      </c>
      <c r="G1097" s="4">
        <v>0</v>
      </c>
      <c r="H1097" s="8">
        <v>0</v>
      </c>
      <c r="I1097" s="4">
        <v>0</v>
      </c>
    </row>
    <row r="1098" spans="1:9" x14ac:dyDescent="0.2">
      <c r="A1098" s="2">
        <v>16</v>
      </c>
      <c r="B1098" s="1" t="s">
        <v>165</v>
      </c>
      <c r="C1098" s="4">
        <v>1</v>
      </c>
      <c r="D1098" s="8">
        <v>0.94</v>
      </c>
      <c r="E1098" s="4">
        <v>1</v>
      </c>
      <c r="F1098" s="8">
        <v>1.35</v>
      </c>
      <c r="G1098" s="4">
        <v>0</v>
      </c>
      <c r="H1098" s="8">
        <v>0</v>
      </c>
      <c r="I1098" s="4">
        <v>0</v>
      </c>
    </row>
    <row r="1099" spans="1:9" x14ac:dyDescent="0.2">
      <c r="A1099" s="2">
        <v>16</v>
      </c>
      <c r="B1099" s="1" t="s">
        <v>140</v>
      </c>
      <c r="C1099" s="4">
        <v>1</v>
      </c>
      <c r="D1099" s="8">
        <v>0.94</v>
      </c>
      <c r="E1099" s="4">
        <v>1</v>
      </c>
      <c r="F1099" s="8">
        <v>1.35</v>
      </c>
      <c r="G1099" s="4">
        <v>0</v>
      </c>
      <c r="H1099" s="8">
        <v>0</v>
      </c>
      <c r="I1099" s="4">
        <v>0</v>
      </c>
    </row>
    <row r="1100" spans="1:9" x14ac:dyDescent="0.2">
      <c r="A1100" s="2">
        <v>16</v>
      </c>
      <c r="B1100" s="1" t="s">
        <v>145</v>
      </c>
      <c r="C1100" s="4">
        <v>1</v>
      </c>
      <c r="D1100" s="8">
        <v>0.94</v>
      </c>
      <c r="E1100" s="4">
        <v>1</v>
      </c>
      <c r="F1100" s="8">
        <v>1.35</v>
      </c>
      <c r="G1100" s="4">
        <v>0</v>
      </c>
      <c r="H1100" s="8">
        <v>0</v>
      </c>
      <c r="I1100" s="4">
        <v>0</v>
      </c>
    </row>
    <row r="1101" spans="1:9" x14ac:dyDescent="0.2">
      <c r="A1101" s="2">
        <v>16</v>
      </c>
      <c r="B1101" s="1" t="s">
        <v>166</v>
      </c>
      <c r="C1101" s="4">
        <v>1</v>
      </c>
      <c r="D1101" s="8">
        <v>0.94</v>
      </c>
      <c r="E1101" s="4">
        <v>1</v>
      </c>
      <c r="F1101" s="8">
        <v>1.35</v>
      </c>
      <c r="G1101" s="4">
        <v>0</v>
      </c>
      <c r="H1101" s="8">
        <v>0</v>
      </c>
      <c r="I1101" s="4">
        <v>0</v>
      </c>
    </row>
    <row r="1102" spans="1:9" x14ac:dyDescent="0.2">
      <c r="A1102" s="2">
        <v>16</v>
      </c>
      <c r="B1102" s="1" t="s">
        <v>107</v>
      </c>
      <c r="C1102" s="4">
        <v>1</v>
      </c>
      <c r="D1102" s="8">
        <v>0.94</v>
      </c>
      <c r="E1102" s="4">
        <v>1</v>
      </c>
      <c r="F1102" s="8">
        <v>1.35</v>
      </c>
      <c r="G1102" s="4">
        <v>0</v>
      </c>
      <c r="H1102" s="8">
        <v>0</v>
      </c>
      <c r="I1102" s="4">
        <v>0</v>
      </c>
    </row>
    <row r="1103" spans="1:9" x14ac:dyDescent="0.2">
      <c r="A1103" s="2">
        <v>16</v>
      </c>
      <c r="B1103" s="1" t="s">
        <v>153</v>
      </c>
      <c r="C1103" s="4">
        <v>1</v>
      </c>
      <c r="D1103" s="8">
        <v>0.94</v>
      </c>
      <c r="E1103" s="4">
        <v>1</v>
      </c>
      <c r="F1103" s="8">
        <v>1.35</v>
      </c>
      <c r="G1103" s="4">
        <v>0</v>
      </c>
      <c r="H1103" s="8">
        <v>0</v>
      </c>
      <c r="I1103" s="4">
        <v>0</v>
      </c>
    </row>
    <row r="1104" spans="1:9" x14ac:dyDescent="0.2">
      <c r="A1104" s="2">
        <v>16</v>
      </c>
      <c r="B1104" s="1" t="s">
        <v>113</v>
      </c>
      <c r="C1104" s="4">
        <v>1</v>
      </c>
      <c r="D1104" s="8">
        <v>0.94</v>
      </c>
      <c r="E1104" s="4">
        <v>0</v>
      </c>
      <c r="F1104" s="8">
        <v>0</v>
      </c>
      <c r="G1104" s="4">
        <v>1</v>
      </c>
      <c r="H1104" s="8">
        <v>3.7</v>
      </c>
      <c r="I1104" s="4">
        <v>0</v>
      </c>
    </row>
    <row r="1105" spans="1:9" x14ac:dyDescent="0.2">
      <c r="A1105" s="2">
        <v>16</v>
      </c>
      <c r="B1105" s="1" t="s">
        <v>114</v>
      </c>
      <c r="C1105" s="4">
        <v>1</v>
      </c>
      <c r="D1105" s="8">
        <v>0.94</v>
      </c>
      <c r="E1105" s="4">
        <v>1</v>
      </c>
      <c r="F1105" s="8">
        <v>1.35</v>
      </c>
      <c r="G1105" s="4">
        <v>0</v>
      </c>
      <c r="H1105" s="8">
        <v>0</v>
      </c>
      <c r="I1105" s="4">
        <v>0</v>
      </c>
    </row>
    <row r="1106" spans="1:9" x14ac:dyDescent="0.2">
      <c r="A1106" s="2">
        <v>16</v>
      </c>
      <c r="B1106" s="1" t="s">
        <v>129</v>
      </c>
      <c r="C1106" s="4">
        <v>1</v>
      </c>
      <c r="D1106" s="8">
        <v>0.94</v>
      </c>
      <c r="E1106" s="4">
        <v>0</v>
      </c>
      <c r="F1106" s="8">
        <v>0</v>
      </c>
      <c r="G1106" s="4">
        <v>0</v>
      </c>
      <c r="H1106" s="8">
        <v>0</v>
      </c>
      <c r="I1106" s="4">
        <v>0</v>
      </c>
    </row>
    <row r="1107" spans="1:9" x14ac:dyDescent="0.2">
      <c r="A1107" s="2">
        <v>16</v>
      </c>
      <c r="B1107" s="1" t="s">
        <v>131</v>
      </c>
      <c r="C1107" s="4">
        <v>1</v>
      </c>
      <c r="D1107" s="8">
        <v>0.94</v>
      </c>
      <c r="E1107" s="4">
        <v>1</v>
      </c>
      <c r="F1107" s="8">
        <v>1.35</v>
      </c>
      <c r="G1107" s="4">
        <v>0</v>
      </c>
      <c r="H1107" s="8">
        <v>0</v>
      </c>
      <c r="I1107" s="4">
        <v>0</v>
      </c>
    </row>
    <row r="1108" spans="1:9" x14ac:dyDescent="0.2">
      <c r="A1108" s="2">
        <v>16</v>
      </c>
      <c r="B1108" s="1" t="s">
        <v>132</v>
      </c>
      <c r="C1108" s="4">
        <v>1</v>
      </c>
      <c r="D1108" s="8">
        <v>0.94</v>
      </c>
      <c r="E1108" s="4">
        <v>0</v>
      </c>
      <c r="F1108" s="8">
        <v>0</v>
      </c>
      <c r="G1108" s="4">
        <v>0</v>
      </c>
      <c r="H1108" s="8">
        <v>0</v>
      </c>
      <c r="I1108" s="4">
        <v>0</v>
      </c>
    </row>
    <row r="1109" spans="1:9" x14ac:dyDescent="0.2">
      <c r="A1109" s="2">
        <v>16</v>
      </c>
      <c r="B1109" s="1" t="s">
        <v>119</v>
      </c>
      <c r="C1109" s="4">
        <v>1</v>
      </c>
      <c r="D1109" s="8">
        <v>0.94</v>
      </c>
      <c r="E1109" s="4">
        <v>0</v>
      </c>
      <c r="F1109" s="8">
        <v>0</v>
      </c>
      <c r="G1109" s="4">
        <v>0</v>
      </c>
      <c r="H1109" s="8">
        <v>0</v>
      </c>
      <c r="I1109" s="4">
        <v>0</v>
      </c>
    </row>
    <row r="1110" spans="1:9" x14ac:dyDescent="0.2">
      <c r="A1110" s="1"/>
      <c r="C1110" s="4"/>
      <c r="D1110" s="8"/>
      <c r="E1110" s="4"/>
      <c r="F1110" s="8"/>
      <c r="G1110" s="4"/>
      <c r="H1110" s="8"/>
      <c r="I1110" s="4"/>
    </row>
    <row r="1111" spans="1:9" x14ac:dyDescent="0.2">
      <c r="A1111" s="1" t="s">
        <v>47</v>
      </c>
      <c r="C1111" s="4"/>
      <c r="D1111" s="8"/>
      <c r="E1111" s="4"/>
      <c r="F1111" s="8"/>
      <c r="G1111" s="4"/>
      <c r="H1111" s="8"/>
      <c r="I1111" s="4"/>
    </row>
    <row r="1112" spans="1:9" x14ac:dyDescent="0.2">
      <c r="A1112" s="2">
        <v>1</v>
      </c>
      <c r="B1112" s="1" t="s">
        <v>108</v>
      </c>
      <c r="C1112" s="4">
        <v>4</v>
      </c>
      <c r="D1112" s="8">
        <v>16.670000000000002</v>
      </c>
      <c r="E1112" s="4">
        <v>4</v>
      </c>
      <c r="F1112" s="8">
        <v>25</v>
      </c>
      <c r="G1112" s="4">
        <v>0</v>
      </c>
      <c r="H1112" s="8">
        <v>0</v>
      </c>
      <c r="I1112" s="4">
        <v>0</v>
      </c>
    </row>
    <row r="1113" spans="1:9" x14ac:dyDescent="0.2">
      <c r="A1113" s="2">
        <v>2</v>
      </c>
      <c r="B1113" s="1" t="s">
        <v>110</v>
      </c>
      <c r="C1113" s="4">
        <v>3</v>
      </c>
      <c r="D1113" s="8">
        <v>12.5</v>
      </c>
      <c r="E1113" s="4">
        <v>2</v>
      </c>
      <c r="F1113" s="8">
        <v>12.5</v>
      </c>
      <c r="G1113" s="4">
        <v>0</v>
      </c>
      <c r="H1113" s="8">
        <v>0</v>
      </c>
      <c r="I1113" s="4">
        <v>1</v>
      </c>
    </row>
    <row r="1114" spans="1:9" x14ac:dyDescent="0.2">
      <c r="A1114" s="2">
        <v>2</v>
      </c>
      <c r="B1114" s="1" t="s">
        <v>114</v>
      </c>
      <c r="C1114" s="4">
        <v>3</v>
      </c>
      <c r="D1114" s="8">
        <v>12.5</v>
      </c>
      <c r="E1114" s="4">
        <v>2</v>
      </c>
      <c r="F1114" s="8">
        <v>12.5</v>
      </c>
      <c r="G1114" s="4">
        <v>0</v>
      </c>
      <c r="H1114" s="8">
        <v>0</v>
      </c>
      <c r="I1114" s="4">
        <v>0</v>
      </c>
    </row>
    <row r="1115" spans="1:9" x14ac:dyDescent="0.2">
      <c r="A1115" s="2">
        <v>4</v>
      </c>
      <c r="B1115" s="1" t="s">
        <v>117</v>
      </c>
      <c r="C1115" s="4">
        <v>2</v>
      </c>
      <c r="D1115" s="8">
        <v>8.33</v>
      </c>
      <c r="E1115" s="4">
        <v>1</v>
      </c>
      <c r="F1115" s="8">
        <v>6.25</v>
      </c>
      <c r="G1115" s="4">
        <v>1</v>
      </c>
      <c r="H1115" s="8">
        <v>20</v>
      </c>
      <c r="I1115" s="4">
        <v>0</v>
      </c>
    </row>
    <row r="1116" spans="1:9" x14ac:dyDescent="0.2">
      <c r="A1116" s="2">
        <v>5</v>
      </c>
      <c r="B1116" s="1" t="s">
        <v>101</v>
      </c>
      <c r="C1116" s="4">
        <v>1</v>
      </c>
      <c r="D1116" s="8">
        <v>4.17</v>
      </c>
      <c r="E1116" s="4">
        <v>0</v>
      </c>
      <c r="F1116" s="8">
        <v>0</v>
      </c>
      <c r="G1116" s="4">
        <v>1</v>
      </c>
      <c r="H1116" s="8">
        <v>20</v>
      </c>
      <c r="I1116" s="4">
        <v>0</v>
      </c>
    </row>
    <row r="1117" spans="1:9" x14ac:dyDescent="0.2">
      <c r="A1117" s="2">
        <v>5</v>
      </c>
      <c r="B1117" s="1" t="s">
        <v>127</v>
      </c>
      <c r="C1117" s="4">
        <v>1</v>
      </c>
      <c r="D1117" s="8">
        <v>4.17</v>
      </c>
      <c r="E1117" s="4">
        <v>0</v>
      </c>
      <c r="F1117" s="8">
        <v>0</v>
      </c>
      <c r="G1117" s="4">
        <v>1</v>
      </c>
      <c r="H1117" s="8">
        <v>20</v>
      </c>
      <c r="I1117" s="4">
        <v>0</v>
      </c>
    </row>
    <row r="1118" spans="1:9" x14ac:dyDescent="0.2">
      <c r="A1118" s="2">
        <v>5</v>
      </c>
      <c r="B1118" s="1" t="s">
        <v>137</v>
      </c>
      <c r="C1118" s="4">
        <v>1</v>
      </c>
      <c r="D1118" s="8">
        <v>4.17</v>
      </c>
      <c r="E1118" s="4">
        <v>1</v>
      </c>
      <c r="F1118" s="8">
        <v>6.25</v>
      </c>
      <c r="G1118" s="4">
        <v>0</v>
      </c>
      <c r="H1118" s="8">
        <v>0</v>
      </c>
      <c r="I1118" s="4">
        <v>0</v>
      </c>
    </row>
    <row r="1119" spans="1:9" x14ac:dyDescent="0.2">
      <c r="A1119" s="2">
        <v>5</v>
      </c>
      <c r="B1119" s="1" t="s">
        <v>130</v>
      </c>
      <c r="C1119" s="4">
        <v>1</v>
      </c>
      <c r="D1119" s="8">
        <v>4.17</v>
      </c>
      <c r="E1119" s="4">
        <v>0</v>
      </c>
      <c r="F1119" s="8">
        <v>0</v>
      </c>
      <c r="G1119" s="4">
        <v>1</v>
      </c>
      <c r="H1119" s="8">
        <v>20</v>
      </c>
      <c r="I1119" s="4">
        <v>0</v>
      </c>
    </row>
    <row r="1120" spans="1:9" x14ac:dyDescent="0.2">
      <c r="A1120" s="2">
        <v>5</v>
      </c>
      <c r="B1120" s="1" t="s">
        <v>162</v>
      </c>
      <c r="C1120" s="4">
        <v>1</v>
      </c>
      <c r="D1120" s="8">
        <v>4.17</v>
      </c>
      <c r="E1120" s="4">
        <v>1</v>
      </c>
      <c r="F1120" s="8">
        <v>6.25</v>
      </c>
      <c r="G1120" s="4">
        <v>0</v>
      </c>
      <c r="H1120" s="8">
        <v>0</v>
      </c>
      <c r="I1120" s="4">
        <v>0</v>
      </c>
    </row>
    <row r="1121" spans="1:9" x14ac:dyDescent="0.2">
      <c r="A1121" s="2">
        <v>5</v>
      </c>
      <c r="B1121" s="1" t="s">
        <v>125</v>
      </c>
      <c r="C1121" s="4">
        <v>1</v>
      </c>
      <c r="D1121" s="8">
        <v>4.17</v>
      </c>
      <c r="E1121" s="4">
        <v>1</v>
      </c>
      <c r="F1121" s="8">
        <v>6.25</v>
      </c>
      <c r="G1121" s="4">
        <v>0</v>
      </c>
      <c r="H1121" s="8">
        <v>0</v>
      </c>
      <c r="I1121" s="4">
        <v>0</v>
      </c>
    </row>
    <row r="1122" spans="1:9" x14ac:dyDescent="0.2">
      <c r="A1122" s="2">
        <v>5</v>
      </c>
      <c r="B1122" s="1" t="s">
        <v>109</v>
      </c>
      <c r="C1122" s="4">
        <v>1</v>
      </c>
      <c r="D1122" s="8">
        <v>4.17</v>
      </c>
      <c r="E1122" s="4">
        <v>1</v>
      </c>
      <c r="F1122" s="8">
        <v>6.25</v>
      </c>
      <c r="G1122" s="4">
        <v>0</v>
      </c>
      <c r="H1122" s="8">
        <v>0</v>
      </c>
      <c r="I1122" s="4">
        <v>0</v>
      </c>
    </row>
    <row r="1123" spans="1:9" x14ac:dyDescent="0.2">
      <c r="A1123" s="2">
        <v>5</v>
      </c>
      <c r="B1123" s="1" t="s">
        <v>153</v>
      </c>
      <c r="C1123" s="4">
        <v>1</v>
      </c>
      <c r="D1123" s="8">
        <v>4.17</v>
      </c>
      <c r="E1123" s="4">
        <v>1</v>
      </c>
      <c r="F1123" s="8">
        <v>6.25</v>
      </c>
      <c r="G1123" s="4">
        <v>0</v>
      </c>
      <c r="H1123" s="8">
        <v>0</v>
      </c>
      <c r="I1123" s="4">
        <v>0</v>
      </c>
    </row>
    <row r="1124" spans="1:9" x14ac:dyDescent="0.2">
      <c r="A1124" s="2">
        <v>5</v>
      </c>
      <c r="B1124" s="1" t="s">
        <v>112</v>
      </c>
      <c r="C1124" s="4">
        <v>1</v>
      </c>
      <c r="D1124" s="8">
        <v>4.17</v>
      </c>
      <c r="E1124" s="4">
        <v>0</v>
      </c>
      <c r="F1124" s="8">
        <v>0</v>
      </c>
      <c r="G1124" s="4">
        <v>1</v>
      </c>
      <c r="H1124" s="8">
        <v>20</v>
      </c>
      <c r="I1124" s="4">
        <v>0</v>
      </c>
    </row>
    <row r="1125" spans="1:9" x14ac:dyDescent="0.2">
      <c r="A1125" s="2">
        <v>5</v>
      </c>
      <c r="B1125" s="1" t="s">
        <v>115</v>
      </c>
      <c r="C1125" s="4">
        <v>1</v>
      </c>
      <c r="D1125" s="8">
        <v>4.17</v>
      </c>
      <c r="E1125" s="4">
        <v>1</v>
      </c>
      <c r="F1125" s="8">
        <v>6.25</v>
      </c>
      <c r="G1125" s="4">
        <v>0</v>
      </c>
      <c r="H1125" s="8">
        <v>0</v>
      </c>
      <c r="I1125" s="4">
        <v>0</v>
      </c>
    </row>
    <row r="1126" spans="1:9" x14ac:dyDescent="0.2">
      <c r="A1126" s="2">
        <v>5</v>
      </c>
      <c r="B1126" s="1" t="s">
        <v>118</v>
      </c>
      <c r="C1126" s="4">
        <v>1</v>
      </c>
      <c r="D1126" s="8">
        <v>4.17</v>
      </c>
      <c r="E1126" s="4">
        <v>1</v>
      </c>
      <c r="F1126" s="8">
        <v>6.25</v>
      </c>
      <c r="G1126" s="4">
        <v>0</v>
      </c>
      <c r="H1126" s="8">
        <v>0</v>
      </c>
      <c r="I1126" s="4">
        <v>0</v>
      </c>
    </row>
    <row r="1127" spans="1:9" x14ac:dyDescent="0.2">
      <c r="A1127" s="2">
        <v>5</v>
      </c>
      <c r="B1127" s="1" t="s">
        <v>119</v>
      </c>
      <c r="C1127" s="4">
        <v>1</v>
      </c>
      <c r="D1127" s="8">
        <v>4.17</v>
      </c>
      <c r="E1127" s="4">
        <v>0</v>
      </c>
      <c r="F1127" s="8">
        <v>0</v>
      </c>
      <c r="G1127" s="4">
        <v>0</v>
      </c>
      <c r="H1127" s="8">
        <v>0</v>
      </c>
      <c r="I1127" s="4">
        <v>0</v>
      </c>
    </row>
    <row r="1128" spans="1:9" x14ac:dyDescent="0.2">
      <c r="A1128" s="1"/>
      <c r="C1128" s="4"/>
      <c r="D1128" s="8"/>
      <c r="E1128" s="4"/>
      <c r="F1128" s="8"/>
      <c r="G1128" s="4"/>
      <c r="H1128" s="8"/>
      <c r="I1128" s="4"/>
    </row>
    <row r="1129" spans="1:9" x14ac:dyDescent="0.2">
      <c r="A1129" s="1" t="s">
        <v>48</v>
      </c>
      <c r="C1129" s="4"/>
      <c r="D1129" s="8"/>
      <c r="E1129" s="4"/>
      <c r="F1129" s="8"/>
      <c r="G1129" s="4"/>
      <c r="H1129" s="8"/>
      <c r="I1129" s="4"/>
    </row>
    <row r="1130" spans="1:9" x14ac:dyDescent="0.2">
      <c r="A1130" s="2">
        <v>1</v>
      </c>
      <c r="B1130" s="1" t="s">
        <v>101</v>
      </c>
      <c r="C1130" s="4">
        <v>10</v>
      </c>
      <c r="D1130" s="8">
        <v>17.86</v>
      </c>
      <c r="E1130" s="4">
        <v>2</v>
      </c>
      <c r="F1130" s="8">
        <v>6.45</v>
      </c>
      <c r="G1130" s="4">
        <v>8</v>
      </c>
      <c r="H1130" s="8">
        <v>47.06</v>
      </c>
      <c r="I1130" s="4">
        <v>0</v>
      </c>
    </row>
    <row r="1131" spans="1:9" x14ac:dyDescent="0.2">
      <c r="A1131" s="2">
        <v>2</v>
      </c>
      <c r="B1131" s="1" t="s">
        <v>108</v>
      </c>
      <c r="C1131" s="4">
        <v>9</v>
      </c>
      <c r="D1131" s="8">
        <v>16.07</v>
      </c>
      <c r="E1131" s="4">
        <v>6</v>
      </c>
      <c r="F1131" s="8">
        <v>19.350000000000001</v>
      </c>
      <c r="G1131" s="4">
        <v>2</v>
      </c>
      <c r="H1131" s="8">
        <v>11.76</v>
      </c>
      <c r="I1131" s="4">
        <v>1</v>
      </c>
    </row>
    <row r="1132" spans="1:9" x14ac:dyDescent="0.2">
      <c r="A1132" s="2">
        <v>3</v>
      </c>
      <c r="B1132" s="1" t="s">
        <v>110</v>
      </c>
      <c r="C1132" s="4">
        <v>7</v>
      </c>
      <c r="D1132" s="8">
        <v>12.5</v>
      </c>
      <c r="E1132" s="4">
        <v>5</v>
      </c>
      <c r="F1132" s="8">
        <v>16.13</v>
      </c>
      <c r="G1132" s="4">
        <v>2</v>
      </c>
      <c r="H1132" s="8">
        <v>11.76</v>
      </c>
      <c r="I1132" s="4">
        <v>0</v>
      </c>
    </row>
    <row r="1133" spans="1:9" x14ac:dyDescent="0.2">
      <c r="A1133" s="2">
        <v>4</v>
      </c>
      <c r="B1133" s="1" t="s">
        <v>116</v>
      </c>
      <c r="C1133" s="4">
        <v>5</v>
      </c>
      <c r="D1133" s="8">
        <v>8.93</v>
      </c>
      <c r="E1133" s="4">
        <v>5</v>
      </c>
      <c r="F1133" s="8">
        <v>16.13</v>
      </c>
      <c r="G1133" s="4">
        <v>0</v>
      </c>
      <c r="H1133" s="8">
        <v>0</v>
      </c>
      <c r="I1133" s="4">
        <v>0</v>
      </c>
    </row>
    <row r="1134" spans="1:9" x14ac:dyDescent="0.2">
      <c r="A1134" s="2">
        <v>5</v>
      </c>
      <c r="B1134" s="1" t="s">
        <v>114</v>
      </c>
      <c r="C1134" s="4">
        <v>3</v>
      </c>
      <c r="D1134" s="8">
        <v>5.36</v>
      </c>
      <c r="E1134" s="4">
        <v>3</v>
      </c>
      <c r="F1134" s="8">
        <v>9.68</v>
      </c>
      <c r="G1134" s="4">
        <v>0</v>
      </c>
      <c r="H1134" s="8">
        <v>0</v>
      </c>
      <c r="I1134" s="4">
        <v>0</v>
      </c>
    </row>
    <row r="1135" spans="1:9" x14ac:dyDescent="0.2">
      <c r="A1135" s="2">
        <v>5</v>
      </c>
      <c r="B1135" s="1" t="s">
        <v>115</v>
      </c>
      <c r="C1135" s="4">
        <v>3</v>
      </c>
      <c r="D1135" s="8">
        <v>5.36</v>
      </c>
      <c r="E1135" s="4">
        <v>2</v>
      </c>
      <c r="F1135" s="8">
        <v>6.45</v>
      </c>
      <c r="G1135" s="4">
        <v>1</v>
      </c>
      <c r="H1135" s="8">
        <v>5.88</v>
      </c>
      <c r="I1135" s="4">
        <v>0</v>
      </c>
    </row>
    <row r="1136" spans="1:9" x14ac:dyDescent="0.2">
      <c r="A1136" s="2">
        <v>7</v>
      </c>
      <c r="B1136" s="1" t="s">
        <v>103</v>
      </c>
      <c r="C1136" s="4">
        <v>2</v>
      </c>
      <c r="D1136" s="8">
        <v>3.57</v>
      </c>
      <c r="E1136" s="4">
        <v>1</v>
      </c>
      <c r="F1136" s="8">
        <v>3.23</v>
      </c>
      <c r="G1136" s="4">
        <v>1</v>
      </c>
      <c r="H1136" s="8">
        <v>5.88</v>
      </c>
      <c r="I1136" s="4">
        <v>0</v>
      </c>
    </row>
    <row r="1137" spans="1:9" x14ac:dyDescent="0.2">
      <c r="A1137" s="2">
        <v>7</v>
      </c>
      <c r="B1137" s="1" t="s">
        <v>127</v>
      </c>
      <c r="C1137" s="4">
        <v>2</v>
      </c>
      <c r="D1137" s="8">
        <v>3.57</v>
      </c>
      <c r="E1137" s="4">
        <v>0</v>
      </c>
      <c r="F1137" s="8">
        <v>0</v>
      </c>
      <c r="G1137" s="4">
        <v>1</v>
      </c>
      <c r="H1137" s="8">
        <v>5.88</v>
      </c>
      <c r="I1137" s="4">
        <v>1</v>
      </c>
    </row>
    <row r="1138" spans="1:9" x14ac:dyDescent="0.2">
      <c r="A1138" s="2">
        <v>7</v>
      </c>
      <c r="B1138" s="1" t="s">
        <v>139</v>
      </c>
      <c r="C1138" s="4">
        <v>2</v>
      </c>
      <c r="D1138" s="8">
        <v>3.57</v>
      </c>
      <c r="E1138" s="4">
        <v>0</v>
      </c>
      <c r="F1138" s="8">
        <v>0</v>
      </c>
      <c r="G1138" s="4">
        <v>0</v>
      </c>
      <c r="H1138" s="8">
        <v>0</v>
      </c>
      <c r="I1138" s="4">
        <v>0</v>
      </c>
    </row>
    <row r="1139" spans="1:9" x14ac:dyDescent="0.2">
      <c r="A1139" s="2">
        <v>7</v>
      </c>
      <c r="B1139" s="1" t="s">
        <v>129</v>
      </c>
      <c r="C1139" s="4">
        <v>2</v>
      </c>
      <c r="D1139" s="8">
        <v>3.57</v>
      </c>
      <c r="E1139" s="4">
        <v>1</v>
      </c>
      <c r="F1139" s="8">
        <v>3.23</v>
      </c>
      <c r="G1139" s="4">
        <v>0</v>
      </c>
      <c r="H1139" s="8">
        <v>0</v>
      </c>
      <c r="I1139" s="4">
        <v>0</v>
      </c>
    </row>
    <row r="1140" spans="1:9" x14ac:dyDescent="0.2">
      <c r="A1140" s="2">
        <v>7</v>
      </c>
      <c r="B1140" s="1" t="s">
        <v>119</v>
      </c>
      <c r="C1140" s="4">
        <v>2</v>
      </c>
      <c r="D1140" s="8">
        <v>3.57</v>
      </c>
      <c r="E1140" s="4">
        <v>0</v>
      </c>
      <c r="F1140" s="8">
        <v>0</v>
      </c>
      <c r="G1140" s="4">
        <v>0</v>
      </c>
      <c r="H1140" s="8">
        <v>0</v>
      </c>
      <c r="I1140" s="4">
        <v>0</v>
      </c>
    </row>
    <row r="1141" spans="1:9" x14ac:dyDescent="0.2">
      <c r="A1141" s="2">
        <v>7</v>
      </c>
      <c r="B1141" s="1" t="s">
        <v>163</v>
      </c>
      <c r="C1141" s="4">
        <v>2</v>
      </c>
      <c r="D1141" s="8">
        <v>3.57</v>
      </c>
      <c r="E1141" s="4">
        <v>1</v>
      </c>
      <c r="F1141" s="8">
        <v>3.23</v>
      </c>
      <c r="G1141" s="4">
        <v>1</v>
      </c>
      <c r="H1141" s="8">
        <v>5.88</v>
      </c>
      <c r="I1141" s="4">
        <v>0</v>
      </c>
    </row>
    <row r="1142" spans="1:9" x14ac:dyDescent="0.2">
      <c r="A1142" s="2">
        <v>13</v>
      </c>
      <c r="B1142" s="1" t="s">
        <v>155</v>
      </c>
      <c r="C1142" s="4">
        <v>1</v>
      </c>
      <c r="D1142" s="8">
        <v>1.79</v>
      </c>
      <c r="E1142" s="4">
        <v>1</v>
      </c>
      <c r="F1142" s="8">
        <v>3.23</v>
      </c>
      <c r="G1142" s="4">
        <v>0</v>
      </c>
      <c r="H1142" s="8">
        <v>0</v>
      </c>
      <c r="I1142" s="4">
        <v>0</v>
      </c>
    </row>
    <row r="1143" spans="1:9" x14ac:dyDescent="0.2">
      <c r="A1143" s="2">
        <v>13</v>
      </c>
      <c r="B1143" s="1" t="s">
        <v>140</v>
      </c>
      <c r="C1143" s="4">
        <v>1</v>
      </c>
      <c r="D1143" s="8">
        <v>1.79</v>
      </c>
      <c r="E1143" s="4">
        <v>0</v>
      </c>
      <c r="F1143" s="8">
        <v>0</v>
      </c>
      <c r="G1143" s="4">
        <v>1</v>
      </c>
      <c r="H1143" s="8">
        <v>5.88</v>
      </c>
      <c r="I1143" s="4">
        <v>0</v>
      </c>
    </row>
    <row r="1144" spans="1:9" x14ac:dyDescent="0.2">
      <c r="A1144" s="2">
        <v>13</v>
      </c>
      <c r="B1144" s="1" t="s">
        <v>125</v>
      </c>
      <c r="C1144" s="4">
        <v>1</v>
      </c>
      <c r="D1144" s="8">
        <v>1.79</v>
      </c>
      <c r="E1144" s="4">
        <v>0</v>
      </c>
      <c r="F1144" s="8">
        <v>0</v>
      </c>
      <c r="G1144" s="4">
        <v>0</v>
      </c>
      <c r="H1144" s="8">
        <v>0</v>
      </c>
      <c r="I1144" s="4">
        <v>1</v>
      </c>
    </row>
    <row r="1145" spans="1:9" x14ac:dyDescent="0.2">
      <c r="A1145" s="2">
        <v>13</v>
      </c>
      <c r="B1145" s="1" t="s">
        <v>107</v>
      </c>
      <c r="C1145" s="4">
        <v>1</v>
      </c>
      <c r="D1145" s="8">
        <v>1.79</v>
      </c>
      <c r="E1145" s="4">
        <v>1</v>
      </c>
      <c r="F1145" s="8">
        <v>3.23</v>
      </c>
      <c r="G1145" s="4">
        <v>0</v>
      </c>
      <c r="H1145" s="8">
        <v>0</v>
      </c>
      <c r="I1145" s="4">
        <v>0</v>
      </c>
    </row>
    <row r="1146" spans="1:9" x14ac:dyDescent="0.2">
      <c r="A1146" s="2">
        <v>13</v>
      </c>
      <c r="B1146" s="1" t="s">
        <v>111</v>
      </c>
      <c r="C1146" s="4">
        <v>1</v>
      </c>
      <c r="D1146" s="8">
        <v>1.79</v>
      </c>
      <c r="E1146" s="4">
        <v>1</v>
      </c>
      <c r="F1146" s="8">
        <v>3.23</v>
      </c>
      <c r="G1146" s="4">
        <v>0</v>
      </c>
      <c r="H1146" s="8">
        <v>0</v>
      </c>
      <c r="I1146" s="4">
        <v>0</v>
      </c>
    </row>
    <row r="1147" spans="1:9" x14ac:dyDescent="0.2">
      <c r="A1147" s="2">
        <v>13</v>
      </c>
      <c r="B1147" s="1" t="s">
        <v>117</v>
      </c>
      <c r="C1147" s="4">
        <v>1</v>
      </c>
      <c r="D1147" s="8">
        <v>1.79</v>
      </c>
      <c r="E1147" s="4">
        <v>1</v>
      </c>
      <c r="F1147" s="8">
        <v>3.23</v>
      </c>
      <c r="G1147" s="4">
        <v>0</v>
      </c>
      <c r="H1147" s="8">
        <v>0</v>
      </c>
      <c r="I1147" s="4">
        <v>0</v>
      </c>
    </row>
    <row r="1148" spans="1:9" x14ac:dyDescent="0.2">
      <c r="A1148" s="2">
        <v>13</v>
      </c>
      <c r="B1148" s="1" t="s">
        <v>118</v>
      </c>
      <c r="C1148" s="4">
        <v>1</v>
      </c>
      <c r="D1148" s="8">
        <v>1.79</v>
      </c>
      <c r="E1148" s="4">
        <v>1</v>
      </c>
      <c r="F1148" s="8">
        <v>3.23</v>
      </c>
      <c r="G1148" s="4">
        <v>0</v>
      </c>
      <c r="H1148" s="8">
        <v>0</v>
      </c>
      <c r="I1148" s="4">
        <v>0</v>
      </c>
    </row>
    <row r="1149" spans="1:9" x14ac:dyDescent="0.2">
      <c r="A1149" s="1"/>
      <c r="C1149" s="4"/>
      <c r="D1149" s="8"/>
      <c r="E1149" s="4"/>
      <c r="F1149" s="8"/>
      <c r="G1149" s="4"/>
      <c r="H1149" s="8"/>
      <c r="I1149" s="4"/>
    </row>
    <row r="1150" spans="1:9" x14ac:dyDescent="0.2">
      <c r="A1150" s="1" t="s">
        <v>49</v>
      </c>
      <c r="C1150" s="4"/>
      <c r="D1150" s="8"/>
      <c r="E1150" s="4"/>
      <c r="F1150" s="8"/>
      <c r="G1150" s="4"/>
      <c r="H1150" s="8"/>
      <c r="I1150" s="4"/>
    </row>
    <row r="1151" spans="1:9" x14ac:dyDescent="0.2">
      <c r="A1151" s="2">
        <v>1</v>
      </c>
      <c r="B1151" s="1" t="s">
        <v>102</v>
      </c>
      <c r="C1151" s="4">
        <v>8</v>
      </c>
      <c r="D1151" s="8">
        <v>14.04</v>
      </c>
      <c r="E1151" s="4">
        <v>7</v>
      </c>
      <c r="F1151" s="8">
        <v>18.420000000000002</v>
      </c>
      <c r="G1151" s="4">
        <v>1</v>
      </c>
      <c r="H1151" s="8">
        <v>5.88</v>
      </c>
      <c r="I1151" s="4">
        <v>0</v>
      </c>
    </row>
    <row r="1152" spans="1:9" x14ac:dyDescent="0.2">
      <c r="A1152" s="2">
        <v>2</v>
      </c>
      <c r="B1152" s="1" t="s">
        <v>110</v>
      </c>
      <c r="C1152" s="4">
        <v>7</v>
      </c>
      <c r="D1152" s="8">
        <v>12.28</v>
      </c>
      <c r="E1152" s="4">
        <v>5</v>
      </c>
      <c r="F1152" s="8">
        <v>13.16</v>
      </c>
      <c r="G1152" s="4">
        <v>2</v>
      </c>
      <c r="H1152" s="8">
        <v>11.76</v>
      </c>
      <c r="I1152" s="4">
        <v>0</v>
      </c>
    </row>
    <row r="1153" spans="1:9" x14ac:dyDescent="0.2">
      <c r="A1153" s="2">
        <v>3</v>
      </c>
      <c r="B1153" s="1" t="s">
        <v>108</v>
      </c>
      <c r="C1153" s="4">
        <v>6</v>
      </c>
      <c r="D1153" s="8">
        <v>10.53</v>
      </c>
      <c r="E1153" s="4">
        <v>3</v>
      </c>
      <c r="F1153" s="8">
        <v>7.89</v>
      </c>
      <c r="G1153" s="4">
        <v>3</v>
      </c>
      <c r="H1153" s="8">
        <v>17.649999999999999</v>
      </c>
      <c r="I1153" s="4">
        <v>0</v>
      </c>
    </row>
    <row r="1154" spans="1:9" x14ac:dyDescent="0.2">
      <c r="A1154" s="2">
        <v>3</v>
      </c>
      <c r="B1154" s="1" t="s">
        <v>115</v>
      </c>
      <c r="C1154" s="4">
        <v>6</v>
      </c>
      <c r="D1154" s="8">
        <v>10.53</v>
      </c>
      <c r="E1154" s="4">
        <v>4</v>
      </c>
      <c r="F1154" s="8">
        <v>10.53</v>
      </c>
      <c r="G1154" s="4">
        <v>2</v>
      </c>
      <c r="H1154" s="8">
        <v>11.76</v>
      </c>
      <c r="I1154" s="4">
        <v>0</v>
      </c>
    </row>
    <row r="1155" spans="1:9" x14ac:dyDescent="0.2">
      <c r="A1155" s="2">
        <v>5</v>
      </c>
      <c r="B1155" s="1" t="s">
        <v>101</v>
      </c>
      <c r="C1155" s="4">
        <v>4</v>
      </c>
      <c r="D1155" s="8">
        <v>7.02</v>
      </c>
      <c r="E1155" s="4">
        <v>2</v>
      </c>
      <c r="F1155" s="8">
        <v>5.26</v>
      </c>
      <c r="G1155" s="4">
        <v>2</v>
      </c>
      <c r="H1155" s="8">
        <v>11.76</v>
      </c>
      <c r="I1155" s="4">
        <v>0</v>
      </c>
    </row>
    <row r="1156" spans="1:9" x14ac:dyDescent="0.2">
      <c r="A1156" s="2">
        <v>5</v>
      </c>
      <c r="B1156" s="1" t="s">
        <v>103</v>
      </c>
      <c r="C1156" s="4">
        <v>4</v>
      </c>
      <c r="D1156" s="8">
        <v>7.02</v>
      </c>
      <c r="E1156" s="4">
        <v>4</v>
      </c>
      <c r="F1156" s="8">
        <v>10.53</v>
      </c>
      <c r="G1156" s="4">
        <v>0</v>
      </c>
      <c r="H1156" s="8">
        <v>0</v>
      </c>
      <c r="I1156" s="4">
        <v>0</v>
      </c>
    </row>
    <row r="1157" spans="1:9" x14ac:dyDescent="0.2">
      <c r="A1157" s="2">
        <v>7</v>
      </c>
      <c r="B1157" s="1" t="s">
        <v>109</v>
      </c>
      <c r="C1157" s="4">
        <v>3</v>
      </c>
      <c r="D1157" s="8">
        <v>5.26</v>
      </c>
      <c r="E1157" s="4">
        <v>2</v>
      </c>
      <c r="F1157" s="8">
        <v>5.26</v>
      </c>
      <c r="G1157" s="4">
        <v>1</v>
      </c>
      <c r="H1157" s="8">
        <v>5.88</v>
      </c>
      <c r="I1157" s="4">
        <v>0</v>
      </c>
    </row>
    <row r="1158" spans="1:9" x14ac:dyDescent="0.2">
      <c r="A1158" s="2">
        <v>7</v>
      </c>
      <c r="B1158" s="1" t="s">
        <v>116</v>
      </c>
      <c r="C1158" s="4">
        <v>3</v>
      </c>
      <c r="D1158" s="8">
        <v>5.26</v>
      </c>
      <c r="E1158" s="4">
        <v>3</v>
      </c>
      <c r="F1158" s="8">
        <v>7.89</v>
      </c>
      <c r="G1158" s="4">
        <v>0</v>
      </c>
      <c r="H1158" s="8">
        <v>0</v>
      </c>
      <c r="I1158" s="4">
        <v>0</v>
      </c>
    </row>
    <row r="1159" spans="1:9" x14ac:dyDescent="0.2">
      <c r="A1159" s="2">
        <v>9</v>
      </c>
      <c r="B1159" s="1" t="s">
        <v>127</v>
      </c>
      <c r="C1159" s="4">
        <v>2</v>
      </c>
      <c r="D1159" s="8">
        <v>3.51</v>
      </c>
      <c r="E1159" s="4">
        <v>0</v>
      </c>
      <c r="F1159" s="8">
        <v>0</v>
      </c>
      <c r="G1159" s="4">
        <v>2</v>
      </c>
      <c r="H1159" s="8">
        <v>11.76</v>
      </c>
      <c r="I1159" s="4">
        <v>0</v>
      </c>
    </row>
    <row r="1160" spans="1:9" x14ac:dyDescent="0.2">
      <c r="A1160" s="2">
        <v>9</v>
      </c>
      <c r="B1160" s="1" t="s">
        <v>107</v>
      </c>
      <c r="C1160" s="4">
        <v>2</v>
      </c>
      <c r="D1160" s="8">
        <v>3.51</v>
      </c>
      <c r="E1160" s="4">
        <v>2</v>
      </c>
      <c r="F1160" s="8">
        <v>5.26</v>
      </c>
      <c r="G1160" s="4">
        <v>0</v>
      </c>
      <c r="H1160" s="8">
        <v>0</v>
      </c>
      <c r="I1160" s="4">
        <v>0</v>
      </c>
    </row>
    <row r="1161" spans="1:9" x14ac:dyDescent="0.2">
      <c r="A1161" s="2">
        <v>9</v>
      </c>
      <c r="B1161" s="1" t="s">
        <v>118</v>
      </c>
      <c r="C1161" s="4">
        <v>2</v>
      </c>
      <c r="D1161" s="8">
        <v>3.51</v>
      </c>
      <c r="E1161" s="4">
        <v>2</v>
      </c>
      <c r="F1161" s="8">
        <v>5.26</v>
      </c>
      <c r="G1161" s="4">
        <v>0</v>
      </c>
      <c r="H1161" s="8">
        <v>0</v>
      </c>
      <c r="I1161" s="4">
        <v>0</v>
      </c>
    </row>
    <row r="1162" spans="1:9" x14ac:dyDescent="0.2">
      <c r="A1162" s="2">
        <v>12</v>
      </c>
      <c r="B1162" s="1" t="s">
        <v>149</v>
      </c>
      <c r="C1162" s="4">
        <v>1</v>
      </c>
      <c r="D1162" s="8">
        <v>1.75</v>
      </c>
      <c r="E1162" s="4">
        <v>0</v>
      </c>
      <c r="F1162" s="8">
        <v>0</v>
      </c>
      <c r="G1162" s="4">
        <v>1</v>
      </c>
      <c r="H1162" s="8">
        <v>5.88</v>
      </c>
      <c r="I1162" s="4">
        <v>0</v>
      </c>
    </row>
    <row r="1163" spans="1:9" x14ac:dyDescent="0.2">
      <c r="A1163" s="2">
        <v>12</v>
      </c>
      <c r="B1163" s="1" t="s">
        <v>142</v>
      </c>
      <c r="C1163" s="4">
        <v>1</v>
      </c>
      <c r="D1163" s="8">
        <v>1.75</v>
      </c>
      <c r="E1163" s="4">
        <v>0</v>
      </c>
      <c r="F1163" s="8">
        <v>0</v>
      </c>
      <c r="G1163" s="4">
        <v>1</v>
      </c>
      <c r="H1163" s="8">
        <v>5.88</v>
      </c>
      <c r="I1163" s="4">
        <v>0</v>
      </c>
    </row>
    <row r="1164" spans="1:9" x14ac:dyDescent="0.2">
      <c r="A1164" s="2">
        <v>12</v>
      </c>
      <c r="B1164" s="1" t="s">
        <v>136</v>
      </c>
      <c r="C1164" s="4">
        <v>1</v>
      </c>
      <c r="D1164" s="8">
        <v>1.75</v>
      </c>
      <c r="E1164" s="4">
        <v>0</v>
      </c>
      <c r="F1164" s="8">
        <v>0</v>
      </c>
      <c r="G1164" s="4">
        <v>1</v>
      </c>
      <c r="H1164" s="8">
        <v>5.88</v>
      </c>
      <c r="I1164" s="4">
        <v>0</v>
      </c>
    </row>
    <row r="1165" spans="1:9" x14ac:dyDescent="0.2">
      <c r="A1165" s="2">
        <v>12</v>
      </c>
      <c r="B1165" s="1" t="s">
        <v>140</v>
      </c>
      <c r="C1165" s="4">
        <v>1</v>
      </c>
      <c r="D1165" s="8">
        <v>1.75</v>
      </c>
      <c r="E1165" s="4">
        <v>0</v>
      </c>
      <c r="F1165" s="8">
        <v>0</v>
      </c>
      <c r="G1165" s="4">
        <v>1</v>
      </c>
      <c r="H1165" s="8">
        <v>5.88</v>
      </c>
      <c r="I1165" s="4">
        <v>0</v>
      </c>
    </row>
    <row r="1166" spans="1:9" x14ac:dyDescent="0.2">
      <c r="A1166" s="2">
        <v>12</v>
      </c>
      <c r="B1166" s="1" t="s">
        <v>121</v>
      </c>
      <c r="C1166" s="4">
        <v>1</v>
      </c>
      <c r="D1166" s="8">
        <v>1.75</v>
      </c>
      <c r="E1166" s="4">
        <v>1</v>
      </c>
      <c r="F1166" s="8">
        <v>2.63</v>
      </c>
      <c r="G1166" s="4">
        <v>0</v>
      </c>
      <c r="H1166" s="8">
        <v>0</v>
      </c>
      <c r="I1166" s="4">
        <v>0</v>
      </c>
    </row>
    <row r="1167" spans="1:9" x14ac:dyDescent="0.2">
      <c r="A1167" s="2">
        <v>12</v>
      </c>
      <c r="B1167" s="1" t="s">
        <v>129</v>
      </c>
      <c r="C1167" s="4">
        <v>1</v>
      </c>
      <c r="D1167" s="8">
        <v>1.75</v>
      </c>
      <c r="E1167" s="4">
        <v>1</v>
      </c>
      <c r="F1167" s="8">
        <v>2.63</v>
      </c>
      <c r="G1167" s="4">
        <v>0</v>
      </c>
      <c r="H1167" s="8">
        <v>0</v>
      </c>
      <c r="I1167" s="4">
        <v>0</v>
      </c>
    </row>
    <row r="1168" spans="1:9" x14ac:dyDescent="0.2">
      <c r="A1168" s="2">
        <v>12</v>
      </c>
      <c r="B1168" s="1" t="s">
        <v>131</v>
      </c>
      <c r="C1168" s="4">
        <v>1</v>
      </c>
      <c r="D1168" s="8">
        <v>1.75</v>
      </c>
      <c r="E1168" s="4">
        <v>1</v>
      </c>
      <c r="F1168" s="8">
        <v>2.63</v>
      </c>
      <c r="G1168" s="4">
        <v>0</v>
      </c>
      <c r="H1168" s="8">
        <v>0</v>
      </c>
      <c r="I1168" s="4">
        <v>0</v>
      </c>
    </row>
    <row r="1169" spans="1:9" x14ac:dyDescent="0.2">
      <c r="A1169" s="2">
        <v>12</v>
      </c>
      <c r="B1169" s="1" t="s">
        <v>117</v>
      </c>
      <c r="C1169" s="4">
        <v>1</v>
      </c>
      <c r="D1169" s="8">
        <v>1.75</v>
      </c>
      <c r="E1169" s="4">
        <v>1</v>
      </c>
      <c r="F1169" s="8">
        <v>2.63</v>
      </c>
      <c r="G1169" s="4">
        <v>0</v>
      </c>
      <c r="H1169" s="8">
        <v>0</v>
      </c>
      <c r="I1169" s="4">
        <v>0</v>
      </c>
    </row>
    <row r="1170" spans="1:9" x14ac:dyDescent="0.2">
      <c r="A1170" s="2">
        <v>12</v>
      </c>
      <c r="B1170" s="1" t="s">
        <v>119</v>
      </c>
      <c r="C1170" s="4">
        <v>1</v>
      </c>
      <c r="D1170" s="8">
        <v>1.75</v>
      </c>
      <c r="E1170" s="4">
        <v>0</v>
      </c>
      <c r="F1170" s="8">
        <v>0</v>
      </c>
      <c r="G1170" s="4">
        <v>0</v>
      </c>
      <c r="H1170" s="8">
        <v>0</v>
      </c>
      <c r="I1170" s="4">
        <v>0</v>
      </c>
    </row>
    <row r="1171" spans="1:9" x14ac:dyDescent="0.2">
      <c r="A1171" s="2">
        <v>12</v>
      </c>
      <c r="B1171" s="1" t="s">
        <v>163</v>
      </c>
      <c r="C1171" s="4">
        <v>1</v>
      </c>
      <c r="D1171" s="8">
        <v>1.75</v>
      </c>
      <c r="E1171" s="4">
        <v>0</v>
      </c>
      <c r="F1171" s="8">
        <v>0</v>
      </c>
      <c r="G1171" s="4">
        <v>0</v>
      </c>
      <c r="H1171" s="8">
        <v>0</v>
      </c>
      <c r="I1171" s="4">
        <v>0</v>
      </c>
    </row>
    <row r="1172" spans="1:9" x14ac:dyDescent="0.2">
      <c r="A1172" s="1"/>
      <c r="C1172" s="4"/>
      <c r="D1172" s="8"/>
      <c r="E1172" s="4"/>
      <c r="F1172" s="8"/>
      <c r="G1172" s="4"/>
      <c r="H1172" s="8"/>
      <c r="I1172" s="4"/>
    </row>
    <row r="1173" spans="1:9" x14ac:dyDescent="0.2">
      <c r="A1173" s="1" t="s">
        <v>50</v>
      </c>
      <c r="C1173" s="4"/>
      <c r="D1173" s="8"/>
      <c r="E1173" s="4"/>
      <c r="F1173" s="8"/>
      <c r="G1173" s="4"/>
      <c r="H1173" s="8"/>
      <c r="I1173" s="4"/>
    </row>
    <row r="1174" spans="1:9" x14ac:dyDescent="0.2">
      <c r="A1174" s="2">
        <v>1</v>
      </c>
      <c r="B1174" s="1" t="s">
        <v>102</v>
      </c>
      <c r="C1174" s="4">
        <v>30</v>
      </c>
      <c r="D1174" s="8">
        <v>16.3</v>
      </c>
      <c r="E1174" s="4">
        <v>23</v>
      </c>
      <c r="F1174" s="8">
        <v>18.25</v>
      </c>
      <c r="G1174" s="4">
        <v>7</v>
      </c>
      <c r="H1174" s="8">
        <v>12.73</v>
      </c>
      <c r="I1174" s="4">
        <v>0</v>
      </c>
    </row>
    <row r="1175" spans="1:9" x14ac:dyDescent="0.2">
      <c r="A1175" s="2">
        <v>2</v>
      </c>
      <c r="B1175" s="1" t="s">
        <v>101</v>
      </c>
      <c r="C1175" s="4">
        <v>16</v>
      </c>
      <c r="D1175" s="8">
        <v>8.6999999999999993</v>
      </c>
      <c r="E1175" s="4">
        <v>7</v>
      </c>
      <c r="F1175" s="8">
        <v>5.56</v>
      </c>
      <c r="G1175" s="4">
        <v>9</v>
      </c>
      <c r="H1175" s="8">
        <v>16.36</v>
      </c>
      <c r="I1175" s="4">
        <v>0</v>
      </c>
    </row>
    <row r="1176" spans="1:9" x14ac:dyDescent="0.2">
      <c r="A1176" s="2">
        <v>3</v>
      </c>
      <c r="B1176" s="1" t="s">
        <v>116</v>
      </c>
      <c r="C1176" s="4">
        <v>14</v>
      </c>
      <c r="D1176" s="8">
        <v>7.61</v>
      </c>
      <c r="E1176" s="4">
        <v>13</v>
      </c>
      <c r="F1176" s="8">
        <v>10.32</v>
      </c>
      <c r="G1176" s="4">
        <v>1</v>
      </c>
      <c r="H1176" s="8">
        <v>1.82</v>
      </c>
      <c r="I1176" s="4">
        <v>0</v>
      </c>
    </row>
    <row r="1177" spans="1:9" x14ac:dyDescent="0.2">
      <c r="A1177" s="2">
        <v>4</v>
      </c>
      <c r="B1177" s="1" t="s">
        <v>108</v>
      </c>
      <c r="C1177" s="4">
        <v>13</v>
      </c>
      <c r="D1177" s="8">
        <v>7.07</v>
      </c>
      <c r="E1177" s="4">
        <v>8</v>
      </c>
      <c r="F1177" s="8">
        <v>6.35</v>
      </c>
      <c r="G1177" s="4">
        <v>5</v>
      </c>
      <c r="H1177" s="8">
        <v>9.09</v>
      </c>
      <c r="I1177" s="4">
        <v>0</v>
      </c>
    </row>
    <row r="1178" spans="1:9" x14ac:dyDescent="0.2">
      <c r="A1178" s="2">
        <v>5</v>
      </c>
      <c r="B1178" s="1" t="s">
        <v>115</v>
      </c>
      <c r="C1178" s="4">
        <v>11</v>
      </c>
      <c r="D1178" s="8">
        <v>5.98</v>
      </c>
      <c r="E1178" s="4">
        <v>10</v>
      </c>
      <c r="F1178" s="8">
        <v>7.94</v>
      </c>
      <c r="G1178" s="4">
        <v>1</v>
      </c>
      <c r="H1178" s="8">
        <v>1.82</v>
      </c>
      <c r="I1178" s="4">
        <v>0</v>
      </c>
    </row>
    <row r="1179" spans="1:9" x14ac:dyDescent="0.2">
      <c r="A1179" s="2">
        <v>6</v>
      </c>
      <c r="B1179" s="1" t="s">
        <v>110</v>
      </c>
      <c r="C1179" s="4">
        <v>9</v>
      </c>
      <c r="D1179" s="8">
        <v>4.8899999999999997</v>
      </c>
      <c r="E1179" s="4">
        <v>7</v>
      </c>
      <c r="F1179" s="8">
        <v>5.56</v>
      </c>
      <c r="G1179" s="4">
        <v>2</v>
      </c>
      <c r="H1179" s="8">
        <v>3.64</v>
      </c>
      <c r="I1179" s="4">
        <v>0</v>
      </c>
    </row>
    <row r="1180" spans="1:9" x14ac:dyDescent="0.2">
      <c r="A1180" s="2">
        <v>7</v>
      </c>
      <c r="B1180" s="1" t="s">
        <v>103</v>
      </c>
      <c r="C1180" s="4">
        <v>8</v>
      </c>
      <c r="D1180" s="8">
        <v>4.3499999999999996</v>
      </c>
      <c r="E1180" s="4">
        <v>4</v>
      </c>
      <c r="F1180" s="8">
        <v>3.17</v>
      </c>
      <c r="G1180" s="4">
        <v>4</v>
      </c>
      <c r="H1180" s="8">
        <v>7.27</v>
      </c>
      <c r="I1180" s="4">
        <v>0</v>
      </c>
    </row>
    <row r="1181" spans="1:9" x14ac:dyDescent="0.2">
      <c r="A1181" s="2">
        <v>7</v>
      </c>
      <c r="B1181" s="1" t="s">
        <v>118</v>
      </c>
      <c r="C1181" s="4">
        <v>8</v>
      </c>
      <c r="D1181" s="8">
        <v>4.3499999999999996</v>
      </c>
      <c r="E1181" s="4">
        <v>7</v>
      </c>
      <c r="F1181" s="8">
        <v>5.56</v>
      </c>
      <c r="G1181" s="4">
        <v>1</v>
      </c>
      <c r="H1181" s="8">
        <v>1.82</v>
      </c>
      <c r="I1181" s="4">
        <v>0</v>
      </c>
    </row>
    <row r="1182" spans="1:9" x14ac:dyDescent="0.2">
      <c r="A1182" s="2">
        <v>9</v>
      </c>
      <c r="B1182" s="1" t="s">
        <v>109</v>
      </c>
      <c r="C1182" s="4">
        <v>7</v>
      </c>
      <c r="D1182" s="8">
        <v>3.8</v>
      </c>
      <c r="E1182" s="4">
        <v>7</v>
      </c>
      <c r="F1182" s="8">
        <v>5.56</v>
      </c>
      <c r="G1182" s="4">
        <v>0</v>
      </c>
      <c r="H1182" s="8">
        <v>0</v>
      </c>
      <c r="I1182" s="4">
        <v>0</v>
      </c>
    </row>
    <row r="1183" spans="1:9" x14ac:dyDescent="0.2">
      <c r="A1183" s="2">
        <v>9</v>
      </c>
      <c r="B1183" s="1" t="s">
        <v>119</v>
      </c>
      <c r="C1183" s="4">
        <v>7</v>
      </c>
      <c r="D1183" s="8">
        <v>3.8</v>
      </c>
      <c r="E1183" s="4">
        <v>0</v>
      </c>
      <c r="F1183" s="8">
        <v>0</v>
      </c>
      <c r="G1183" s="4">
        <v>6</v>
      </c>
      <c r="H1183" s="8">
        <v>10.91</v>
      </c>
      <c r="I1183" s="4">
        <v>0</v>
      </c>
    </row>
    <row r="1184" spans="1:9" x14ac:dyDescent="0.2">
      <c r="A1184" s="2">
        <v>11</v>
      </c>
      <c r="B1184" s="1" t="s">
        <v>111</v>
      </c>
      <c r="C1184" s="4">
        <v>5</v>
      </c>
      <c r="D1184" s="8">
        <v>2.72</v>
      </c>
      <c r="E1184" s="4">
        <v>5</v>
      </c>
      <c r="F1184" s="8">
        <v>3.97</v>
      </c>
      <c r="G1184" s="4">
        <v>0</v>
      </c>
      <c r="H1184" s="8">
        <v>0</v>
      </c>
      <c r="I1184" s="4">
        <v>0</v>
      </c>
    </row>
    <row r="1185" spans="1:9" x14ac:dyDescent="0.2">
      <c r="A1185" s="2">
        <v>11</v>
      </c>
      <c r="B1185" s="1" t="s">
        <v>117</v>
      </c>
      <c r="C1185" s="4">
        <v>5</v>
      </c>
      <c r="D1185" s="8">
        <v>2.72</v>
      </c>
      <c r="E1185" s="4">
        <v>3</v>
      </c>
      <c r="F1185" s="8">
        <v>2.38</v>
      </c>
      <c r="G1185" s="4">
        <v>0</v>
      </c>
      <c r="H1185" s="8">
        <v>0</v>
      </c>
      <c r="I1185" s="4">
        <v>1</v>
      </c>
    </row>
    <row r="1186" spans="1:9" x14ac:dyDescent="0.2">
      <c r="A1186" s="2">
        <v>13</v>
      </c>
      <c r="B1186" s="1" t="s">
        <v>142</v>
      </c>
      <c r="C1186" s="4">
        <v>4</v>
      </c>
      <c r="D1186" s="8">
        <v>2.17</v>
      </c>
      <c r="E1186" s="4">
        <v>0</v>
      </c>
      <c r="F1186" s="8">
        <v>0</v>
      </c>
      <c r="G1186" s="4">
        <v>4</v>
      </c>
      <c r="H1186" s="8">
        <v>7.27</v>
      </c>
      <c r="I1186" s="4">
        <v>0</v>
      </c>
    </row>
    <row r="1187" spans="1:9" x14ac:dyDescent="0.2">
      <c r="A1187" s="2">
        <v>13</v>
      </c>
      <c r="B1187" s="1" t="s">
        <v>112</v>
      </c>
      <c r="C1187" s="4">
        <v>4</v>
      </c>
      <c r="D1187" s="8">
        <v>2.17</v>
      </c>
      <c r="E1187" s="4">
        <v>4</v>
      </c>
      <c r="F1187" s="8">
        <v>3.17</v>
      </c>
      <c r="G1187" s="4">
        <v>0</v>
      </c>
      <c r="H1187" s="8">
        <v>0</v>
      </c>
      <c r="I1187" s="4">
        <v>0</v>
      </c>
    </row>
    <row r="1188" spans="1:9" x14ac:dyDescent="0.2">
      <c r="A1188" s="2">
        <v>15</v>
      </c>
      <c r="B1188" s="1" t="s">
        <v>127</v>
      </c>
      <c r="C1188" s="4">
        <v>3</v>
      </c>
      <c r="D1188" s="8">
        <v>1.63</v>
      </c>
      <c r="E1188" s="4">
        <v>1</v>
      </c>
      <c r="F1188" s="8">
        <v>0.79</v>
      </c>
      <c r="G1188" s="4">
        <v>2</v>
      </c>
      <c r="H1188" s="8">
        <v>3.64</v>
      </c>
      <c r="I1188" s="4">
        <v>0</v>
      </c>
    </row>
    <row r="1189" spans="1:9" x14ac:dyDescent="0.2">
      <c r="A1189" s="2">
        <v>15</v>
      </c>
      <c r="B1189" s="1" t="s">
        <v>137</v>
      </c>
      <c r="C1189" s="4">
        <v>3</v>
      </c>
      <c r="D1189" s="8">
        <v>1.63</v>
      </c>
      <c r="E1189" s="4">
        <v>1</v>
      </c>
      <c r="F1189" s="8">
        <v>0.79</v>
      </c>
      <c r="G1189" s="4">
        <v>2</v>
      </c>
      <c r="H1189" s="8">
        <v>3.64</v>
      </c>
      <c r="I1189" s="4">
        <v>0</v>
      </c>
    </row>
    <row r="1190" spans="1:9" x14ac:dyDescent="0.2">
      <c r="A1190" s="2">
        <v>15</v>
      </c>
      <c r="B1190" s="1" t="s">
        <v>133</v>
      </c>
      <c r="C1190" s="4">
        <v>3</v>
      </c>
      <c r="D1190" s="8">
        <v>1.63</v>
      </c>
      <c r="E1190" s="4">
        <v>3</v>
      </c>
      <c r="F1190" s="8">
        <v>2.38</v>
      </c>
      <c r="G1190" s="4">
        <v>0</v>
      </c>
      <c r="H1190" s="8">
        <v>0</v>
      </c>
      <c r="I1190" s="4">
        <v>0</v>
      </c>
    </row>
    <row r="1191" spans="1:9" x14ac:dyDescent="0.2">
      <c r="A1191" s="2">
        <v>15</v>
      </c>
      <c r="B1191" s="1" t="s">
        <v>113</v>
      </c>
      <c r="C1191" s="4">
        <v>3</v>
      </c>
      <c r="D1191" s="8">
        <v>1.63</v>
      </c>
      <c r="E1191" s="4">
        <v>1</v>
      </c>
      <c r="F1191" s="8">
        <v>0.79</v>
      </c>
      <c r="G1191" s="4">
        <v>2</v>
      </c>
      <c r="H1191" s="8">
        <v>3.64</v>
      </c>
      <c r="I1191" s="4">
        <v>0</v>
      </c>
    </row>
    <row r="1192" spans="1:9" x14ac:dyDescent="0.2">
      <c r="A1192" s="2">
        <v>19</v>
      </c>
      <c r="B1192" s="1" t="s">
        <v>130</v>
      </c>
      <c r="C1192" s="4">
        <v>2</v>
      </c>
      <c r="D1192" s="8">
        <v>1.0900000000000001</v>
      </c>
      <c r="E1192" s="4">
        <v>2</v>
      </c>
      <c r="F1192" s="8">
        <v>1.59</v>
      </c>
      <c r="G1192" s="4">
        <v>0</v>
      </c>
      <c r="H1192" s="8">
        <v>0</v>
      </c>
      <c r="I1192" s="4">
        <v>0</v>
      </c>
    </row>
    <row r="1193" spans="1:9" x14ac:dyDescent="0.2">
      <c r="A1193" s="2">
        <v>19</v>
      </c>
      <c r="B1193" s="1" t="s">
        <v>143</v>
      </c>
      <c r="C1193" s="4">
        <v>2</v>
      </c>
      <c r="D1193" s="8">
        <v>1.0900000000000001</v>
      </c>
      <c r="E1193" s="4">
        <v>1</v>
      </c>
      <c r="F1193" s="8">
        <v>0.79</v>
      </c>
      <c r="G1193" s="4">
        <v>1</v>
      </c>
      <c r="H1193" s="8">
        <v>1.82</v>
      </c>
      <c r="I1193" s="4">
        <v>0</v>
      </c>
    </row>
    <row r="1194" spans="1:9" x14ac:dyDescent="0.2">
      <c r="A1194" s="2">
        <v>19</v>
      </c>
      <c r="B1194" s="1" t="s">
        <v>152</v>
      </c>
      <c r="C1194" s="4">
        <v>2</v>
      </c>
      <c r="D1194" s="8">
        <v>1.0900000000000001</v>
      </c>
      <c r="E1194" s="4">
        <v>2</v>
      </c>
      <c r="F1194" s="8">
        <v>1.59</v>
      </c>
      <c r="G1194" s="4">
        <v>0</v>
      </c>
      <c r="H1194" s="8">
        <v>0</v>
      </c>
      <c r="I1194" s="4">
        <v>0</v>
      </c>
    </row>
    <row r="1195" spans="1:9" x14ac:dyDescent="0.2">
      <c r="A1195" s="2">
        <v>19</v>
      </c>
      <c r="B1195" s="1" t="s">
        <v>135</v>
      </c>
      <c r="C1195" s="4">
        <v>2</v>
      </c>
      <c r="D1195" s="8">
        <v>1.0900000000000001</v>
      </c>
      <c r="E1195" s="4">
        <v>2</v>
      </c>
      <c r="F1195" s="8">
        <v>1.59</v>
      </c>
      <c r="G1195" s="4">
        <v>0</v>
      </c>
      <c r="H1195" s="8">
        <v>0</v>
      </c>
      <c r="I1195" s="4">
        <v>0</v>
      </c>
    </row>
    <row r="1196" spans="1:9" x14ac:dyDescent="0.2">
      <c r="A1196" s="2">
        <v>19</v>
      </c>
      <c r="B1196" s="1" t="s">
        <v>106</v>
      </c>
      <c r="C1196" s="4">
        <v>2</v>
      </c>
      <c r="D1196" s="8">
        <v>1.0900000000000001</v>
      </c>
      <c r="E1196" s="4">
        <v>2</v>
      </c>
      <c r="F1196" s="8">
        <v>1.59</v>
      </c>
      <c r="G1196" s="4">
        <v>0</v>
      </c>
      <c r="H1196" s="8">
        <v>0</v>
      </c>
      <c r="I1196" s="4">
        <v>0</v>
      </c>
    </row>
    <row r="1197" spans="1:9" x14ac:dyDescent="0.2">
      <c r="A1197" s="2">
        <v>19</v>
      </c>
      <c r="B1197" s="1" t="s">
        <v>107</v>
      </c>
      <c r="C1197" s="4">
        <v>2</v>
      </c>
      <c r="D1197" s="8">
        <v>1.0900000000000001</v>
      </c>
      <c r="E1197" s="4">
        <v>2</v>
      </c>
      <c r="F1197" s="8">
        <v>1.59</v>
      </c>
      <c r="G1197" s="4">
        <v>0</v>
      </c>
      <c r="H1197" s="8">
        <v>0</v>
      </c>
      <c r="I1197" s="4">
        <v>0</v>
      </c>
    </row>
    <row r="1198" spans="1:9" x14ac:dyDescent="0.2">
      <c r="A1198" s="2">
        <v>19</v>
      </c>
      <c r="B1198" s="1" t="s">
        <v>129</v>
      </c>
      <c r="C1198" s="4">
        <v>2</v>
      </c>
      <c r="D1198" s="8">
        <v>1.0900000000000001</v>
      </c>
      <c r="E1198" s="4">
        <v>1</v>
      </c>
      <c r="F1198" s="8">
        <v>0.79</v>
      </c>
      <c r="G1198" s="4">
        <v>1</v>
      </c>
      <c r="H1198" s="8">
        <v>1.82</v>
      </c>
      <c r="I1198" s="4">
        <v>0</v>
      </c>
    </row>
    <row r="1199" spans="1:9" x14ac:dyDescent="0.2">
      <c r="A1199" s="2">
        <v>19</v>
      </c>
      <c r="B1199" s="1" t="s">
        <v>124</v>
      </c>
      <c r="C1199" s="4">
        <v>2</v>
      </c>
      <c r="D1199" s="8">
        <v>1.0900000000000001</v>
      </c>
      <c r="E1199" s="4">
        <v>0</v>
      </c>
      <c r="F1199" s="8">
        <v>0</v>
      </c>
      <c r="G1199" s="4">
        <v>2</v>
      </c>
      <c r="H1199" s="8">
        <v>3.64</v>
      </c>
      <c r="I1199" s="4">
        <v>0</v>
      </c>
    </row>
    <row r="1200" spans="1:9" x14ac:dyDescent="0.2">
      <c r="A1200" s="1"/>
      <c r="C1200" s="4"/>
      <c r="D1200" s="8"/>
      <c r="E1200" s="4"/>
      <c r="F1200" s="8"/>
      <c r="G1200" s="4"/>
      <c r="H1200" s="8"/>
      <c r="I1200" s="4"/>
    </row>
    <row r="1201" spans="1:9" x14ac:dyDescent="0.2">
      <c r="A1201" s="1" t="s">
        <v>51</v>
      </c>
      <c r="C1201" s="4"/>
      <c r="D1201" s="8"/>
      <c r="E1201" s="4"/>
      <c r="F1201" s="8"/>
      <c r="G1201" s="4"/>
      <c r="H1201" s="8"/>
      <c r="I1201" s="4"/>
    </row>
    <row r="1202" spans="1:9" x14ac:dyDescent="0.2">
      <c r="A1202" s="2">
        <v>1</v>
      </c>
      <c r="B1202" s="1" t="s">
        <v>101</v>
      </c>
      <c r="C1202" s="4">
        <v>22</v>
      </c>
      <c r="D1202" s="8">
        <v>14.47</v>
      </c>
      <c r="E1202" s="4">
        <v>10</v>
      </c>
      <c r="F1202" s="8">
        <v>11.63</v>
      </c>
      <c r="G1202" s="4">
        <v>12</v>
      </c>
      <c r="H1202" s="8">
        <v>20</v>
      </c>
      <c r="I1202" s="4">
        <v>0</v>
      </c>
    </row>
    <row r="1203" spans="1:9" x14ac:dyDescent="0.2">
      <c r="A1203" s="2">
        <v>2</v>
      </c>
      <c r="B1203" s="1" t="s">
        <v>102</v>
      </c>
      <c r="C1203" s="4">
        <v>19</v>
      </c>
      <c r="D1203" s="8">
        <v>12.5</v>
      </c>
      <c r="E1203" s="4">
        <v>14</v>
      </c>
      <c r="F1203" s="8">
        <v>16.28</v>
      </c>
      <c r="G1203" s="4">
        <v>5</v>
      </c>
      <c r="H1203" s="8">
        <v>8.33</v>
      </c>
      <c r="I1203" s="4">
        <v>0</v>
      </c>
    </row>
    <row r="1204" spans="1:9" x14ac:dyDescent="0.2">
      <c r="A1204" s="2">
        <v>3</v>
      </c>
      <c r="B1204" s="1" t="s">
        <v>115</v>
      </c>
      <c r="C1204" s="4">
        <v>11</v>
      </c>
      <c r="D1204" s="8">
        <v>7.24</v>
      </c>
      <c r="E1204" s="4">
        <v>11</v>
      </c>
      <c r="F1204" s="8">
        <v>12.79</v>
      </c>
      <c r="G1204" s="4">
        <v>0</v>
      </c>
      <c r="H1204" s="8">
        <v>0</v>
      </c>
      <c r="I1204" s="4">
        <v>0</v>
      </c>
    </row>
    <row r="1205" spans="1:9" x14ac:dyDescent="0.2">
      <c r="A1205" s="2">
        <v>4</v>
      </c>
      <c r="B1205" s="1" t="s">
        <v>116</v>
      </c>
      <c r="C1205" s="4">
        <v>10</v>
      </c>
      <c r="D1205" s="8">
        <v>6.58</v>
      </c>
      <c r="E1205" s="4">
        <v>9</v>
      </c>
      <c r="F1205" s="8">
        <v>10.47</v>
      </c>
      <c r="G1205" s="4">
        <v>1</v>
      </c>
      <c r="H1205" s="8">
        <v>1.67</v>
      </c>
      <c r="I1205" s="4">
        <v>0</v>
      </c>
    </row>
    <row r="1206" spans="1:9" x14ac:dyDescent="0.2">
      <c r="A1206" s="2">
        <v>5</v>
      </c>
      <c r="B1206" s="1" t="s">
        <v>110</v>
      </c>
      <c r="C1206" s="4">
        <v>9</v>
      </c>
      <c r="D1206" s="8">
        <v>5.92</v>
      </c>
      <c r="E1206" s="4">
        <v>6</v>
      </c>
      <c r="F1206" s="8">
        <v>6.98</v>
      </c>
      <c r="G1206" s="4">
        <v>3</v>
      </c>
      <c r="H1206" s="8">
        <v>5</v>
      </c>
      <c r="I1206" s="4">
        <v>0</v>
      </c>
    </row>
    <row r="1207" spans="1:9" x14ac:dyDescent="0.2">
      <c r="A1207" s="2">
        <v>6</v>
      </c>
      <c r="B1207" s="1" t="s">
        <v>118</v>
      </c>
      <c r="C1207" s="4">
        <v>7</v>
      </c>
      <c r="D1207" s="8">
        <v>4.6100000000000003</v>
      </c>
      <c r="E1207" s="4">
        <v>7</v>
      </c>
      <c r="F1207" s="8">
        <v>8.14</v>
      </c>
      <c r="G1207" s="4">
        <v>0</v>
      </c>
      <c r="H1207" s="8">
        <v>0</v>
      </c>
      <c r="I1207" s="4">
        <v>0</v>
      </c>
    </row>
    <row r="1208" spans="1:9" x14ac:dyDescent="0.2">
      <c r="A1208" s="2">
        <v>7</v>
      </c>
      <c r="B1208" s="1" t="s">
        <v>117</v>
      </c>
      <c r="C1208" s="4">
        <v>6</v>
      </c>
      <c r="D1208" s="8">
        <v>3.95</v>
      </c>
      <c r="E1208" s="4">
        <v>5</v>
      </c>
      <c r="F1208" s="8">
        <v>5.81</v>
      </c>
      <c r="G1208" s="4">
        <v>0</v>
      </c>
      <c r="H1208" s="8">
        <v>0</v>
      </c>
      <c r="I1208" s="4">
        <v>0</v>
      </c>
    </row>
    <row r="1209" spans="1:9" x14ac:dyDescent="0.2">
      <c r="A1209" s="2">
        <v>8</v>
      </c>
      <c r="B1209" s="1" t="s">
        <v>112</v>
      </c>
      <c r="C1209" s="4">
        <v>5</v>
      </c>
      <c r="D1209" s="8">
        <v>3.29</v>
      </c>
      <c r="E1209" s="4">
        <v>4</v>
      </c>
      <c r="F1209" s="8">
        <v>4.6500000000000004</v>
      </c>
      <c r="G1209" s="4">
        <v>1</v>
      </c>
      <c r="H1209" s="8">
        <v>1.67</v>
      </c>
      <c r="I1209" s="4">
        <v>0</v>
      </c>
    </row>
    <row r="1210" spans="1:9" x14ac:dyDescent="0.2">
      <c r="A1210" s="2">
        <v>9</v>
      </c>
      <c r="B1210" s="1" t="s">
        <v>105</v>
      </c>
      <c r="C1210" s="4">
        <v>4</v>
      </c>
      <c r="D1210" s="8">
        <v>2.63</v>
      </c>
      <c r="E1210" s="4">
        <v>0</v>
      </c>
      <c r="F1210" s="8">
        <v>0</v>
      </c>
      <c r="G1210" s="4">
        <v>4</v>
      </c>
      <c r="H1210" s="8">
        <v>6.67</v>
      </c>
      <c r="I1210" s="4">
        <v>0</v>
      </c>
    </row>
    <row r="1211" spans="1:9" x14ac:dyDescent="0.2">
      <c r="A1211" s="2">
        <v>9</v>
      </c>
      <c r="B1211" s="1" t="s">
        <v>111</v>
      </c>
      <c r="C1211" s="4">
        <v>4</v>
      </c>
      <c r="D1211" s="8">
        <v>2.63</v>
      </c>
      <c r="E1211" s="4">
        <v>1</v>
      </c>
      <c r="F1211" s="8">
        <v>1.1599999999999999</v>
      </c>
      <c r="G1211" s="4">
        <v>3</v>
      </c>
      <c r="H1211" s="8">
        <v>5</v>
      </c>
      <c r="I1211" s="4">
        <v>0</v>
      </c>
    </row>
    <row r="1212" spans="1:9" x14ac:dyDescent="0.2">
      <c r="A1212" s="2">
        <v>9</v>
      </c>
      <c r="B1212" s="1" t="s">
        <v>113</v>
      </c>
      <c r="C1212" s="4">
        <v>4</v>
      </c>
      <c r="D1212" s="8">
        <v>2.63</v>
      </c>
      <c r="E1212" s="4">
        <v>2</v>
      </c>
      <c r="F1212" s="8">
        <v>2.33</v>
      </c>
      <c r="G1212" s="4">
        <v>1</v>
      </c>
      <c r="H1212" s="8">
        <v>1.67</v>
      </c>
      <c r="I1212" s="4">
        <v>0</v>
      </c>
    </row>
    <row r="1213" spans="1:9" x14ac:dyDescent="0.2">
      <c r="A1213" s="2">
        <v>12</v>
      </c>
      <c r="B1213" s="1" t="s">
        <v>103</v>
      </c>
      <c r="C1213" s="4">
        <v>3</v>
      </c>
      <c r="D1213" s="8">
        <v>1.97</v>
      </c>
      <c r="E1213" s="4">
        <v>2</v>
      </c>
      <c r="F1213" s="8">
        <v>2.33</v>
      </c>
      <c r="G1213" s="4">
        <v>1</v>
      </c>
      <c r="H1213" s="8">
        <v>1.67</v>
      </c>
      <c r="I1213" s="4">
        <v>0</v>
      </c>
    </row>
    <row r="1214" spans="1:9" x14ac:dyDescent="0.2">
      <c r="A1214" s="2">
        <v>12</v>
      </c>
      <c r="B1214" s="1" t="s">
        <v>127</v>
      </c>
      <c r="C1214" s="4">
        <v>3</v>
      </c>
      <c r="D1214" s="8">
        <v>1.97</v>
      </c>
      <c r="E1214" s="4">
        <v>0</v>
      </c>
      <c r="F1214" s="8">
        <v>0</v>
      </c>
      <c r="G1214" s="4">
        <v>3</v>
      </c>
      <c r="H1214" s="8">
        <v>5</v>
      </c>
      <c r="I1214" s="4">
        <v>0</v>
      </c>
    </row>
    <row r="1215" spans="1:9" x14ac:dyDescent="0.2">
      <c r="A1215" s="2">
        <v>12</v>
      </c>
      <c r="B1215" s="1" t="s">
        <v>104</v>
      </c>
      <c r="C1215" s="4">
        <v>3</v>
      </c>
      <c r="D1215" s="8">
        <v>1.97</v>
      </c>
      <c r="E1215" s="4">
        <v>1</v>
      </c>
      <c r="F1215" s="8">
        <v>1.1599999999999999</v>
      </c>
      <c r="G1215" s="4">
        <v>2</v>
      </c>
      <c r="H1215" s="8">
        <v>3.33</v>
      </c>
      <c r="I1215" s="4">
        <v>0</v>
      </c>
    </row>
    <row r="1216" spans="1:9" x14ac:dyDescent="0.2">
      <c r="A1216" s="2">
        <v>12</v>
      </c>
      <c r="B1216" s="1" t="s">
        <v>121</v>
      </c>
      <c r="C1216" s="4">
        <v>3</v>
      </c>
      <c r="D1216" s="8">
        <v>1.97</v>
      </c>
      <c r="E1216" s="4">
        <v>0</v>
      </c>
      <c r="F1216" s="8">
        <v>0</v>
      </c>
      <c r="G1216" s="4">
        <v>3</v>
      </c>
      <c r="H1216" s="8">
        <v>5</v>
      </c>
      <c r="I1216" s="4">
        <v>0</v>
      </c>
    </row>
    <row r="1217" spans="1:9" x14ac:dyDescent="0.2">
      <c r="A1217" s="2">
        <v>12</v>
      </c>
      <c r="B1217" s="1" t="s">
        <v>107</v>
      </c>
      <c r="C1217" s="4">
        <v>3</v>
      </c>
      <c r="D1217" s="8">
        <v>1.97</v>
      </c>
      <c r="E1217" s="4">
        <v>3</v>
      </c>
      <c r="F1217" s="8">
        <v>3.49</v>
      </c>
      <c r="G1217" s="4">
        <v>0</v>
      </c>
      <c r="H1217" s="8">
        <v>0</v>
      </c>
      <c r="I1217" s="4">
        <v>0</v>
      </c>
    </row>
    <row r="1218" spans="1:9" x14ac:dyDescent="0.2">
      <c r="A1218" s="2">
        <v>12</v>
      </c>
      <c r="B1218" s="1" t="s">
        <v>108</v>
      </c>
      <c r="C1218" s="4">
        <v>3</v>
      </c>
      <c r="D1218" s="8">
        <v>1.97</v>
      </c>
      <c r="E1218" s="4">
        <v>1</v>
      </c>
      <c r="F1218" s="8">
        <v>1.1599999999999999</v>
      </c>
      <c r="G1218" s="4">
        <v>2</v>
      </c>
      <c r="H1218" s="8">
        <v>3.33</v>
      </c>
      <c r="I1218" s="4">
        <v>0</v>
      </c>
    </row>
    <row r="1219" spans="1:9" x14ac:dyDescent="0.2">
      <c r="A1219" s="2">
        <v>12</v>
      </c>
      <c r="B1219" s="1" t="s">
        <v>119</v>
      </c>
      <c r="C1219" s="4">
        <v>3</v>
      </c>
      <c r="D1219" s="8">
        <v>1.97</v>
      </c>
      <c r="E1219" s="4">
        <v>0</v>
      </c>
      <c r="F1219" s="8">
        <v>0</v>
      </c>
      <c r="G1219" s="4">
        <v>1</v>
      </c>
      <c r="H1219" s="8">
        <v>1.67</v>
      </c>
      <c r="I1219" s="4">
        <v>0</v>
      </c>
    </row>
    <row r="1220" spans="1:9" x14ac:dyDescent="0.2">
      <c r="A1220" s="2">
        <v>19</v>
      </c>
      <c r="B1220" s="1" t="s">
        <v>156</v>
      </c>
      <c r="C1220" s="4">
        <v>2</v>
      </c>
      <c r="D1220" s="8">
        <v>1.32</v>
      </c>
      <c r="E1220" s="4">
        <v>0</v>
      </c>
      <c r="F1220" s="8">
        <v>0</v>
      </c>
      <c r="G1220" s="4">
        <v>2</v>
      </c>
      <c r="H1220" s="8">
        <v>3.33</v>
      </c>
      <c r="I1220" s="4">
        <v>0</v>
      </c>
    </row>
    <row r="1221" spans="1:9" x14ac:dyDescent="0.2">
      <c r="A1221" s="2">
        <v>19</v>
      </c>
      <c r="B1221" s="1" t="s">
        <v>158</v>
      </c>
      <c r="C1221" s="4">
        <v>2</v>
      </c>
      <c r="D1221" s="8">
        <v>1.32</v>
      </c>
      <c r="E1221" s="4">
        <v>1</v>
      </c>
      <c r="F1221" s="8">
        <v>1.1599999999999999</v>
      </c>
      <c r="G1221" s="4">
        <v>1</v>
      </c>
      <c r="H1221" s="8">
        <v>1.67</v>
      </c>
      <c r="I1221" s="4">
        <v>0</v>
      </c>
    </row>
    <row r="1222" spans="1:9" x14ac:dyDescent="0.2">
      <c r="A1222" s="2">
        <v>19</v>
      </c>
      <c r="B1222" s="1" t="s">
        <v>154</v>
      </c>
      <c r="C1222" s="4">
        <v>2</v>
      </c>
      <c r="D1222" s="8">
        <v>1.32</v>
      </c>
      <c r="E1222" s="4">
        <v>1</v>
      </c>
      <c r="F1222" s="8">
        <v>1.1599999999999999</v>
      </c>
      <c r="G1222" s="4">
        <v>1</v>
      </c>
      <c r="H1222" s="8">
        <v>1.67</v>
      </c>
      <c r="I1222" s="4">
        <v>0</v>
      </c>
    </row>
    <row r="1223" spans="1:9" x14ac:dyDescent="0.2">
      <c r="A1223" s="2">
        <v>19</v>
      </c>
      <c r="B1223" s="1" t="s">
        <v>125</v>
      </c>
      <c r="C1223" s="4">
        <v>2</v>
      </c>
      <c r="D1223" s="8">
        <v>1.32</v>
      </c>
      <c r="E1223" s="4">
        <v>0</v>
      </c>
      <c r="F1223" s="8">
        <v>0</v>
      </c>
      <c r="G1223" s="4">
        <v>2</v>
      </c>
      <c r="H1223" s="8">
        <v>3.33</v>
      </c>
      <c r="I1223" s="4">
        <v>0</v>
      </c>
    </row>
    <row r="1224" spans="1:9" x14ac:dyDescent="0.2">
      <c r="A1224" s="2">
        <v>19</v>
      </c>
      <c r="B1224" s="1" t="s">
        <v>114</v>
      </c>
      <c r="C1224" s="4">
        <v>2</v>
      </c>
      <c r="D1224" s="8">
        <v>1.32</v>
      </c>
      <c r="E1224" s="4">
        <v>2</v>
      </c>
      <c r="F1224" s="8">
        <v>2.33</v>
      </c>
      <c r="G1224" s="4">
        <v>0</v>
      </c>
      <c r="H1224" s="8">
        <v>0</v>
      </c>
      <c r="I1224" s="4">
        <v>0</v>
      </c>
    </row>
    <row r="1225" spans="1:9" x14ac:dyDescent="0.2">
      <c r="A1225" s="2">
        <v>19</v>
      </c>
      <c r="B1225" s="1" t="s">
        <v>163</v>
      </c>
      <c r="C1225" s="4">
        <v>2</v>
      </c>
      <c r="D1225" s="8">
        <v>1.32</v>
      </c>
      <c r="E1225" s="4">
        <v>0</v>
      </c>
      <c r="F1225" s="8">
        <v>0</v>
      </c>
      <c r="G1225" s="4">
        <v>2</v>
      </c>
      <c r="H1225" s="8">
        <v>3.33</v>
      </c>
      <c r="I1225" s="4">
        <v>0</v>
      </c>
    </row>
    <row r="1226" spans="1:9" x14ac:dyDescent="0.2">
      <c r="A1226" s="2">
        <v>19</v>
      </c>
      <c r="B1226" s="1" t="s">
        <v>147</v>
      </c>
      <c r="C1226" s="4">
        <v>2</v>
      </c>
      <c r="D1226" s="8">
        <v>1.32</v>
      </c>
      <c r="E1226" s="4">
        <v>0</v>
      </c>
      <c r="F1226" s="8">
        <v>0</v>
      </c>
      <c r="G1226" s="4">
        <v>2</v>
      </c>
      <c r="H1226" s="8">
        <v>3.33</v>
      </c>
      <c r="I1226" s="4">
        <v>0</v>
      </c>
    </row>
    <row r="1227" spans="1:9" x14ac:dyDescent="0.2">
      <c r="A1227" s="1"/>
      <c r="C1227" s="4"/>
      <c r="D1227" s="8"/>
      <c r="E1227" s="4"/>
      <c r="F1227" s="8"/>
      <c r="G1227" s="4"/>
      <c r="H1227" s="8"/>
      <c r="I1227" s="4"/>
    </row>
    <row r="1228" spans="1:9" x14ac:dyDescent="0.2">
      <c r="A1228" s="1" t="s">
        <v>52</v>
      </c>
      <c r="C1228" s="4"/>
      <c r="D1228" s="8"/>
      <c r="E1228" s="4"/>
      <c r="F1228" s="8"/>
      <c r="G1228" s="4"/>
      <c r="H1228" s="8"/>
      <c r="I1228" s="4"/>
    </row>
    <row r="1229" spans="1:9" x14ac:dyDescent="0.2">
      <c r="A1229" s="2">
        <v>1</v>
      </c>
      <c r="B1229" s="1" t="s">
        <v>114</v>
      </c>
      <c r="C1229" s="4">
        <v>12</v>
      </c>
      <c r="D1229" s="8">
        <v>21.82</v>
      </c>
      <c r="E1229" s="4">
        <v>10</v>
      </c>
      <c r="F1229" s="8">
        <v>26.32</v>
      </c>
      <c r="G1229" s="4">
        <v>2</v>
      </c>
      <c r="H1229" s="8">
        <v>20</v>
      </c>
      <c r="I1229" s="4">
        <v>0</v>
      </c>
    </row>
    <row r="1230" spans="1:9" x14ac:dyDescent="0.2">
      <c r="A1230" s="2">
        <v>2</v>
      </c>
      <c r="B1230" s="1" t="s">
        <v>108</v>
      </c>
      <c r="C1230" s="4">
        <v>7</v>
      </c>
      <c r="D1230" s="8">
        <v>12.73</v>
      </c>
      <c r="E1230" s="4">
        <v>6</v>
      </c>
      <c r="F1230" s="8">
        <v>15.79</v>
      </c>
      <c r="G1230" s="4">
        <v>1</v>
      </c>
      <c r="H1230" s="8">
        <v>10</v>
      </c>
      <c r="I1230" s="4">
        <v>0</v>
      </c>
    </row>
    <row r="1231" spans="1:9" x14ac:dyDescent="0.2">
      <c r="A1231" s="2">
        <v>2</v>
      </c>
      <c r="B1231" s="1" t="s">
        <v>115</v>
      </c>
      <c r="C1231" s="4">
        <v>7</v>
      </c>
      <c r="D1231" s="8">
        <v>12.73</v>
      </c>
      <c r="E1231" s="4">
        <v>7</v>
      </c>
      <c r="F1231" s="8">
        <v>18.420000000000002</v>
      </c>
      <c r="G1231" s="4">
        <v>0</v>
      </c>
      <c r="H1231" s="8">
        <v>0</v>
      </c>
      <c r="I1231" s="4">
        <v>0</v>
      </c>
    </row>
    <row r="1232" spans="1:9" x14ac:dyDescent="0.2">
      <c r="A1232" s="2">
        <v>4</v>
      </c>
      <c r="B1232" s="1" t="s">
        <v>127</v>
      </c>
      <c r="C1232" s="4">
        <v>5</v>
      </c>
      <c r="D1232" s="8">
        <v>9.09</v>
      </c>
      <c r="E1232" s="4">
        <v>3</v>
      </c>
      <c r="F1232" s="8">
        <v>7.89</v>
      </c>
      <c r="G1232" s="4">
        <v>2</v>
      </c>
      <c r="H1232" s="8">
        <v>20</v>
      </c>
      <c r="I1232" s="4">
        <v>0</v>
      </c>
    </row>
    <row r="1233" spans="1:9" x14ac:dyDescent="0.2">
      <c r="A1233" s="2">
        <v>5</v>
      </c>
      <c r="B1233" s="1" t="s">
        <v>110</v>
      </c>
      <c r="C1233" s="4">
        <v>3</v>
      </c>
      <c r="D1233" s="8">
        <v>5.45</v>
      </c>
      <c r="E1233" s="4">
        <v>2</v>
      </c>
      <c r="F1233" s="8">
        <v>5.26</v>
      </c>
      <c r="G1233" s="4">
        <v>1</v>
      </c>
      <c r="H1233" s="8">
        <v>10</v>
      </c>
      <c r="I1233" s="4">
        <v>0</v>
      </c>
    </row>
    <row r="1234" spans="1:9" x14ac:dyDescent="0.2">
      <c r="A1234" s="2">
        <v>5</v>
      </c>
      <c r="B1234" s="1" t="s">
        <v>117</v>
      </c>
      <c r="C1234" s="4">
        <v>3</v>
      </c>
      <c r="D1234" s="8">
        <v>5.45</v>
      </c>
      <c r="E1234" s="4">
        <v>1</v>
      </c>
      <c r="F1234" s="8">
        <v>2.63</v>
      </c>
      <c r="G1234" s="4">
        <v>0</v>
      </c>
      <c r="H1234" s="8">
        <v>0</v>
      </c>
      <c r="I1234" s="4">
        <v>0</v>
      </c>
    </row>
    <row r="1235" spans="1:9" x14ac:dyDescent="0.2">
      <c r="A1235" s="2">
        <v>7</v>
      </c>
      <c r="B1235" s="1" t="s">
        <v>107</v>
      </c>
      <c r="C1235" s="4">
        <v>2</v>
      </c>
      <c r="D1235" s="8">
        <v>3.64</v>
      </c>
      <c r="E1235" s="4">
        <v>2</v>
      </c>
      <c r="F1235" s="8">
        <v>5.26</v>
      </c>
      <c r="G1235" s="4">
        <v>0</v>
      </c>
      <c r="H1235" s="8">
        <v>0</v>
      </c>
      <c r="I1235" s="4">
        <v>0</v>
      </c>
    </row>
    <row r="1236" spans="1:9" x14ac:dyDescent="0.2">
      <c r="A1236" s="2">
        <v>7</v>
      </c>
      <c r="B1236" s="1" t="s">
        <v>113</v>
      </c>
      <c r="C1236" s="4">
        <v>2</v>
      </c>
      <c r="D1236" s="8">
        <v>3.64</v>
      </c>
      <c r="E1236" s="4">
        <v>1</v>
      </c>
      <c r="F1236" s="8">
        <v>2.63</v>
      </c>
      <c r="G1236" s="4">
        <v>0</v>
      </c>
      <c r="H1236" s="8">
        <v>0</v>
      </c>
      <c r="I1236" s="4">
        <v>0</v>
      </c>
    </row>
    <row r="1237" spans="1:9" x14ac:dyDescent="0.2">
      <c r="A1237" s="2">
        <v>7</v>
      </c>
      <c r="B1237" s="1" t="s">
        <v>116</v>
      </c>
      <c r="C1237" s="4">
        <v>2</v>
      </c>
      <c r="D1237" s="8">
        <v>3.64</v>
      </c>
      <c r="E1237" s="4">
        <v>2</v>
      </c>
      <c r="F1237" s="8">
        <v>5.26</v>
      </c>
      <c r="G1237" s="4">
        <v>0</v>
      </c>
      <c r="H1237" s="8">
        <v>0</v>
      </c>
      <c r="I1237" s="4">
        <v>0</v>
      </c>
    </row>
    <row r="1238" spans="1:9" x14ac:dyDescent="0.2">
      <c r="A1238" s="2">
        <v>7</v>
      </c>
      <c r="B1238" s="1" t="s">
        <v>163</v>
      </c>
      <c r="C1238" s="4">
        <v>2</v>
      </c>
      <c r="D1238" s="8">
        <v>3.64</v>
      </c>
      <c r="E1238" s="4">
        <v>2</v>
      </c>
      <c r="F1238" s="8">
        <v>5.26</v>
      </c>
      <c r="G1238" s="4">
        <v>0</v>
      </c>
      <c r="H1238" s="8">
        <v>0</v>
      </c>
      <c r="I1238" s="4">
        <v>0</v>
      </c>
    </row>
    <row r="1239" spans="1:9" x14ac:dyDescent="0.2">
      <c r="A1239" s="2">
        <v>11</v>
      </c>
      <c r="B1239" s="1" t="s">
        <v>149</v>
      </c>
      <c r="C1239" s="4">
        <v>1</v>
      </c>
      <c r="D1239" s="8">
        <v>1.82</v>
      </c>
      <c r="E1239" s="4">
        <v>0</v>
      </c>
      <c r="F1239" s="8">
        <v>0</v>
      </c>
      <c r="G1239" s="4">
        <v>1</v>
      </c>
      <c r="H1239" s="8">
        <v>10</v>
      </c>
      <c r="I1239" s="4">
        <v>0</v>
      </c>
    </row>
    <row r="1240" spans="1:9" x14ac:dyDescent="0.2">
      <c r="A1240" s="2">
        <v>11</v>
      </c>
      <c r="B1240" s="1" t="s">
        <v>101</v>
      </c>
      <c r="C1240" s="4">
        <v>1</v>
      </c>
      <c r="D1240" s="8">
        <v>1.82</v>
      </c>
      <c r="E1240" s="4">
        <v>0</v>
      </c>
      <c r="F1240" s="8">
        <v>0</v>
      </c>
      <c r="G1240" s="4">
        <v>1</v>
      </c>
      <c r="H1240" s="8">
        <v>10</v>
      </c>
      <c r="I1240" s="4">
        <v>0</v>
      </c>
    </row>
    <row r="1241" spans="1:9" x14ac:dyDescent="0.2">
      <c r="A1241" s="2">
        <v>11</v>
      </c>
      <c r="B1241" s="1" t="s">
        <v>157</v>
      </c>
      <c r="C1241" s="4">
        <v>1</v>
      </c>
      <c r="D1241" s="8">
        <v>1.82</v>
      </c>
      <c r="E1241" s="4">
        <v>1</v>
      </c>
      <c r="F1241" s="8">
        <v>2.63</v>
      </c>
      <c r="G1241" s="4">
        <v>0</v>
      </c>
      <c r="H1241" s="8">
        <v>0</v>
      </c>
      <c r="I1241" s="4">
        <v>0</v>
      </c>
    </row>
    <row r="1242" spans="1:9" x14ac:dyDescent="0.2">
      <c r="A1242" s="2">
        <v>11</v>
      </c>
      <c r="B1242" s="1" t="s">
        <v>138</v>
      </c>
      <c r="C1242" s="4">
        <v>1</v>
      </c>
      <c r="D1242" s="8">
        <v>1.82</v>
      </c>
      <c r="E1242" s="4">
        <v>1</v>
      </c>
      <c r="F1242" s="8">
        <v>2.63</v>
      </c>
      <c r="G1242" s="4">
        <v>0</v>
      </c>
      <c r="H1242" s="8">
        <v>0</v>
      </c>
      <c r="I1242" s="4">
        <v>0</v>
      </c>
    </row>
    <row r="1243" spans="1:9" x14ac:dyDescent="0.2">
      <c r="A1243" s="2">
        <v>11</v>
      </c>
      <c r="B1243" s="1" t="s">
        <v>143</v>
      </c>
      <c r="C1243" s="4">
        <v>1</v>
      </c>
      <c r="D1243" s="8">
        <v>1.82</v>
      </c>
      <c r="E1243" s="4">
        <v>0</v>
      </c>
      <c r="F1243" s="8">
        <v>0</v>
      </c>
      <c r="G1243" s="4">
        <v>1</v>
      </c>
      <c r="H1243" s="8">
        <v>10</v>
      </c>
      <c r="I1243" s="4">
        <v>0</v>
      </c>
    </row>
    <row r="1244" spans="1:9" x14ac:dyDescent="0.2">
      <c r="A1244" s="2">
        <v>11</v>
      </c>
      <c r="B1244" s="1" t="s">
        <v>139</v>
      </c>
      <c r="C1244" s="4">
        <v>1</v>
      </c>
      <c r="D1244" s="8">
        <v>1.82</v>
      </c>
      <c r="E1244" s="4">
        <v>0</v>
      </c>
      <c r="F1244" s="8">
        <v>0</v>
      </c>
      <c r="G1244" s="4">
        <v>0</v>
      </c>
      <c r="H1244" s="8">
        <v>0</v>
      </c>
      <c r="I1244" s="4">
        <v>0</v>
      </c>
    </row>
    <row r="1245" spans="1:9" x14ac:dyDescent="0.2">
      <c r="A1245" s="2">
        <v>11</v>
      </c>
      <c r="B1245" s="1" t="s">
        <v>146</v>
      </c>
      <c r="C1245" s="4">
        <v>1</v>
      </c>
      <c r="D1245" s="8">
        <v>1.82</v>
      </c>
      <c r="E1245" s="4">
        <v>0</v>
      </c>
      <c r="F1245" s="8">
        <v>0</v>
      </c>
      <c r="G1245" s="4">
        <v>0</v>
      </c>
      <c r="H1245" s="8">
        <v>0</v>
      </c>
      <c r="I1245" s="4">
        <v>1</v>
      </c>
    </row>
    <row r="1246" spans="1:9" x14ac:dyDescent="0.2">
      <c r="A1246" s="2">
        <v>11</v>
      </c>
      <c r="B1246" s="1" t="s">
        <v>109</v>
      </c>
      <c r="C1246" s="4">
        <v>1</v>
      </c>
      <c r="D1246" s="8">
        <v>1.82</v>
      </c>
      <c r="E1246" s="4">
        <v>0</v>
      </c>
      <c r="F1246" s="8">
        <v>0</v>
      </c>
      <c r="G1246" s="4">
        <v>1</v>
      </c>
      <c r="H1246" s="8">
        <v>10</v>
      </c>
      <c r="I1246" s="4">
        <v>0</v>
      </c>
    </row>
    <row r="1247" spans="1:9" x14ac:dyDescent="0.2">
      <c r="A1247" s="2">
        <v>11</v>
      </c>
      <c r="B1247" s="1" t="s">
        <v>132</v>
      </c>
      <c r="C1247" s="4">
        <v>1</v>
      </c>
      <c r="D1247" s="8">
        <v>1.82</v>
      </c>
      <c r="E1247" s="4">
        <v>0</v>
      </c>
      <c r="F1247" s="8">
        <v>0</v>
      </c>
      <c r="G1247" s="4">
        <v>0</v>
      </c>
      <c r="H1247" s="8">
        <v>0</v>
      </c>
      <c r="I1247" s="4">
        <v>0</v>
      </c>
    </row>
    <row r="1248" spans="1:9" x14ac:dyDescent="0.2">
      <c r="A1248" s="2">
        <v>11</v>
      </c>
      <c r="B1248" s="1" t="s">
        <v>119</v>
      </c>
      <c r="C1248" s="4">
        <v>1</v>
      </c>
      <c r="D1248" s="8">
        <v>1.82</v>
      </c>
      <c r="E1248" s="4">
        <v>0</v>
      </c>
      <c r="F1248" s="8">
        <v>0</v>
      </c>
      <c r="G1248" s="4">
        <v>0</v>
      </c>
      <c r="H1248" s="8">
        <v>0</v>
      </c>
      <c r="I1248" s="4">
        <v>0</v>
      </c>
    </row>
    <row r="1249" spans="1:9" x14ac:dyDescent="0.2">
      <c r="A1249" s="1"/>
      <c r="C1249" s="4"/>
      <c r="D1249" s="8"/>
      <c r="E1249" s="4"/>
      <c r="F1249" s="8"/>
      <c r="G1249" s="4"/>
      <c r="H1249" s="8"/>
      <c r="I1249" s="4"/>
    </row>
    <row r="1250" spans="1:9" x14ac:dyDescent="0.2">
      <c r="A1250" s="1" t="s">
        <v>53</v>
      </c>
      <c r="C1250" s="4"/>
      <c r="D1250" s="8"/>
      <c r="E1250" s="4"/>
      <c r="F1250" s="8"/>
      <c r="G1250" s="4"/>
      <c r="H1250" s="8"/>
      <c r="I1250" s="4"/>
    </row>
    <row r="1251" spans="1:9" x14ac:dyDescent="0.2">
      <c r="A1251" s="2">
        <v>1</v>
      </c>
      <c r="B1251" s="1" t="s">
        <v>115</v>
      </c>
      <c r="C1251" s="4">
        <v>21</v>
      </c>
      <c r="D1251" s="8">
        <v>10.24</v>
      </c>
      <c r="E1251" s="4">
        <v>18</v>
      </c>
      <c r="F1251" s="8">
        <v>13.64</v>
      </c>
      <c r="G1251" s="4">
        <v>3</v>
      </c>
      <c r="H1251" s="8">
        <v>4.4800000000000004</v>
      </c>
      <c r="I1251" s="4">
        <v>0</v>
      </c>
    </row>
    <row r="1252" spans="1:9" x14ac:dyDescent="0.2">
      <c r="A1252" s="2">
        <v>2</v>
      </c>
      <c r="B1252" s="1" t="s">
        <v>110</v>
      </c>
      <c r="C1252" s="4">
        <v>18</v>
      </c>
      <c r="D1252" s="8">
        <v>8.7799999999999994</v>
      </c>
      <c r="E1252" s="4">
        <v>13</v>
      </c>
      <c r="F1252" s="8">
        <v>9.85</v>
      </c>
      <c r="G1252" s="4">
        <v>5</v>
      </c>
      <c r="H1252" s="8">
        <v>7.46</v>
      </c>
      <c r="I1252" s="4">
        <v>0</v>
      </c>
    </row>
    <row r="1253" spans="1:9" x14ac:dyDescent="0.2">
      <c r="A1253" s="2">
        <v>3</v>
      </c>
      <c r="B1253" s="1" t="s">
        <v>108</v>
      </c>
      <c r="C1253" s="4">
        <v>16</v>
      </c>
      <c r="D1253" s="8">
        <v>7.8</v>
      </c>
      <c r="E1253" s="4">
        <v>11</v>
      </c>
      <c r="F1253" s="8">
        <v>8.33</v>
      </c>
      <c r="G1253" s="4">
        <v>5</v>
      </c>
      <c r="H1253" s="8">
        <v>7.46</v>
      </c>
      <c r="I1253" s="4">
        <v>0</v>
      </c>
    </row>
    <row r="1254" spans="1:9" x14ac:dyDescent="0.2">
      <c r="A1254" s="2">
        <v>4</v>
      </c>
      <c r="B1254" s="1" t="s">
        <v>137</v>
      </c>
      <c r="C1254" s="4">
        <v>15</v>
      </c>
      <c r="D1254" s="8">
        <v>7.32</v>
      </c>
      <c r="E1254" s="4">
        <v>6</v>
      </c>
      <c r="F1254" s="8">
        <v>4.55</v>
      </c>
      <c r="G1254" s="4">
        <v>9</v>
      </c>
      <c r="H1254" s="8">
        <v>13.43</v>
      </c>
      <c r="I1254" s="4">
        <v>0</v>
      </c>
    </row>
    <row r="1255" spans="1:9" x14ac:dyDescent="0.2">
      <c r="A1255" s="2">
        <v>4</v>
      </c>
      <c r="B1255" s="1" t="s">
        <v>111</v>
      </c>
      <c r="C1255" s="4">
        <v>15</v>
      </c>
      <c r="D1255" s="8">
        <v>7.32</v>
      </c>
      <c r="E1255" s="4">
        <v>12</v>
      </c>
      <c r="F1255" s="8">
        <v>9.09</v>
      </c>
      <c r="G1255" s="4">
        <v>3</v>
      </c>
      <c r="H1255" s="8">
        <v>4.4800000000000004</v>
      </c>
      <c r="I1255" s="4">
        <v>0</v>
      </c>
    </row>
    <row r="1256" spans="1:9" x14ac:dyDescent="0.2">
      <c r="A1256" s="2">
        <v>6</v>
      </c>
      <c r="B1256" s="1" t="s">
        <v>116</v>
      </c>
      <c r="C1256" s="4">
        <v>14</v>
      </c>
      <c r="D1256" s="8">
        <v>6.83</v>
      </c>
      <c r="E1256" s="4">
        <v>12</v>
      </c>
      <c r="F1256" s="8">
        <v>9.09</v>
      </c>
      <c r="G1256" s="4">
        <v>2</v>
      </c>
      <c r="H1256" s="8">
        <v>2.99</v>
      </c>
      <c r="I1256" s="4">
        <v>0</v>
      </c>
    </row>
    <row r="1257" spans="1:9" x14ac:dyDescent="0.2">
      <c r="A1257" s="2">
        <v>7</v>
      </c>
      <c r="B1257" s="1" t="s">
        <v>101</v>
      </c>
      <c r="C1257" s="4">
        <v>13</v>
      </c>
      <c r="D1257" s="8">
        <v>6.34</v>
      </c>
      <c r="E1257" s="4">
        <v>6</v>
      </c>
      <c r="F1257" s="8">
        <v>4.55</v>
      </c>
      <c r="G1257" s="4">
        <v>7</v>
      </c>
      <c r="H1257" s="8">
        <v>10.45</v>
      </c>
      <c r="I1257" s="4">
        <v>0</v>
      </c>
    </row>
    <row r="1258" spans="1:9" x14ac:dyDescent="0.2">
      <c r="A1258" s="2">
        <v>7</v>
      </c>
      <c r="B1258" s="1" t="s">
        <v>102</v>
      </c>
      <c r="C1258" s="4">
        <v>13</v>
      </c>
      <c r="D1258" s="8">
        <v>6.34</v>
      </c>
      <c r="E1258" s="4">
        <v>10</v>
      </c>
      <c r="F1258" s="8">
        <v>7.58</v>
      </c>
      <c r="G1258" s="4">
        <v>3</v>
      </c>
      <c r="H1258" s="8">
        <v>4.4800000000000004</v>
      </c>
      <c r="I1258" s="4">
        <v>0</v>
      </c>
    </row>
    <row r="1259" spans="1:9" x14ac:dyDescent="0.2">
      <c r="A1259" s="2">
        <v>9</v>
      </c>
      <c r="B1259" s="1" t="s">
        <v>103</v>
      </c>
      <c r="C1259" s="4">
        <v>6</v>
      </c>
      <c r="D1259" s="8">
        <v>2.93</v>
      </c>
      <c r="E1259" s="4">
        <v>1</v>
      </c>
      <c r="F1259" s="8">
        <v>0.76</v>
      </c>
      <c r="G1259" s="4">
        <v>5</v>
      </c>
      <c r="H1259" s="8">
        <v>7.46</v>
      </c>
      <c r="I1259" s="4">
        <v>0</v>
      </c>
    </row>
    <row r="1260" spans="1:9" x14ac:dyDescent="0.2">
      <c r="A1260" s="2">
        <v>9</v>
      </c>
      <c r="B1260" s="1" t="s">
        <v>121</v>
      </c>
      <c r="C1260" s="4">
        <v>6</v>
      </c>
      <c r="D1260" s="8">
        <v>2.93</v>
      </c>
      <c r="E1260" s="4">
        <v>4</v>
      </c>
      <c r="F1260" s="8">
        <v>3.03</v>
      </c>
      <c r="G1260" s="4">
        <v>2</v>
      </c>
      <c r="H1260" s="8">
        <v>2.99</v>
      </c>
      <c r="I1260" s="4">
        <v>0</v>
      </c>
    </row>
    <row r="1261" spans="1:9" x14ac:dyDescent="0.2">
      <c r="A1261" s="2">
        <v>9</v>
      </c>
      <c r="B1261" s="1" t="s">
        <v>107</v>
      </c>
      <c r="C1261" s="4">
        <v>6</v>
      </c>
      <c r="D1261" s="8">
        <v>2.93</v>
      </c>
      <c r="E1261" s="4">
        <v>6</v>
      </c>
      <c r="F1261" s="8">
        <v>4.55</v>
      </c>
      <c r="G1261" s="4">
        <v>0</v>
      </c>
      <c r="H1261" s="8">
        <v>0</v>
      </c>
      <c r="I1261" s="4">
        <v>0</v>
      </c>
    </row>
    <row r="1262" spans="1:9" x14ac:dyDescent="0.2">
      <c r="A1262" s="2">
        <v>9</v>
      </c>
      <c r="B1262" s="1" t="s">
        <v>109</v>
      </c>
      <c r="C1262" s="4">
        <v>6</v>
      </c>
      <c r="D1262" s="8">
        <v>2.93</v>
      </c>
      <c r="E1262" s="4">
        <v>3</v>
      </c>
      <c r="F1262" s="8">
        <v>2.27</v>
      </c>
      <c r="G1262" s="4">
        <v>3</v>
      </c>
      <c r="H1262" s="8">
        <v>4.4800000000000004</v>
      </c>
      <c r="I1262" s="4">
        <v>0</v>
      </c>
    </row>
    <row r="1263" spans="1:9" x14ac:dyDescent="0.2">
      <c r="A1263" s="2">
        <v>9</v>
      </c>
      <c r="B1263" s="1" t="s">
        <v>114</v>
      </c>
      <c r="C1263" s="4">
        <v>6</v>
      </c>
      <c r="D1263" s="8">
        <v>2.93</v>
      </c>
      <c r="E1263" s="4">
        <v>3</v>
      </c>
      <c r="F1263" s="8">
        <v>2.27</v>
      </c>
      <c r="G1263" s="4">
        <v>3</v>
      </c>
      <c r="H1263" s="8">
        <v>4.4800000000000004</v>
      </c>
      <c r="I1263" s="4">
        <v>0</v>
      </c>
    </row>
    <row r="1264" spans="1:9" x14ac:dyDescent="0.2">
      <c r="A1264" s="2">
        <v>9</v>
      </c>
      <c r="B1264" s="1" t="s">
        <v>117</v>
      </c>
      <c r="C1264" s="4">
        <v>6</v>
      </c>
      <c r="D1264" s="8">
        <v>2.93</v>
      </c>
      <c r="E1264" s="4">
        <v>5</v>
      </c>
      <c r="F1264" s="8">
        <v>3.79</v>
      </c>
      <c r="G1264" s="4">
        <v>0</v>
      </c>
      <c r="H1264" s="8">
        <v>0</v>
      </c>
      <c r="I1264" s="4">
        <v>1</v>
      </c>
    </row>
    <row r="1265" spans="1:9" x14ac:dyDescent="0.2">
      <c r="A1265" s="2">
        <v>15</v>
      </c>
      <c r="B1265" s="1" t="s">
        <v>113</v>
      </c>
      <c r="C1265" s="4">
        <v>5</v>
      </c>
      <c r="D1265" s="8">
        <v>2.44</v>
      </c>
      <c r="E1265" s="4">
        <v>2</v>
      </c>
      <c r="F1265" s="8">
        <v>1.52</v>
      </c>
      <c r="G1265" s="4">
        <v>2</v>
      </c>
      <c r="H1265" s="8">
        <v>2.99</v>
      </c>
      <c r="I1265" s="4">
        <v>0</v>
      </c>
    </row>
    <row r="1266" spans="1:9" x14ac:dyDescent="0.2">
      <c r="A1266" s="2">
        <v>15</v>
      </c>
      <c r="B1266" s="1" t="s">
        <v>118</v>
      </c>
      <c r="C1266" s="4">
        <v>5</v>
      </c>
      <c r="D1266" s="8">
        <v>2.44</v>
      </c>
      <c r="E1266" s="4">
        <v>5</v>
      </c>
      <c r="F1266" s="8">
        <v>3.79</v>
      </c>
      <c r="G1266" s="4">
        <v>0</v>
      </c>
      <c r="H1266" s="8">
        <v>0</v>
      </c>
      <c r="I1266" s="4">
        <v>0</v>
      </c>
    </row>
    <row r="1267" spans="1:9" x14ac:dyDescent="0.2">
      <c r="A1267" s="2">
        <v>17</v>
      </c>
      <c r="B1267" s="1" t="s">
        <v>112</v>
      </c>
      <c r="C1267" s="4">
        <v>4</v>
      </c>
      <c r="D1267" s="8">
        <v>1.95</v>
      </c>
      <c r="E1267" s="4">
        <v>4</v>
      </c>
      <c r="F1267" s="8">
        <v>3.03</v>
      </c>
      <c r="G1267" s="4">
        <v>0</v>
      </c>
      <c r="H1267" s="8">
        <v>0</v>
      </c>
      <c r="I1267" s="4">
        <v>0</v>
      </c>
    </row>
    <row r="1268" spans="1:9" x14ac:dyDescent="0.2">
      <c r="A1268" s="2">
        <v>18</v>
      </c>
      <c r="B1268" s="1" t="s">
        <v>130</v>
      </c>
      <c r="C1268" s="4">
        <v>3</v>
      </c>
      <c r="D1268" s="8">
        <v>1.46</v>
      </c>
      <c r="E1268" s="4">
        <v>3</v>
      </c>
      <c r="F1268" s="8">
        <v>2.27</v>
      </c>
      <c r="G1268" s="4">
        <v>0</v>
      </c>
      <c r="H1268" s="8">
        <v>0</v>
      </c>
      <c r="I1268" s="4">
        <v>0</v>
      </c>
    </row>
    <row r="1269" spans="1:9" x14ac:dyDescent="0.2">
      <c r="A1269" s="2">
        <v>18</v>
      </c>
      <c r="B1269" s="1" t="s">
        <v>106</v>
      </c>
      <c r="C1269" s="4">
        <v>3</v>
      </c>
      <c r="D1269" s="8">
        <v>1.46</v>
      </c>
      <c r="E1269" s="4">
        <v>1</v>
      </c>
      <c r="F1269" s="8">
        <v>0.76</v>
      </c>
      <c r="G1269" s="4">
        <v>2</v>
      </c>
      <c r="H1269" s="8">
        <v>2.99</v>
      </c>
      <c r="I1269" s="4">
        <v>0</v>
      </c>
    </row>
    <row r="1270" spans="1:9" x14ac:dyDescent="0.2">
      <c r="A1270" s="2">
        <v>20</v>
      </c>
      <c r="B1270" s="1" t="s">
        <v>155</v>
      </c>
      <c r="C1270" s="4">
        <v>2</v>
      </c>
      <c r="D1270" s="8">
        <v>0.98</v>
      </c>
      <c r="E1270" s="4">
        <v>0</v>
      </c>
      <c r="F1270" s="8">
        <v>0</v>
      </c>
      <c r="G1270" s="4">
        <v>2</v>
      </c>
      <c r="H1270" s="8">
        <v>2.99</v>
      </c>
      <c r="I1270" s="4">
        <v>0</v>
      </c>
    </row>
    <row r="1271" spans="1:9" x14ac:dyDescent="0.2">
      <c r="A1271" s="2">
        <v>20</v>
      </c>
      <c r="B1271" s="1" t="s">
        <v>135</v>
      </c>
      <c r="C1271" s="4">
        <v>2</v>
      </c>
      <c r="D1271" s="8">
        <v>0.98</v>
      </c>
      <c r="E1271" s="4">
        <v>2</v>
      </c>
      <c r="F1271" s="8">
        <v>1.52</v>
      </c>
      <c r="G1271" s="4">
        <v>0</v>
      </c>
      <c r="H1271" s="8">
        <v>0</v>
      </c>
      <c r="I1271" s="4">
        <v>0</v>
      </c>
    </row>
    <row r="1272" spans="1:9" x14ac:dyDescent="0.2">
      <c r="A1272" s="2">
        <v>20</v>
      </c>
      <c r="B1272" s="1" t="s">
        <v>133</v>
      </c>
      <c r="C1272" s="4">
        <v>2</v>
      </c>
      <c r="D1272" s="8">
        <v>0.98</v>
      </c>
      <c r="E1272" s="4">
        <v>1</v>
      </c>
      <c r="F1272" s="8">
        <v>0.76</v>
      </c>
      <c r="G1272" s="4">
        <v>1</v>
      </c>
      <c r="H1272" s="8">
        <v>1.49</v>
      </c>
      <c r="I1272" s="4">
        <v>0</v>
      </c>
    </row>
    <row r="1273" spans="1:9" x14ac:dyDescent="0.2">
      <c r="A1273" s="2">
        <v>20</v>
      </c>
      <c r="B1273" s="1" t="s">
        <v>153</v>
      </c>
      <c r="C1273" s="4">
        <v>2</v>
      </c>
      <c r="D1273" s="8">
        <v>0.98</v>
      </c>
      <c r="E1273" s="4">
        <v>0</v>
      </c>
      <c r="F1273" s="8">
        <v>0</v>
      </c>
      <c r="G1273" s="4">
        <v>2</v>
      </c>
      <c r="H1273" s="8">
        <v>2.99</v>
      </c>
      <c r="I1273" s="4">
        <v>0</v>
      </c>
    </row>
    <row r="1274" spans="1:9" x14ac:dyDescent="0.2">
      <c r="A1274" s="2">
        <v>20</v>
      </c>
      <c r="B1274" s="1" t="s">
        <v>131</v>
      </c>
      <c r="C1274" s="4">
        <v>2</v>
      </c>
      <c r="D1274" s="8">
        <v>0.98</v>
      </c>
      <c r="E1274" s="4">
        <v>1</v>
      </c>
      <c r="F1274" s="8">
        <v>0.76</v>
      </c>
      <c r="G1274" s="4">
        <v>1</v>
      </c>
      <c r="H1274" s="8">
        <v>1.49</v>
      </c>
      <c r="I1274" s="4">
        <v>0</v>
      </c>
    </row>
    <row r="1275" spans="1:9" x14ac:dyDescent="0.2">
      <c r="A1275" s="2">
        <v>20</v>
      </c>
      <c r="B1275" s="1" t="s">
        <v>119</v>
      </c>
      <c r="C1275" s="4">
        <v>2</v>
      </c>
      <c r="D1275" s="8">
        <v>0.98</v>
      </c>
      <c r="E1275" s="4">
        <v>0</v>
      </c>
      <c r="F1275" s="8">
        <v>0</v>
      </c>
      <c r="G1275" s="4">
        <v>1</v>
      </c>
      <c r="H1275" s="8">
        <v>1.49</v>
      </c>
      <c r="I1275" s="4">
        <v>0</v>
      </c>
    </row>
    <row r="1276" spans="1:9" x14ac:dyDescent="0.2">
      <c r="A1276" s="1"/>
      <c r="C1276" s="4"/>
      <c r="D1276" s="8"/>
      <c r="E1276" s="4"/>
      <c r="F1276" s="8"/>
      <c r="G1276" s="4"/>
      <c r="H1276" s="8"/>
      <c r="I1276" s="4"/>
    </row>
    <row r="1277" spans="1:9" x14ac:dyDescent="0.2">
      <c r="A1277" s="1" t="s">
        <v>54</v>
      </c>
      <c r="C1277" s="4"/>
      <c r="D1277" s="8"/>
      <c r="E1277" s="4"/>
      <c r="F1277" s="8"/>
      <c r="G1277" s="4"/>
      <c r="H1277" s="8"/>
      <c r="I1277" s="4"/>
    </row>
    <row r="1278" spans="1:9" x14ac:dyDescent="0.2">
      <c r="A1278" s="2">
        <v>1</v>
      </c>
      <c r="B1278" s="1" t="s">
        <v>110</v>
      </c>
      <c r="C1278" s="4">
        <v>25</v>
      </c>
      <c r="D1278" s="8">
        <v>11.36</v>
      </c>
      <c r="E1278" s="4">
        <v>21</v>
      </c>
      <c r="F1278" s="8">
        <v>13.73</v>
      </c>
      <c r="G1278" s="4">
        <v>4</v>
      </c>
      <c r="H1278" s="8">
        <v>6.15</v>
      </c>
      <c r="I1278" s="4">
        <v>0</v>
      </c>
    </row>
    <row r="1279" spans="1:9" x14ac:dyDescent="0.2">
      <c r="A1279" s="2">
        <v>2</v>
      </c>
      <c r="B1279" s="1" t="s">
        <v>137</v>
      </c>
      <c r="C1279" s="4">
        <v>24</v>
      </c>
      <c r="D1279" s="8">
        <v>10.91</v>
      </c>
      <c r="E1279" s="4">
        <v>14</v>
      </c>
      <c r="F1279" s="8">
        <v>9.15</v>
      </c>
      <c r="G1279" s="4">
        <v>10</v>
      </c>
      <c r="H1279" s="8">
        <v>15.38</v>
      </c>
      <c r="I1279" s="4">
        <v>0</v>
      </c>
    </row>
    <row r="1280" spans="1:9" x14ac:dyDescent="0.2">
      <c r="A1280" s="2">
        <v>3</v>
      </c>
      <c r="B1280" s="1" t="s">
        <v>101</v>
      </c>
      <c r="C1280" s="4">
        <v>21</v>
      </c>
      <c r="D1280" s="8">
        <v>9.5500000000000007</v>
      </c>
      <c r="E1280" s="4">
        <v>5</v>
      </c>
      <c r="F1280" s="8">
        <v>3.27</v>
      </c>
      <c r="G1280" s="4">
        <v>16</v>
      </c>
      <c r="H1280" s="8">
        <v>24.62</v>
      </c>
      <c r="I1280" s="4">
        <v>0</v>
      </c>
    </row>
    <row r="1281" spans="1:9" x14ac:dyDescent="0.2">
      <c r="A1281" s="2">
        <v>4</v>
      </c>
      <c r="B1281" s="1" t="s">
        <v>115</v>
      </c>
      <c r="C1281" s="4">
        <v>18</v>
      </c>
      <c r="D1281" s="8">
        <v>8.18</v>
      </c>
      <c r="E1281" s="4">
        <v>15</v>
      </c>
      <c r="F1281" s="8">
        <v>9.8000000000000007</v>
      </c>
      <c r="G1281" s="4">
        <v>3</v>
      </c>
      <c r="H1281" s="8">
        <v>4.62</v>
      </c>
      <c r="I1281" s="4">
        <v>0</v>
      </c>
    </row>
    <row r="1282" spans="1:9" x14ac:dyDescent="0.2">
      <c r="A1282" s="2">
        <v>5</v>
      </c>
      <c r="B1282" s="1" t="s">
        <v>114</v>
      </c>
      <c r="C1282" s="4">
        <v>17</v>
      </c>
      <c r="D1282" s="8">
        <v>7.73</v>
      </c>
      <c r="E1282" s="4">
        <v>12</v>
      </c>
      <c r="F1282" s="8">
        <v>7.84</v>
      </c>
      <c r="G1282" s="4">
        <v>5</v>
      </c>
      <c r="H1282" s="8">
        <v>7.69</v>
      </c>
      <c r="I1282" s="4">
        <v>0</v>
      </c>
    </row>
    <row r="1283" spans="1:9" x14ac:dyDescent="0.2">
      <c r="A1283" s="2">
        <v>6</v>
      </c>
      <c r="B1283" s="1" t="s">
        <v>108</v>
      </c>
      <c r="C1283" s="4">
        <v>15</v>
      </c>
      <c r="D1283" s="8">
        <v>6.82</v>
      </c>
      <c r="E1283" s="4">
        <v>13</v>
      </c>
      <c r="F1283" s="8">
        <v>8.5</v>
      </c>
      <c r="G1283" s="4">
        <v>2</v>
      </c>
      <c r="H1283" s="8">
        <v>3.08</v>
      </c>
      <c r="I1283" s="4">
        <v>0</v>
      </c>
    </row>
    <row r="1284" spans="1:9" x14ac:dyDescent="0.2">
      <c r="A1284" s="2">
        <v>7</v>
      </c>
      <c r="B1284" s="1" t="s">
        <v>102</v>
      </c>
      <c r="C1284" s="4">
        <v>10</v>
      </c>
      <c r="D1284" s="8">
        <v>4.55</v>
      </c>
      <c r="E1284" s="4">
        <v>9</v>
      </c>
      <c r="F1284" s="8">
        <v>5.88</v>
      </c>
      <c r="G1284" s="4">
        <v>1</v>
      </c>
      <c r="H1284" s="8">
        <v>1.54</v>
      </c>
      <c r="I1284" s="4">
        <v>0</v>
      </c>
    </row>
    <row r="1285" spans="1:9" x14ac:dyDescent="0.2">
      <c r="A1285" s="2">
        <v>7</v>
      </c>
      <c r="B1285" s="1" t="s">
        <v>116</v>
      </c>
      <c r="C1285" s="4">
        <v>10</v>
      </c>
      <c r="D1285" s="8">
        <v>4.55</v>
      </c>
      <c r="E1285" s="4">
        <v>10</v>
      </c>
      <c r="F1285" s="8">
        <v>6.54</v>
      </c>
      <c r="G1285" s="4">
        <v>0</v>
      </c>
      <c r="H1285" s="8">
        <v>0</v>
      </c>
      <c r="I1285" s="4">
        <v>0</v>
      </c>
    </row>
    <row r="1286" spans="1:9" x14ac:dyDescent="0.2">
      <c r="A1286" s="2">
        <v>9</v>
      </c>
      <c r="B1286" s="1" t="s">
        <v>103</v>
      </c>
      <c r="C1286" s="4">
        <v>9</v>
      </c>
      <c r="D1286" s="8">
        <v>4.09</v>
      </c>
      <c r="E1286" s="4">
        <v>5</v>
      </c>
      <c r="F1286" s="8">
        <v>3.27</v>
      </c>
      <c r="G1286" s="4">
        <v>4</v>
      </c>
      <c r="H1286" s="8">
        <v>6.15</v>
      </c>
      <c r="I1286" s="4">
        <v>0</v>
      </c>
    </row>
    <row r="1287" spans="1:9" x14ac:dyDescent="0.2">
      <c r="A1287" s="2">
        <v>10</v>
      </c>
      <c r="B1287" s="1" t="s">
        <v>121</v>
      </c>
      <c r="C1287" s="4">
        <v>6</v>
      </c>
      <c r="D1287" s="8">
        <v>2.73</v>
      </c>
      <c r="E1287" s="4">
        <v>2</v>
      </c>
      <c r="F1287" s="8">
        <v>1.31</v>
      </c>
      <c r="G1287" s="4">
        <v>4</v>
      </c>
      <c r="H1287" s="8">
        <v>6.15</v>
      </c>
      <c r="I1287" s="4">
        <v>0</v>
      </c>
    </row>
    <row r="1288" spans="1:9" x14ac:dyDescent="0.2">
      <c r="A1288" s="2">
        <v>10</v>
      </c>
      <c r="B1288" s="1" t="s">
        <v>109</v>
      </c>
      <c r="C1288" s="4">
        <v>6</v>
      </c>
      <c r="D1288" s="8">
        <v>2.73</v>
      </c>
      <c r="E1288" s="4">
        <v>5</v>
      </c>
      <c r="F1288" s="8">
        <v>3.27</v>
      </c>
      <c r="G1288" s="4">
        <v>1</v>
      </c>
      <c r="H1288" s="8">
        <v>1.54</v>
      </c>
      <c r="I1288" s="4">
        <v>0</v>
      </c>
    </row>
    <row r="1289" spans="1:9" x14ac:dyDescent="0.2">
      <c r="A1289" s="2">
        <v>12</v>
      </c>
      <c r="B1289" s="1" t="s">
        <v>127</v>
      </c>
      <c r="C1289" s="4">
        <v>4</v>
      </c>
      <c r="D1289" s="8">
        <v>1.82</v>
      </c>
      <c r="E1289" s="4">
        <v>3</v>
      </c>
      <c r="F1289" s="8">
        <v>1.96</v>
      </c>
      <c r="G1289" s="4">
        <v>1</v>
      </c>
      <c r="H1289" s="8">
        <v>1.54</v>
      </c>
      <c r="I1289" s="4">
        <v>0</v>
      </c>
    </row>
    <row r="1290" spans="1:9" x14ac:dyDescent="0.2">
      <c r="A1290" s="2">
        <v>12</v>
      </c>
      <c r="B1290" s="1" t="s">
        <v>111</v>
      </c>
      <c r="C1290" s="4">
        <v>4</v>
      </c>
      <c r="D1290" s="8">
        <v>1.82</v>
      </c>
      <c r="E1290" s="4">
        <v>2</v>
      </c>
      <c r="F1290" s="8">
        <v>1.31</v>
      </c>
      <c r="G1290" s="4">
        <v>2</v>
      </c>
      <c r="H1290" s="8">
        <v>3.08</v>
      </c>
      <c r="I1290" s="4">
        <v>0</v>
      </c>
    </row>
    <row r="1291" spans="1:9" x14ac:dyDescent="0.2">
      <c r="A1291" s="2">
        <v>12</v>
      </c>
      <c r="B1291" s="1" t="s">
        <v>112</v>
      </c>
      <c r="C1291" s="4">
        <v>4</v>
      </c>
      <c r="D1291" s="8">
        <v>1.82</v>
      </c>
      <c r="E1291" s="4">
        <v>4</v>
      </c>
      <c r="F1291" s="8">
        <v>2.61</v>
      </c>
      <c r="G1291" s="4">
        <v>0</v>
      </c>
      <c r="H1291" s="8">
        <v>0</v>
      </c>
      <c r="I1291" s="4">
        <v>0</v>
      </c>
    </row>
    <row r="1292" spans="1:9" x14ac:dyDescent="0.2">
      <c r="A1292" s="2">
        <v>12</v>
      </c>
      <c r="B1292" s="1" t="s">
        <v>117</v>
      </c>
      <c r="C1292" s="4">
        <v>4</v>
      </c>
      <c r="D1292" s="8">
        <v>1.82</v>
      </c>
      <c r="E1292" s="4">
        <v>4</v>
      </c>
      <c r="F1292" s="8">
        <v>2.61</v>
      </c>
      <c r="G1292" s="4">
        <v>0</v>
      </c>
      <c r="H1292" s="8">
        <v>0</v>
      </c>
      <c r="I1292" s="4">
        <v>0</v>
      </c>
    </row>
    <row r="1293" spans="1:9" x14ac:dyDescent="0.2">
      <c r="A1293" s="2">
        <v>16</v>
      </c>
      <c r="B1293" s="1" t="s">
        <v>130</v>
      </c>
      <c r="C1293" s="4">
        <v>3</v>
      </c>
      <c r="D1293" s="8">
        <v>1.36</v>
      </c>
      <c r="E1293" s="4">
        <v>3</v>
      </c>
      <c r="F1293" s="8">
        <v>1.96</v>
      </c>
      <c r="G1293" s="4">
        <v>0</v>
      </c>
      <c r="H1293" s="8">
        <v>0</v>
      </c>
      <c r="I1293" s="4">
        <v>0</v>
      </c>
    </row>
    <row r="1294" spans="1:9" x14ac:dyDescent="0.2">
      <c r="A1294" s="2">
        <v>16</v>
      </c>
      <c r="B1294" s="1" t="s">
        <v>135</v>
      </c>
      <c r="C1294" s="4">
        <v>3</v>
      </c>
      <c r="D1294" s="8">
        <v>1.36</v>
      </c>
      <c r="E1294" s="4">
        <v>1</v>
      </c>
      <c r="F1294" s="8">
        <v>0.65</v>
      </c>
      <c r="G1294" s="4">
        <v>2</v>
      </c>
      <c r="H1294" s="8">
        <v>3.08</v>
      </c>
      <c r="I1294" s="4">
        <v>0</v>
      </c>
    </row>
    <row r="1295" spans="1:9" x14ac:dyDescent="0.2">
      <c r="A1295" s="2">
        <v>16</v>
      </c>
      <c r="B1295" s="1" t="s">
        <v>122</v>
      </c>
      <c r="C1295" s="4">
        <v>3</v>
      </c>
      <c r="D1295" s="8">
        <v>1.36</v>
      </c>
      <c r="E1295" s="4">
        <v>3</v>
      </c>
      <c r="F1295" s="8">
        <v>1.96</v>
      </c>
      <c r="G1295" s="4">
        <v>0</v>
      </c>
      <c r="H1295" s="8">
        <v>0</v>
      </c>
      <c r="I1295" s="4">
        <v>0</v>
      </c>
    </row>
    <row r="1296" spans="1:9" x14ac:dyDescent="0.2">
      <c r="A1296" s="2">
        <v>16</v>
      </c>
      <c r="B1296" s="1" t="s">
        <v>107</v>
      </c>
      <c r="C1296" s="4">
        <v>3</v>
      </c>
      <c r="D1296" s="8">
        <v>1.36</v>
      </c>
      <c r="E1296" s="4">
        <v>2</v>
      </c>
      <c r="F1296" s="8">
        <v>1.31</v>
      </c>
      <c r="G1296" s="4">
        <v>1</v>
      </c>
      <c r="H1296" s="8">
        <v>1.54</v>
      </c>
      <c r="I1296" s="4">
        <v>0</v>
      </c>
    </row>
    <row r="1297" spans="1:9" x14ac:dyDescent="0.2">
      <c r="A1297" s="2">
        <v>16</v>
      </c>
      <c r="B1297" s="1" t="s">
        <v>118</v>
      </c>
      <c r="C1297" s="4">
        <v>3</v>
      </c>
      <c r="D1297" s="8">
        <v>1.36</v>
      </c>
      <c r="E1297" s="4">
        <v>3</v>
      </c>
      <c r="F1297" s="8">
        <v>1.96</v>
      </c>
      <c r="G1297" s="4">
        <v>0</v>
      </c>
      <c r="H1297" s="8">
        <v>0</v>
      </c>
      <c r="I1297" s="4">
        <v>0</v>
      </c>
    </row>
    <row r="1298" spans="1:9" x14ac:dyDescent="0.2">
      <c r="A1298" s="2">
        <v>16</v>
      </c>
      <c r="B1298" s="1" t="s">
        <v>120</v>
      </c>
      <c r="C1298" s="4">
        <v>3</v>
      </c>
      <c r="D1298" s="8">
        <v>1.36</v>
      </c>
      <c r="E1298" s="4">
        <v>3</v>
      </c>
      <c r="F1298" s="8">
        <v>1.96</v>
      </c>
      <c r="G1298" s="4">
        <v>0</v>
      </c>
      <c r="H1298" s="8">
        <v>0</v>
      </c>
      <c r="I1298" s="4">
        <v>0</v>
      </c>
    </row>
    <row r="1299" spans="1:9" x14ac:dyDescent="0.2">
      <c r="A1299" s="1"/>
      <c r="C1299" s="4"/>
      <c r="D1299" s="8"/>
      <c r="E1299" s="4"/>
      <c r="F1299" s="8"/>
      <c r="G1299" s="4"/>
      <c r="H1299" s="8"/>
      <c r="I1299" s="4"/>
    </row>
    <row r="1300" spans="1:9" x14ac:dyDescent="0.2">
      <c r="A1300" s="1" t="s">
        <v>55</v>
      </c>
      <c r="C1300" s="4"/>
      <c r="D1300" s="8"/>
      <c r="E1300" s="4"/>
      <c r="F1300" s="8"/>
      <c r="G1300" s="4"/>
      <c r="H1300" s="8"/>
      <c r="I1300" s="4"/>
    </row>
    <row r="1301" spans="1:9" x14ac:dyDescent="0.2">
      <c r="A1301" s="2">
        <v>1</v>
      </c>
      <c r="B1301" s="1" t="s">
        <v>101</v>
      </c>
      <c r="C1301" s="4">
        <v>15</v>
      </c>
      <c r="D1301" s="8">
        <v>9.43</v>
      </c>
      <c r="E1301" s="4">
        <v>6</v>
      </c>
      <c r="F1301" s="8">
        <v>4.76</v>
      </c>
      <c r="G1301" s="4">
        <v>9</v>
      </c>
      <c r="H1301" s="8">
        <v>29.03</v>
      </c>
      <c r="I1301" s="4">
        <v>0</v>
      </c>
    </row>
    <row r="1302" spans="1:9" x14ac:dyDescent="0.2">
      <c r="A1302" s="2">
        <v>2</v>
      </c>
      <c r="B1302" s="1" t="s">
        <v>102</v>
      </c>
      <c r="C1302" s="4">
        <v>14</v>
      </c>
      <c r="D1302" s="8">
        <v>8.81</v>
      </c>
      <c r="E1302" s="4">
        <v>12</v>
      </c>
      <c r="F1302" s="8">
        <v>9.52</v>
      </c>
      <c r="G1302" s="4">
        <v>2</v>
      </c>
      <c r="H1302" s="8">
        <v>6.45</v>
      </c>
      <c r="I1302" s="4">
        <v>0</v>
      </c>
    </row>
    <row r="1303" spans="1:9" x14ac:dyDescent="0.2">
      <c r="A1303" s="2">
        <v>3</v>
      </c>
      <c r="B1303" s="1" t="s">
        <v>108</v>
      </c>
      <c r="C1303" s="4">
        <v>13</v>
      </c>
      <c r="D1303" s="8">
        <v>8.18</v>
      </c>
      <c r="E1303" s="4">
        <v>12</v>
      </c>
      <c r="F1303" s="8">
        <v>9.52</v>
      </c>
      <c r="G1303" s="4">
        <v>1</v>
      </c>
      <c r="H1303" s="8">
        <v>3.23</v>
      </c>
      <c r="I1303" s="4">
        <v>0</v>
      </c>
    </row>
    <row r="1304" spans="1:9" x14ac:dyDescent="0.2">
      <c r="A1304" s="2">
        <v>3</v>
      </c>
      <c r="B1304" s="1" t="s">
        <v>115</v>
      </c>
      <c r="C1304" s="4">
        <v>13</v>
      </c>
      <c r="D1304" s="8">
        <v>8.18</v>
      </c>
      <c r="E1304" s="4">
        <v>13</v>
      </c>
      <c r="F1304" s="8">
        <v>10.32</v>
      </c>
      <c r="G1304" s="4">
        <v>0</v>
      </c>
      <c r="H1304" s="8">
        <v>0</v>
      </c>
      <c r="I1304" s="4">
        <v>0</v>
      </c>
    </row>
    <row r="1305" spans="1:9" x14ac:dyDescent="0.2">
      <c r="A1305" s="2">
        <v>5</v>
      </c>
      <c r="B1305" s="1" t="s">
        <v>116</v>
      </c>
      <c r="C1305" s="4">
        <v>12</v>
      </c>
      <c r="D1305" s="8">
        <v>7.55</v>
      </c>
      <c r="E1305" s="4">
        <v>11</v>
      </c>
      <c r="F1305" s="8">
        <v>8.73</v>
      </c>
      <c r="G1305" s="4">
        <v>1</v>
      </c>
      <c r="H1305" s="8">
        <v>3.23</v>
      </c>
      <c r="I1305" s="4">
        <v>0</v>
      </c>
    </row>
    <row r="1306" spans="1:9" x14ac:dyDescent="0.2">
      <c r="A1306" s="2">
        <v>6</v>
      </c>
      <c r="B1306" s="1" t="s">
        <v>110</v>
      </c>
      <c r="C1306" s="4">
        <v>10</v>
      </c>
      <c r="D1306" s="8">
        <v>6.29</v>
      </c>
      <c r="E1306" s="4">
        <v>8</v>
      </c>
      <c r="F1306" s="8">
        <v>6.35</v>
      </c>
      <c r="G1306" s="4">
        <v>2</v>
      </c>
      <c r="H1306" s="8">
        <v>6.45</v>
      </c>
      <c r="I1306" s="4">
        <v>0</v>
      </c>
    </row>
    <row r="1307" spans="1:9" x14ac:dyDescent="0.2">
      <c r="A1307" s="2">
        <v>7</v>
      </c>
      <c r="B1307" s="1" t="s">
        <v>114</v>
      </c>
      <c r="C1307" s="4">
        <v>8</v>
      </c>
      <c r="D1307" s="8">
        <v>5.03</v>
      </c>
      <c r="E1307" s="4">
        <v>6</v>
      </c>
      <c r="F1307" s="8">
        <v>4.76</v>
      </c>
      <c r="G1307" s="4">
        <v>2</v>
      </c>
      <c r="H1307" s="8">
        <v>6.45</v>
      </c>
      <c r="I1307" s="4">
        <v>0</v>
      </c>
    </row>
    <row r="1308" spans="1:9" x14ac:dyDescent="0.2">
      <c r="A1308" s="2">
        <v>8</v>
      </c>
      <c r="B1308" s="1" t="s">
        <v>137</v>
      </c>
      <c r="C1308" s="4">
        <v>7</v>
      </c>
      <c r="D1308" s="8">
        <v>4.4000000000000004</v>
      </c>
      <c r="E1308" s="4">
        <v>6</v>
      </c>
      <c r="F1308" s="8">
        <v>4.76</v>
      </c>
      <c r="G1308" s="4">
        <v>1</v>
      </c>
      <c r="H1308" s="8">
        <v>3.23</v>
      </c>
      <c r="I1308" s="4">
        <v>0</v>
      </c>
    </row>
    <row r="1309" spans="1:9" x14ac:dyDescent="0.2">
      <c r="A1309" s="2">
        <v>8</v>
      </c>
      <c r="B1309" s="1" t="s">
        <v>133</v>
      </c>
      <c r="C1309" s="4">
        <v>7</v>
      </c>
      <c r="D1309" s="8">
        <v>4.4000000000000004</v>
      </c>
      <c r="E1309" s="4">
        <v>6</v>
      </c>
      <c r="F1309" s="8">
        <v>4.76</v>
      </c>
      <c r="G1309" s="4">
        <v>1</v>
      </c>
      <c r="H1309" s="8">
        <v>3.23</v>
      </c>
      <c r="I1309" s="4">
        <v>0</v>
      </c>
    </row>
    <row r="1310" spans="1:9" x14ac:dyDescent="0.2">
      <c r="A1310" s="2">
        <v>10</v>
      </c>
      <c r="B1310" s="1" t="s">
        <v>103</v>
      </c>
      <c r="C1310" s="4">
        <v>5</v>
      </c>
      <c r="D1310" s="8">
        <v>3.14</v>
      </c>
      <c r="E1310" s="4">
        <v>5</v>
      </c>
      <c r="F1310" s="8">
        <v>3.97</v>
      </c>
      <c r="G1310" s="4">
        <v>0</v>
      </c>
      <c r="H1310" s="8">
        <v>0</v>
      </c>
      <c r="I1310" s="4">
        <v>0</v>
      </c>
    </row>
    <row r="1311" spans="1:9" x14ac:dyDescent="0.2">
      <c r="A1311" s="2">
        <v>10</v>
      </c>
      <c r="B1311" s="1" t="s">
        <v>104</v>
      </c>
      <c r="C1311" s="4">
        <v>5</v>
      </c>
      <c r="D1311" s="8">
        <v>3.14</v>
      </c>
      <c r="E1311" s="4">
        <v>5</v>
      </c>
      <c r="F1311" s="8">
        <v>3.97</v>
      </c>
      <c r="G1311" s="4">
        <v>0</v>
      </c>
      <c r="H1311" s="8">
        <v>0</v>
      </c>
      <c r="I1311" s="4">
        <v>0</v>
      </c>
    </row>
    <row r="1312" spans="1:9" x14ac:dyDescent="0.2">
      <c r="A1312" s="2">
        <v>10</v>
      </c>
      <c r="B1312" s="1" t="s">
        <v>117</v>
      </c>
      <c r="C1312" s="4">
        <v>5</v>
      </c>
      <c r="D1312" s="8">
        <v>3.14</v>
      </c>
      <c r="E1312" s="4">
        <v>5</v>
      </c>
      <c r="F1312" s="8">
        <v>3.97</v>
      </c>
      <c r="G1312" s="4">
        <v>0</v>
      </c>
      <c r="H1312" s="8">
        <v>0</v>
      </c>
      <c r="I1312" s="4">
        <v>0</v>
      </c>
    </row>
    <row r="1313" spans="1:9" x14ac:dyDescent="0.2">
      <c r="A1313" s="2">
        <v>13</v>
      </c>
      <c r="B1313" s="1" t="s">
        <v>130</v>
      </c>
      <c r="C1313" s="4">
        <v>4</v>
      </c>
      <c r="D1313" s="8">
        <v>2.52</v>
      </c>
      <c r="E1313" s="4">
        <v>1</v>
      </c>
      <c r="F1313" s="8">
        <v>0.79</v>
      </c>
      <c r="G1313" s="4">
        <v>3</v>
      </c>
      <c r="H1313" s="8">
        <v>9.68</v>
      </c>
      <c r="I1313" s="4">
        <v>0</v>
      </c>
    </row>
    <row r="1314" spans="1:9" x14ac:dyDescent="0.2">
      <c r="A1314" s="2">
        <v>13</v>
      </c>
      <c r="B1314" s="1" t="s">
        <v>109</v>
      </c>
      <c r="C1314" s="4">
        <v>4</v>
      </c>
      <c r="D1314" s="8">
        <v>2.52</v>
      </c>
      <c r="E1314" s="4">
        <v>3</v>
      </c>
      <c r="F1314" s="8">
        <v>2.38</v>
      </c>
      <c r="G1314" s="4">
        <v>1</v>
      </c>
      <c r="H1314" s="8">
        <v>3.23</v>
      </c>
      <c r="I1314" s="4">
        <v>0</v>
      </c>
    </row>
    <row r="1315" spans="1:9" x14ac:dyDescent="0.2">
      <c r="A1315" s="2">
        <v>15</v>
      </c>
      <c r="B1315" s="1" t="s">
        <v>143</v>
      </c>
      <c r="C1315" s="4">
        <v>3</v>
      </c>
      <c r="D1315" s="8">
        <v>1.89</v>
      </c>
      <c r="E1315" s="4">
        <v>2</v>
      </c>
      <c r="F1315" s="8">
        <v>1.59</v>
      </c>
      <c r="G1315" s="4">
        <v>1</v>
      </c>
      <c r="H1315" s="8">
        <v>3.23</v>
      </c>
      <c r="I1315" s="4">
        <v>0</v>
      </c>
    </row>
    <row r="1316" spans="1:9" x14ac:dyDescent="0.2">
      <c r="A1316" s="2">
        <v>15</v>
      </c>
      <c r="B1316" s="1" t="s">
        <v>135</v>
      </c>
      <c r="C1316" s="4">
        <v>3</v>
      </c>
      <c r="D1316" s="8">
        <v>1.89</v>
      </c>
      <c r="E1316" s="4">
        <v>2</v>
      </c>
      <c r="F1316" s="8">
        <v>1.59</v>
      </c>
      <c r="G1316" s="4">
        <v>1</v>
      </c>
      <c r="H1316" s="8">
        <v>3.23</v>
      </c>
      <c r="I1316" s="4">
        <v>0</v>
      </c>
    </row>
    <row r="1317" spans="1:9" x14ac:dyDescent="0.2">
      <c r="A1317" s="2">
        <v>15</v>
      </c>
      <c r="B1317" s="1" t="s">
        <v>107</v>
      </c>
      <c r="C1317" s="4">
        <v>3</v>
      </c>
      <c r="D1317" s="8">
        <v>1.89</v>
      </c>
      <c r="E1317" s="4">
        <v>3</v>
      </c>
      <c r="F1317" s="8">
        <v>2.38</v>
      </c>
      <c r="G1317" s="4">
        <v>0</v>
      </c>
      <c r="H1317" s="8">
        <v>0</v>
      </c>
      <c r="I1317" s="4">
        <v>0</v>
      </c>
    </row>
    <row r="1318" spans="1:9" x14ac:dyDescent="0.2">
      <c r="A1318" s="2">
        <v>15</v>
      </c>
      <c r="B1318" s="1" t="s">
        <v>118</v>
      </c>
      <c r="C1318" s="4">
        <v>3</v>
      </c>
      <c r="D1318" s="8">
        <v>1.89</v>
      </c>
      <c r="E1318" s="4">
        <v>3</v>
      </c>
      <c r="F1318" s="8">
        <v>2.38</v>
      </c>
      <c r="G1318" s="4">
        <v>0</v>
      </c>
      <c r="H1318" s="8">
        <v>0</v>
      </c>
      <c r="I1318" s="4">
        <v>0</v>
      </c>
    </row>
    <row r="1319" spans="1:9" x14ac:dyDescent="0.2">
      <c r="A1319" s="2">
        <v>19</v>
      </c>
      <c r="B1319" s="1" t="s">
        <v>125</v>
      </c>
      <c r="C1319" s="4">
        <v>2</v>
      </c>
      <c r="D1319" s="8">
        <v>1.26</v>
      </c>
      <c r="E1319" s="4">
        <v>2</v>
      </c>
      <c r="F1319" s="8">
        <v>1.59</v>
      </c>
      <c r="G1319" s="4">
        <v>0</v>
      </c>
      <c r="H1319" s="8">
        <v>0</v>
      </c>
      <c r="I1319" s="4">
        <v>0</v>
      </c>
    </row>
    <row r="1320" spans="1:9" x14ac:dyDescent="0.2">
      <c r="A1320" s="2">
        <v>19</v>
      </c>
      <c r="B1320" s="1" t="s">
        <v>121</v>
      </c>
      <c r="C1320" s="4">
        <v>2</v>
      </c>
      <c r="D1320" s="8">
        <v>1.26</v>
      </c>
      <c r="E1320" s="4">
        <v>0</v>
      </c>
      <c r="F1320" s="8">
        <v>0</v>
      </c>
      <c r="G1320" s="4">
        <v>1</v>
      </c>
      <c r="H1320" s="8">
        <v>3.23</v>
      </c>
      <c r="I1320" s="4">
        <v>1</v>
      </c>
    </row>
    <row r="1321" spans="1:9" x14ac:dyDescent="0.2">
      <c r="A1321" s="2">
        <v>19</v>
      </c>
      <c r="B1321" s="1" t="s">
        <v>122</v>
      </c>
      <c r="C1321" s="4">
        <v>2</v>
      </c>
      <c r="D1321" s="8">
        <v>1.26</v>
      </c>
      <c r="E1321" s="4">
        <v>2</v>
      </c>
      <c r="F1321" s="8">
        <v>1.59</v>
      </c>
      <c r="G1321" s="4">
        <v>0</v>
      </c>
      <c r="H1321" s="8">
        <v>0</v>
      </c>
      <c r="I1321" s="4">
        <v>0</v>
      </c>
    </row>
    <row r="1322" spans="1:9" x14ac:dyDescent="0.2">
      <c r="A1322" s="2">
        <v>19</v>
      </c>
      <c r="B1322" s="1" t="s">
        <v>111</v>
      </c>
      <c r="C1322" s="4">
        <v>2</v>
      </c>
      <c r="D1322" s="8">
        <v>1.26</v>
      </c>
      <c r="E1322" s="4">
        <v>1</v>
      </c>
      <c r="F1322" s="8">
        <v>0.79</v>
      </c>
      <c r="G1322" s="4">
        <v>1</v>
      </c>
      <c r="H1322" s="8">
        <v>3.23</v>
      </c>
      <c r="I1322" s="4">
        <v>0</v>
      </c>
    </row>
    <row r="1323" spans="1:9" x14ac:dyDescent="0.2">
      <c r="A1323" s="2">
        <v>19</v>
      </c>
      <c r="B1323" s="1" t="s">
        <v>153</v>
      </c>
      <c r="C1323" s="4">
        <v>2</v>
      </c>
      <c r="D1323" s="8">
        <v>1.26</v>
      </c>
      <c r="E1323" s="4">
        <v>2</v>
      </c>
      <c r="F1323" s="8">
        <v>1.59</v>
      </c>
      <c r="G1323" s="4">
        <v>0</v>
      </c>
      <c r="H1323" s="8">
        <v>0</v>
      </c>
      <c r="I1323" s="4">
        <v>0</v>
      </c>
    </row>
    <row r="1324" spans="1:9" x14ac:dyDescent="0.2">
      <c r="A1324" s="2">
        <v>19</v>
      </c>
      <c r="B1324" s="1" t="s">
        <v>112</v>
      </c>
      <c r="C1324" s="4">
        <v>2</v>
      </c>
      <c r="D1324" s="8">
        <v>1.26</v>
      </c>
      <c r="E1324" s="4">
        <v>2</v>
      </c>
      <c r="F1324" s="8">
        <v>1.59</v>
      </c>
      <c r="G1324" s="4">
        <v>0</v>
      </c>
      <c r="H1324" s="8">
        <v>0</v>
      </c>
      <c r="I1324" s="4">
        <v>0</v>
      </c>
    </row>
    <row r="1325" spans="1:9" x14ac:dyDescent="0.2">
      <c r="A1325" s="2">
        <v>19</v>
      </c>
      <c r="B1325" s="1" t="s">
        <v>131</v>
      </c>
      <c r="C1325" s="4">
        <v>2</v>
      </c>
      <c r="D1325" s="8">
        <v>1.26</v>
      </c>
      <c r="E1325" s="4">
        <v>2</v>
      </c>
      <c r="F1325" s="8">
        <v>1.59</v>
      </c>
      <c r="G1325" s="4">
        <v>0</v>
      </c>
      <c r="H1325" s="8">
        <v>0</v>
      </c>
      <c r="I1325" s="4">
        <v>0</v>
      </c>
    </row>
    <row r="1326" spans="1:9" x14ac:dyDescent="0.2">
      <c r="A1326" s="2">
        <v>19</v>
      </c>
      <c r="B1326" s="1" t="s">
        <v>147</v>
      </c>
      <c r="C1326" s="4">
        <v>2</v>
      </c>
      <c r="D1326" s="8">
        <v>1.26</v>
      </c>
      <c r="E1326" s="4">
        <v>2</v>
      </c>
      <c r="F1326" s="8">
        <v>1.59</v>
      </c>
      <c r="G1326" s="4">
        <v>0</v>
      </c>
      <c r="H1326" s="8">
        <v>0</v>
      </c>
      <c r="I1326" s="4">
        <v>0</v>
      </c>
    </row>
    <row r="1327" spans="1:9" x14ac:dyDescent="0.2">
      <c r="A1327" s="1"/>
      <c r="C1327" s="4"/>
      <c r="D1327" s="8"/>
      <c r="E1327" s="4"/>
      <c r="F1327" s="8"/>
      <c r="G1327" s="4"/>
      <c r="H1327" s="8"/>
      <c r="I1327" s="4"/>
    </row>
    <row r="1328" spans="1:9" x14ac:dyDescent="0.2">
      <c r="A1328" s="1" t="s">
        <v>56</v>
      </c>
      <c r="C1328" s="4"/>
      <c r="D1328" s="8"/>
      <c r="E1328" s="4"/>
      <c r="F1328" s="8"/>
      <c r="G1328" s="4"/>
      <c r="H1328" s="8"/>
      <c r="I1328" s="4"/>
    </row>
    <row r="1329" spans="1:9" x14ac:dyDescent="0.2">
      <c r="A1329" s="2">
        <v>1</v>
      </c>
      <c r="B1329" s="1" t="s">
        <v>114</v>
      </c>
      <c r="C1329" s="4">
        <v>17</v>
      </c>
      <c r="D1329" s="8">
        <v>34.69</v>
      </c>
      <c r="E1329" s="4">
        <v>14</v>
      </c>
      <c r="F1329" s="8">
        <v>58.33</v>
      </c>
      <c r="G1329" s="4">
        <v>3</v>
      </c>
      <c r="H1329" s="8">
        <v>13.04</v>
      </c>
      <c r="I1329" s="4">
        <v>0</v>
      </c>
    </row>
    <row r="1330" spans="1:9" x14ac:dyDescent="0.2">
      <c r="A1330" s="2">
        <v>2</v>
      </c>
      <c r="B1330" s="1" t="s">
        <v>110</v>
      </c>
      <c r="C1330" s="4">
        <v>7</v>
      </c>
      <c r="D1330" s="8">
        <v>14.29</v>
      </c>
      <c r="E1330" s="4">
        <v>4</v>
      </c>
      <c r="F1330" s="8">
        <v>16.670000000000002</v>
      </c>
      <c r="G1330" s="4">
        <v>3</v>
      </c>
      <c r="H1330" s="8">
        <v>13.04</v>
      </c>
      <c r="I1330" s="4">
        <v>0</v>
      </c>
    </row>
    <row r="1331" spans="1:9" x14ac:dyDescent="0.2">
      <c r="A1331" s="2">
        <v>3</v>
      </c>
      <c r="B1331" s="1" t="s">
        <v>101</v>
      </c>
      <c r="C1331" s="4">
        <v>5</v>
      </c>
      <c r="D1331" s="8">
        <v>10.199999999999999</v>
      </c>
      <c r="E1331" s="4">
        <v>0</v>
      </c>
      <c r="F1331" s="8">
        <v>0</v>
      </c>
      <c r="G1331" s="4">
        <v>5</v>
      </c>
      <c r="H1331" s="8">
        <v>21.74</v>
      </c>
      <c r="I1331" s="4">
        <v>0</v>
      </c>
    </row>
    <row r="1332" spans="1:9" x14ac:dyDescent="0.2">
      <c r="A1332" s="2">
        <v>4</v>
      </c>
      <c r="B1332" s="1" t="s">
        <v>115</v>
      </c>
      <c r="C1332" s="4">
        <v>3</v>
      </c>
      <c r="D1332" s="8">
        <v>6.12</v>
      </c>
      <c r="E1332" s="4">
        <v>1</v>
      </c>
      <c r="F1332" s="8">
        <v>4.17</v>
      </c>
      <c r="G1332" s="4">
        <v>2</v>
      </c>
      <c r="H1332" s="8">
        <v>8.6999999999999993</v>
      </c>
      <c r="I1332" s="4">
        <v>0</v>
      </c>
    </row>
    <row r="1333" spans="1:9" x14ac:dyDescent="0.2">
      <c r="A1333" s="2">
        <v>5</v>
      </c>
      <c r="B1333" s="1" t="s">
        <v>137</v>
      </c>
      <c r="C1333" s="4">
        <v>2</v>
      </c>
      <c r="D1333" s="8">
        <v>4.08</v>
      </c>
      <c r="E1333" s="4">
        <v>1</v>
      </c>
      <c r="F1333" s="8">
        <v>4.17</v>
      </c>
      <c r="G1333" s="4">
        <v>1</v>
      </c>
      <c r="H1333" s="8">
        <v>4.3499999999999996</v>
      </c>
      <c r="I1333" s="4">
        <v>0</v>
      </c>
    </row>
    <row r="1334" spans="1:9" x14ac:dyDescent="0.2">
      <c r="A1334" s="2">
        <v>5</v>
      </c>
      <c r="B1334" s="1" t="s">
        <v>107</v>
      </c>
      <c r="C1334" s="4">
        <v>2</v>
      </c>
      <c r="D1334" s="8">
        <v>4.08</v>
      </c>
      <c r="E1334" s="4">
        <v>1</v>
      </c>
      <c r="F1334" s="8">
        <v>4.17</v>
      </c>
      <c r="G1334" s="4">
        <v>1</v>
      </c>
      <c r="H1334" s="8">
        <v>4.3499999999999996</v>
      </c>
      <c r="I1334" s="4">
        <v>0</v>
      </c>
    </row>
    <row r="1335" spans="1:9" x14ac:dyDescent="0.2">
      <c r="A1335" s="2">
        <v>5</v>
      </c>
      <c r="B1335" s="1" t="s">
        <v>108</v>
      </c>
      <c r="C1335" s="4">
        <v>2</v>
      </c>
      <c r="D1335" s="8">
        <v>4.08</v>
      </c>
      <c r="E1335" s="4">
        <v>0</v>
      </c>
      <c r="F1335" s="8">
        <v>0</v>
      </c>
      <c r="G1335" s="4">
        <v>2</v>
      </c>
      <c r="H1335" s="8">
        <v>8.6999999999999993</v>
      </c>
      <c r="I1335" s="4">
        <v>0</v>
      </c>
    </row>
    <row r="1336" spans="1:9" x14ac:dyDescent="0.2">
      <c r="A1336" s="2">
        <v>5</v>
      </c>
      <c r="B1336" s="1" t="s">
        <v>116</v>
      </c>
      <c r="C1336" s="4">
        <v>2</v>
      </c>
      <c r="D1336" s="8">
        <v>4.08</v>
      </c>
      <c r="E1336" s="4">
        <v>2</v>
      </c>
      <c r="F1336" s="8">
        <v>8.33</v>
      </c>
      <c r="G1336" s="4">
        <v>0</v>
      </c>
      <c r="H1336" s="8">
        <v>0</v>
      </c>
      <c r="I1336" s="4">
        <v>0</v>
      </c>
    </row>
    <row r="1337" spans="1:9" x14ac:dyDescent="0.2">
      <c r="A1337" s="2">
        <v>9</v>
      </c>
      <c r="B1337" s="1" t="s">
        <v>149</v>
      </c>
      <c r="C1337" s="4">
        <v>1</v>
      </c>
      <c r="D1337" s="8">
        <v>2.04</v>
      </c>
      <c r="E1337" s="4">
        <v>0</v>
      </c>
      <c r="F1337" s="8">
        <v>0</v>
      </c>
      <c r="G1337" s="4">
        <v>1</v>
      </c>
      <c r="H1337" s="8">
        <v>4.3499999999999996</v>
      </c>
      <c r="I1337" s="4">
        <v>0</v>
      </c>
    </row>
    <row r="1338" spans="1:9" x14ac:dyDescent="0.2">
      <c r="A1338" s="2">
        <v>9</v>
      </c>
      <c r="B1338" s="1" t="s">
        <v>102</v>
      </c>
      <c r="C1338" s="4">
        <v>1</v>
      </c>
      <c r="D1338" s="8">
        <v>2.04</v>
      </c>
      <c r="E1338" s="4">
        <v>1</v>
      </c>
      <c r="F1338" s="8">
        <v>4.17</v>
      </c>
      <c r="G1338" s="4">
        <v>0</v>
      </c>
      <c r="H1338" s="8">
        <v>0</v>
      </c>
      <c r="I1338" s="4">
        <v>0</v>
      </c>
    </row>
    <row r="1339" spans="1:9" x14ac:dyDescent="0.2">
      <c r="A1339" s="2">
        <v>9</v>
      </c>
      <c r="B1339" s="1" t="s">
        <v>139</v>
      </c>
      <c r="C1339" s="4">
        <v>1</v>
      </c>
      <c r="D1339" s="8">
        <v>2.04</v>
      </c>
      <c r="E1339" s="4">
        <v>0</v>
      </c>
      <c r="F1339" s="8">
        <v>0</v>
      </c>
      <c r="G1339" s="4">
        <v>0</v>
      </c>
      <c r="H1339" s="8">
        <v>0</v>
      </c>
      <c r="I1339" s="4">
        <v>0</v>
      </c>
    </row>
    <row r="1340" spans="1:9" x14ac:dyDescent="0.2">
      <c r="A1340" s="2">
        <v>9</v>
      </c>
      <c r="B1340" s="1" t="s">
        <v>146</v>
      </c>
      <c r="C1340" s="4">
        <v>1</v>
      </c>
      <c r="D1340" s="8">
        <v>2.04</v>
      </c>
      <c r="E1340" s="4">
        <v>0</v>
      </c>
      <c r="F1340" s="8">
        <v>0</v>
      </c>
      <c r="G1340" s="4">
        <v>1</v>
      </c>
      <c r="H1340" s="8">
        <v>4.3499999999999996</v>
      </c>
      <c r="I1340" s="4">
        <v>0</v>
      </c>
    </row>
    <row r="1341" spans="1:9" x14ac:dyDescent="0.2">
      <c r="A1341" s="2">
        <v>9</v>
      </c>
      <c r="B1341" s="1" t="s">
        <v>125</v>
      </c>
      <c r="C1341" s="4">
        <v>1</v>
      </c>
      <c r="D1341" s="8">
        <v>2.04</v>
      </c>
      <c r="E1341" s="4">
        <v>0</v>
      </c>
      <c r="F1341" s="8">
        <v>0</v>
      </c>
      <c r="G1341" s="4">
        <v>1</v>
      </c>
      <c r="H1341" s="8">
        <v>4.3499999999999996</v>
      </c>
      <c r="I1341" s="4">
        <v>0</v>
      </c>
    </row>
    <row r="1342" spans="1:9" x14ac:dyDescent="0.2">
      <c r="A1342" s="2">
        <v>9</v>
      </c>
      <c r="B1342" s="1" t="s">
        <v>112</v>
      </c>
      <c r="C1342" s="4">
        <v>1</v>
      </c>
      <c r="D1342" s="8">
        <v>2.04</v>
      </c>
      <c r="E1342" s="4">
        <v>0</v>
      </c>
      <c r="F1342" s="8">
        <v>0</v>
      </c>
      <c r="G1342" s="4">
        <v>1</v>
      </c>
      <c r="H1342" s="8">
        <v>4.3499999999999996</v>
      </c>
      <c r="I1342" s="4">
        <v>0</v>
      </c>
    </row>
    <row r="1343" spans="1:9" x14ac:dyDescent="0.2">
      <c r="A1343" s="2">
        <v>9</v>
      </c>
      <c r="B1343" s="1" t="s">
        <v>113</v>
      </c>
      <c r="C1343" s="4">
        <v>1</v>
      </c>
      <c r="D1343" s="8">
        <v>2.04</v>
      </c>
      <c r="E1343" s="4">
        <v>0</v>
      </c>
      <c r="F1343" s="8">
        <v>0</v>
      </c>
      <c r="G1343" s="4">
        <v>0</v>
      </c>
      <c r="H1343" s="8">
        <v>0</v>
      </c>
      <c r="I1343" s="4">
        <v>0</v>
      </c>
    </row>
    <row r="1344" spans="1:9" x14ac:dyDescent="0.2">
      <c r="A1344" s="2">
        <v>9</v>
      </c>
      <c r="B1344" s="1" t="s">
        <v>131</v>
      </c>
      <c r="C1344" s="4">
        <v>1</v>
      </c>
      <c r="D1344" s="8">
        <v>2.04</v>
      </c>
      <c r="E1344" s="4">
        <v>0</v>
      </c>
      <c r="F1344" s="8">
        <v>0</v>
      </c>
      <c r="G1344" s="4">
        <v>1</v>
      </c>
      <c r="H1344" s="8">
        <v>4.3499999999999996</v>
      </c>
      <c r="I1344" s="4">
        <v>0</v>
      </c>
    </row>
    <row r="1345" spans="1:9" x14ac:dyDescent="0.2">
      <c r="A1345" s="2">
        <v>9</v>
      </c>
      <c r="B1345" s="1" t="s">
        <v>132</v>
      </c>
      <c r="C1345" s="4">
        <v>1</v>
      </c>
      <c r="D1345" s="8">
        <v>2.04</v>
      </c>
      <c r="E1345" s="4">
        <v>0</v>
      </c>
      <c r="F1345" s="8">
        <v>0</v>
      </c>
      <c r="G1345" s="4">
        <v>1</v>
      </c>
      <c r="H1345" s="8">
        <v>4.3499999999999996</v>
      </c>
      <c r="I1345" s="4">
        <v>0</v>
      </c>
    </row>
    <row r="1346" spans="1:9" x14ac:dyDescent="0.2">
      <c r="A1346" s="1"/>
      <c r="C1346" s="4"/>
      <c r="D1346" s="8"/>
      <c r="E1346" s="4"/>
      <c r="F1346" s="8"/>
      <c r="G1346" s="4"/>
      <c r="H1346" s="8"/>
      <c r="I1346" s="4"/>
    </row>
    <row r="1347" spans="1:9" x14ac:dyDescent="0.2">
      <c r="A1347" s="1" t="s">
        <v>57</v>
      </c>
      <c r="C1347" s="4"/>
      <c r="D1347" s="8"/>
      <c r="E1347" s="4"/>
      <c r="F1347" s="8"/>
      <c r="G1347" s="4"/>
      <c r="H1347" s="8"/>
      <c r="I1347" s="4"/>
    </row>
    <row r="1348" spans="1:9" x14ac:dyDescent="0.2">
      <c r="A1348" s="2">
        <v>1</v>
      </c>
      <c r="B1348" s="1" t="s">
        <v>101</v>
      </c>
      <c r="C1348" s="4">
        <v>21</v>
      </c>
      <c r="D1348" s="8">
        <v>13.46</v>
      </c>
      <c r="E1348" s="4">
        <v>7</v>
      </c>
      <c r="F1348" s="8">
        <v>7.45</v>
      </c>
      <c r="G1348" s="4">
        <v>14</v>
      </c>
      <c r="H1348" s="8">
        <v>25</v>
      </c>
      <c r="I1348" s="4">
        <v>0</v>
      </c>
    </row>
    <row r="1349" spans="1:9" x14ac:dyDescent="0.2">
      <c r="A1349" s="2">
        <v>2</v>
      </c>
      <c r="B1349" s="1" t="s">
        <v>116</v>
      </c>
      <c r="C1349" s="4">
        <v>16</v>
      </c>
      <c r="D1349" s="8">
        <v>10.26</v>
      </c>
      <c r="E1349" s="4">
        <v>16</v>
      </c>
      <c r="F1349" s="8">
        <v>17.02</v>
      </c>
      <c r="G1349" s="4">
        <v>0</v>
      </c>
      <c r="H1349" s="8">
        <v>0</v>
      </c>
      <c r="I1349" s="4">
        <v>0</v>
      </c>
    </row>
    <row r="1350" spans="1:9" x14ac:dyDescent="0.2">
      <c r="A1350" s="2">
        <v>3</v>
      </c>
      <c r="B1350" s="1" t="s">
        <v>137</v>
      </c>
      <c r="C1350" s="4">
        <v>11</v>
      </c>
      <c r="D1350" s="8">
        <v>7.05</v>
      </c>
      <c r="E1350" s="4">
        <v>4</v>
      </c>
      <c r="F1350" s="8">
        <v>4.26</v>
      </c>
      <c r="G1350" s="4">
        <v>7</v>
      </c>
      <c r="H1350" s="8">
        <v>12.5</v>
      </c>
      <c r="I1350" s="4">
        <v>0</v>
      </c>
    </row>
    <row r="1351" spans="1:9" x14ac:dyDescent="0.2">
      <c r="A1351" s="2">
        <v>3</v>
      </c>
      <c r="B1351" s="1" t="s">
        <v>108</v>
      </c>
      <c r="C1351" s="4">
        <v>11</v>
      </c>
      <c r="D1351" s="8">
        <v>7.05</v>
      </c>
      <c r="E1351" s="4">
        <v>9</v>
      </c>
      <c r="F1351" s="8">
        <v>9.57</v>
      </c>
      <c r="G1351" s="4">
        <v>0</v>
      </c>
      <c r="H1351" s="8">
        <v>0</v>
      </c>
      <c r="I1351" s="4">
        <v>2</v>
      </c>
    </row>
    <row r="1352" spans="1:9" x14ac:dyDescent="0.2">
      <c r="A1352" s="2">
        <v>3</v>
      </c>
      <c r="B1352" s="1" t="s">
        <v>115</v>
      </c>
      <c r="C1352" s="4">
        <v>11</v>
      </c>
      <c r="D1352" s="8">
        <v>7.05</v>
      </c>
      <c r="E1352" s="4">
        <v>7</v>
      </c>
      <c r="F1352" s="8">
        <v>7.45</v>
      </c>
      <c r="G1352" s="4">
        <v>4</v>
      </c>
      <c r="H1352" s="8">
        <v>7.14</v>
      </c>
      <c r="I1352" s="4">
        <v>0</v>
      </c>
    </row>
    <row r="1353" spans="1:9" x14ac:dyDescent="0.2">
      <c r="A1353" s="2">
        <v>6</v>
      </c>
      <c r="B1353" s="1" t="s">
        <v>110</v>
      </c>
      <c r="C1353" s="4">
        <v>10</v>
      </c>
      <c r="D1353" s="8">
        <v>6.41</v>
      </c>
      <c r="E1353" s="4">
        <v>8</v>
      </c>
      <c r="F1353" s="8">
        <v>8.51</v>
      </c>
      <c r="G1353" s="4">
        <v>2</v>
      </c>
      <c r="H1353" s="8">
        <v>3.57</v>
      </c>
      <c r="I1353" s="4">
        <v>0</v>
      </c>
    </row>
    <row r="1354" spans="1:9" x14ac:dyDescent="0.2">
      <c r="A1354" s="2">
        <v>7</v>
      </c>
      <c r="B1354" s="1" t="s">
        <v>103</v>
      </c>
      <c r="C1354" s="4">
        <v>9</v>
      </c>
      <c r="D1354" s="8">
        <v>5.77</v>
      </c>
      <c r="E1354" s="4">
        <v>5</v>
      </c>
      <c r="F1354" s="8">
        <v>5.32</v>
      </c>
      <c r="G1354" s="4">
        <v>4</v>
      </c>
      <c r="H1354" s="8">
        <v>7.14</v>
      </c>
      <c r="I1354" s="4">
        <v>0</v>
      </c>
    </row>
    <row r="1355" spans="1:9" x14ac:dyDescent="0.2">
      <c r="A1355" s="2">
        <v>8</v>
      </c>
      <c r="B1355" s="1" t="s">
        <v>102</v>
      </c>
      <c r="C1355" s="4">
        <v>8</v>
      </c>
      <c r="D1355" s="8">
        <v>5.13</v>
      </c>
      <c r="E1355" s="4">
        <v>5</v>
      </c>
      <c r="F1355" s="8">
        <v>5.32</v>
      </c>
      <c r="G1355" s="4">
        <v>3</v>
      </c>
      <c r="H1355" s="8">
        <v>5.36</v>
      </c>
      <c r="I1355" s="4">
        <v>0</v>
      </c>
    </row>
    <row r="1356" spans="1:9" x14ac:dyDescent="0.2">
      <c r="A1356" s="2">
        <v>9</v>
      </c>
      <c r="B1356" s="1" t="s">
        <v>117</v>
      </c>
      <c r="C1356" s="4">
        <v>7</v>
      </c>
      <c r="D1356" s="8">
        <v>4.49</v>
      </c>
      <c r="E1356" s="4">
        <v>6</v>
      </c>
      <c r="F1356" s="8">
        <v>6.38</v>
      </c>
      <c r="G1356" s="4">
        <v>0</v>
      </c>
      <c r="H1356" s="8">
        <v>0</v>
      </c>
      <c r="I1356" s="4">
        <v>0</v>
      </c>
    </row>
    <row r="1357" spans="1:9" x14ac:dyDescent="0.2">
      <c r="A1357" s="2">
        <v>10</v>
      </c>
      <c r="B1357" s="1" t="s">
        <v>107</v>
      </c>
      <c r="C1357" s="4">
        <v>6</v>
      </c>
      <c r="D1357" s="8">
        <v>3.85</v>
      </c>
      <c r="E1357" s="4">
        <v>6</v>
      </c>
      <c r="F1357" s="8">
        <v>6.38</v>
      </c>
      <c r="G1357" s="4">
        <v>0</v>
      </c>
      <c r="H1357" s="8">
        <v>0</v>
      </c>
      <c r="I1357" s="4">
        <v>0</v>
      </c>
    </row>
    <row r="1358" spans="1:9" x14ac:dyDescent="0.2">
      <c r="A1358" s="2">
        <v>10</v>
      </c>
      <c r="B1358" s="1" t="s">
        <v>118</v>
      </c>
      <c r="C1358" s="4">
        <v>6</v>
      </c>
      <c r="D1358" s="8">
        <v>3.85</v>
      </c>
      <c r="E1358" s="4">
        <v>6</v>
      </c>
      <c r="F1358" s="8">
        <v>6.38</v>
      </c>
      <c r="G1358" s="4">
        <v>0</v>
      </c>
      <c r="H1358" s="8">
        <v>0</v>
      </c>
      <c r="I1358" s="4">
        <v>0</v>
      </c>
    </row>
    <row r="1359" spans="1:9" x14ac:dyDescent="0.2">
      <c r="A1359" s="2">
        <v>12</v>
      </c>
      <c r="B1359" s="1" t="s">
        <v>134</v>
      </c>
      <c r="C1359" s="4">
        <v>4</v>
      </c>
      <c r="D1359" s="8">
        <v>2.56</v>
      </c>
      <c r="E1359" s="4">
        <v>2</v>
      </c>
      <c r="F1359" s="8">
        <v>2.13</v>
      </c>
      <c r="G1359" s="4">
        <v>2</v>
      </c>
      <c r="H1359" s="8">
        <v>3.57</v>
      </c>
      <c r="I1359" s="4">
        <v>0</v>
      </c>
    </row>
    <row r="1360" spans="1:9" x14ac:dyDescent="0.2">
      <c r="A1360" s="2">
        <v>13</v>
      </c>
      <c r="B1360" s="1" t="s">
        <v>143</v>
      </c>
      <c r="C1360" s="4">
        <v>3</v>
      </c>
      <c r="D1360" s="8">
        <v>1.92</v>
      </c>
      <c r="E1360" s="4">
        <v>0</v>
      </c>
      <c r="F1360" s="8">
        <v>0</v>
      </c>
      <c r="G1360" s="4">
        <v>3</v>
      </c>
      <c r="H1360" s="8">
        <v>5.36</v>
      </c>
      <c r="I1360" s="4">
        <v>0</v>
      </c>
    </row>
    <row r="1361" spans="1:9" x14ac:dyDescent="0.2">
      <c r="A1361" s="2">
        <v>13</v>
      </c>
      <c r="B1361" s="1" t="s">
        <v>154</v>
      </c>
      <c r="C1361" s="4">
        <v>3</v>
      </c>
      <c r="D1361" s="8">
        <v>1.92</v>
      </c>
      <c r="E1361" s="4">
        <v>2</v>
      </c>
      <c r="F1361" s="8">
        <v>2.13</v>
      </c>
      <c r="G1361" s="4">
        <v>1</v>
      </c>
      <c r="H1361" s="8">
        <v>1.79</v>
      </c>
      <c r="I1361" s="4">
        <v>0</v>
      </c>
    </row>
    <row r="1362" spans="1:9" x14ac:dyDescent="0.2">
      <c r="A1362" s="2">
        <v>13</v>
      </c>
      <c r="B1362" s="1" t="s">
        <v>109</v>
      </c>
      <c r="C1362" s="4">
        <v>3</v>
      </c>
      <c r="D1362" s="8">
        <v>1.92</v>
      </c>
      <c r="E1362" s="4">
        <v>2</v>
      </c>
      <c r="F1362" s="8">
        <v>2.13</v>
      </c>
      <c r="G1362" s="4">
        <v>1</v>
      </c>
      <c r="H1362" s="8">
        <v>1.79</v>
      </c>
      <c r="I1362" s="4">
        <v>0</v>
      </c>
    </row>
    <row r="1363" spans="1:9" x14ac:dyDescent="0.2">
      <c r="A1363" s="2">
        <v>13</v>
      </c>
      <c r="B1363" s="1" t="s">
        <v>112</v>
      </c>
      <c r="C1363" s="4">
        <v>3</v>
      </c>
      <c r="D1363" s="8">
        <v>1.92</v>
      </c>
      <c r="E1363" s="4">
        <v>1</v>
      </c>
      <c r="F1363" s="8">
        <v>1.06</v>
      </c>
      <c r="G1363" s="4">
        <v>2</v>
      </c>
      <c r="H1363" s="8">
        <v>3.57</v>
      </c>
      <c r="I1363" s="4">
        <v>0</v>
      </c>
    </row>
    <row r="1364" spans="1:9" x14ac:dyDescent="0.2">
      <c r="A1364" s="2">
        <v>13</v>
      </c>
      <c r="B1364" s="1" t="s">
        <v>119</v>
      </c>
      <c r="C1364" s="4">
        <v>3</v>
      </c>
      <c r="D1364" s="8">
        <v>1.92</v>
      </c>
      <c r="E1364" s="4">
        <v>0</v>
      </c>
      <c r="F1364" s="8">
        <v>0</v>
      </c>
      <c r="G1364" s="4">
        <v>1</v>
      </c>
      <c r="H1364" s="8">
        <v>1.79</v>
      </c>
      <c r="I1364" s="4">
        <v>0</v>
      </c>
    </row>
    <row r="1365" spans="1:9" x14ac:dyDescent="0.2">
      <c r="A1365" s="2">
        <v>13</v>
      </c>
      <c r="B1365" s="1" t="s">
        <v>163</v>
      </c>
      <c r="C1365" s="4">
        <v>3</v>
      </c>
      <c r="D1365" s="8">
        <v>1.92</v>
      </c>
      <c r="E1365" s="4">
        <v>0</v>
      </c>
      <c r="F1365" s="8">
        <v>0</v>
      </c>
      <c r="G1365" s="4">
        <v>3</v>
      </c>
      <c r="H1365" s="8">
        <v>5.36</v>
      </c>
      <c r="I1365" s="4">
        <v>0</v>
      </c>
    </row>
    <row r="1366" spans="1:9" x14ac:dyDescent="0.2">
      <c r="A1366" s="2">
        <v>19</v>
      </c>
      <c r="B1366" s="1" t="s">
        <v>121</v>
      </c>
      <c r="C1366" s="4">
        <v>2</v>
      </c>
      <c r="D1366" s="8">
        <v>1.28</v>
      </c>
      <c r="E1366" s="4">
        <v>1</v>
      </c>
      <c r="F1366" s="8">
        <v>1.06</v>
      </c>
      <c r="G1366" s="4">
        <v>1</v>
      </c>
      <c r="H1366" s="8">
        <v>1.79</v>
      </c>
      <c r="I1366" s="4">
        <v>0</v>
      </c>
    </row>
    <row r="1367" spans="1:9" x14ac:dyDescent="0.2">
      <c r="A1367" s="2">
        <v>19</v>
      </c>
      <c r="B1367" s="1" t="s">
        <v>113</v>
      </c>
      <c r="C1367" s="4">
        <v>2</v>
      </c>
      <c r="D1367" s="8">
        <v>1.28</v>
      </c>
      <c r="E1367" s="4">
        <v>2</v>
      </c>
      <c r="F1367" s="8">
        <v>2.13</v>
      </c>
      <c r="G1367" s="4">
        <v>0</v>
      </c>
      <c r="H1367" s="8">
        <v>0</v>
      </c>
      <c r="I1367" s="4">
        <v>0</v>
      </c>
    </row>
    <row r="1368" spans="1:9" x14ac:dyDescent="0.2">
      <c r="A1368" s="2">
        <v>19</v>
      </c>
      <c r="B1368" s="1" t="s">
        <v>114</v>
      </c>
      <c r="C1368" s="4">
        <v>2</v>
      </c>
      <c r="D1368" s="8">
        <v>1.28</v>
      </c>
      <c r="E1368" s="4">
        <v>2</v>
      </c>
      <c r="F1368" s="8">
        <v>2.13</v>
      </c>
      <c r="G1368" s="4">
        <v>0</v>
      </c>
      <c r="H1368" s="8">
        <v>0</v>
      </c>
      <c r="I1368" s="4">
        <v>0</v>
      </c>
    </row>
    <row r="1369" spans="1:9" x14ac:dyDescent="0.2">
      <c r="A1369" s="1"/>
      <c r="C1369" s="4"/>
      <c r="D1369" s="8"/>
      <c r="E1369" s="4"/>
      <c r="F1369" s="8"/>
      <c r="G1369" s="4"/>
      <c r="H1369" s="8"/>
      <c r="I1369" s="4"/>
    </row>
    <row r="1370" spans="1:9" x14ac:dyDescent="0.2">
      <c r="A1370" s="1" t="s">
        <v>58</v>
      </c>
      <c r="C1370" s="4"/>
      <c r="D1370" s="8"/>
      <c r="E1370" s="4"/>
      <c r="F1370" s="8"/>
      <c r="G1370" s="4"/>
      <c r="H1370" s="8"/>
      <c r="I1370" s="4"/>
    </row>
    <row r="1371" spans="1:9" x14ac:dyDescent="0.2">
      <c r="A1371" s="2">
        <v>1</v>
      </c>
      <c r="B1371" s="1" t="s">
        <v>115</v>
      </c>
      <c r="C1371" s="4">
        <v>65</v>
      </c>
      <c r="D1371" s="8">
        <v>12.8</v>
      </c>
      <c r="E1371" s="4">
        <v>52</v>
      </c>
      <c r="F1371" s="8">
        <v>17.11</v>
      </c>
      <c r="G1371" s="4">
        <v>13</v>
      </c>
      <c r="H1371" s="8">
        <v>6.6</v>
      </c>
      <c r="I1371" s="4">
        <v>0</v>
      </c>
    </row>
    <row r="1372" spans="1:9" x14ac:dyDescent="0.2">
      <c r="A1372" s="2">
        <v>2</v>
      </c>
      <c r="B1372" s="1" t="s">
        <v>101</v>
      </c>
      <c r="C1372" s="4">
        <v>61</v>
      </c>
      <c r="D1372" s="8">
        <v>12.01</v>
      </c>
      <c r="E1372" s="4">
        <v>32</v>
      </c>
      <c r="F1372" s="8">
        <v>10.53</v>
      </c>
      <c r="G1372" s="4">
        <v>29</v>
      </c>
      <c r="H1372" s="8">
        <v>14.72</v>
      </c>
      <c r="I1372" s="4">
        <v>0</v>
      </c>
    </row>
    <row r="1373" spans="1:9" x14ac:dyDescent="0.2">
      <c r="A1373" s="2">
        <v>3</v>
      </c>
      <c r="B1373" s="1" t="s">
        <v>110</v>
      </c>
      <c r="C1373" s="4">
        <v>45</v>
      </c>
      <c r="D1373" s="8">
        <v>8.86</v>
      </c>
      <c r="E1373" s="4">
        <v>29</v>
      </c>
      <c r="F1373" s="8">
        <v>9.5399999999999991</v>
      </c>
      <c r="G1373" s="4">
        <v>16</v>
      </c>
      <c r="H1373" s="8">
        <v>8.1199999999999992</v>
      </c>
      <c r="I1373" s="4">
        <v>0</v>
      </c>
    </row>
    <row r="1374" spans="1:9" x14ac:dyDescent="0.2">
      <c r="A1374" s="2">
        <v>4</v>
      </c>
      <c r="B1374" s="1" t="s">
        <v>114</v>
      </c>
      <c r="C1374" s="4">
        <v>42</v>
      </c>
      <c r="D1374" s="8">
        <v>8.27</v>
      </c>
      <c r="E1374" s="4">
        <v>27</v>
      </c>
      <c r="F1374" s="8">
        <v>8.8800000000000008</v>
      </c>
      <c r="G1374" s="4">
        <v>15</v>
      </c>
      <c r="H1374" s="8">
        <v>7.61</v>
      </c>
      <c r="I1374" s="4">
        <v>0</v>
      </c>
    </row>
    <row r="1375" spans="1:9" x14ac:dyDescent="0.2">
      <c r="A1375" s="2">
        <v>5</v>
      </c>
      <c r="B1375" s="1" t="s">
        <v>108</v>
      </c>
      <c r="C1375" s="4">
        <v>38</v>
      </c>
      <c r="D1375" s="8">
        <v>7.48</v>
      </c>
      <c r="E1375" s="4">
        <v>27</v>
      </c>
      <c r="F1375" s="8">
        <v>8.8800000000000008</v>
      </c>
      <c r="G1375" s="4">
        <v>11</v>
      </c>
      <c r="H1375" s="8">
        <v>5.58</v>
      </c>
      <c r="I1375" s="4">
        <v>0</v>
      </c>
    </row>
    <row r="1376" spans="1:9" x14ac:dyDescent="0.2">
      <c r="A1376" s="2">
        <v>5</v>
      </c>
      <c r="B1376" s="1" t="s">
        <v>116</v>
      </c>
      <c r="C1376" s="4">
        <v>38</v>
      </c>
      <c r="D1376" s="8">
        <v>7.48</v>
      </c>
      <c r="E1376" s="4">
        <v>36</v>
      </c>
      <c r="F1376" s="8">
        <v>11.84</v>
      </c>
      <c r="G1376" s="4">
        <v>2</v>
      </c>
      <c r="H1376" s="8">
        <v>1.02</v>
      </c>
      <c r="I1376" s="4">
        <v>0</v>
      </c>
    </row>
    <row r="1377" spans="1:9" x14ac:dyDescent="0.2">
      <c r="A1377" s="2">
        <v>7</v>
      </c>
      <c r="B1377" s="1" t="s">
        <v>102</v>
      </c>
      <c r="C1377" s="4">
        <v>17</v>
      </c>
      <c r="D1377" s="8">
        <v>3.35</v>
      </c>
      <c r="E1377" s="4">
        <v>14</v>
      </c>
      <c r="F1377" s="8">
        <v>4.6100000000000003</v>
      </c>
      <c r="G1377" s="4">
        <v>3</v>
      </c>
      <c r="H1377" s="8">
        <v>1.52</v>
      </c>
      <c r="I1377" s="4">
        <v>0</v>
      </c>
    </row>
    <row r="1378" spans="1:9" x14ac:dyDescent="0.2">
      <c r="A1378" s="2">
        <v>8</v>
      </c>
      <c r="B1378" s="1" t="s">
        <v>118</v>
      </c>
      <c r="C1378" s="4">
        <v>15</v>
      </c>
      <c r="D1378" s="8">
        <v>2.95</v>
      </c>
      <c r="E1378" s="4">
        <v>13</v>
      </c>
      <c r="F1378" s="8">
        <v>4.28</v>
      </c>
      <c r="G1378" s="4">
        <v>2</v>
      </c>
      <c r="H1378" s="8">
        <v>1.02</v>
      </c>
      <c r="I1378" s="4">
        <v>0</v>
      </c>
    </row>
    <row r="1379" spans="1:9" x14ac:dyDescent="0.2">
      <c r="A1379" s="2">
        <v>9</v>
      </c>
      <c r="B1379" s="1" t="s">
        <v>103</v>
      </c>
      <c r="C1379" s="4">
        <v>13</v>
      </c>
      <c r="D1379" s="8">
        <v>2.56</v>
      </c>
      <c r="E1379" s="4">
        <v>6</v>
      </c>
      <c r="F1379" s="8">
        <v>1.97</v>
      </c>
      <c r="G1379" s="4">
        <v>7</v>
      </c>
      <c r="H1379" s="8">
        <v>3.55</v>
      </c>
      <c r="I1379" s="4">
        <v>0</v>
      </c>
    </row>
    <row r="1380" spans="1:9" x14ac:dyDescent="0.2">
      <c r="A1380" s="2">
        <v>9</v>
      </c>
      <c r="B1380" s="1" t="s">
        <v>112</v>
      </c>
      <c r="C1380" s="4">
        <v>13</v>
      </c>
      <c r="D1380" s="8">
        <v>2.56</v>
      </c>
      <c r="E1380" s="4">
        <v>13</v>
      </c>
      <c r="F1380" s="8">
        <v>4.28</v>
      </c>
      <c r="G1380" s="4">
        <v>0</v>
      </c>
      <c r="H1380" s="8">
        <v>0</v>
      </c>
      <c r="I1380" s="4">
        <v>0</v>
      </c>
    </row>
    <row r="1381" spans="1:9" x14ac:dyDescent="0.2">
      <c r="A1381" s="2">
        <v>9</v>
      </c>
      <c r="B1381" s="1" t="s">
        <v>117</v>
      </c>
      <c r="C1381" s="4">
        <v>13</v>
      </c>
      <c r="D1381" s="8">
        <v>2.56</v>
      </c>
      <c r="E1381" s="4">
        <v>7</v>
      </c>
      <c r="F1381" s="8">
        <v>2.2999999999999998</v>
      </c>
      <c r="G1381" s="4">
        <v>2</v>
      </c>
      <c r="H1381" s="8">
        <v>1.02</v>
      </c>
      <c r="I1381" s="4">
        <v>0</v>
      </c>
    </row>
    <row r="1382" spans="1:9" x14ac:dyDescent="0.2">
      <c r="A1382" s="2">
        <v>12</v>
      </c>
      <c r="B1382" s="1" t="s">
        <v>109</v>
      </c>
      <c r="C1382" s="4">
        <v>12</v>
      </c>
      <c r="D1382" s="8">
        <v>2.36</v>
      </c>
      <c r="E1382" s="4">
        <v>6</v>
      </c>
      <c r="F1382" s="8">
        <v>1.97</v>
      </c>
      <c r="G1382" s="4">
        <v>6</v>
      </c>
      <c r="H1382" s="8">
        <v>3.05</v>
      </c>
      <c r="I1382" s="4">
        <v>0</v>
      </c>
    </row>
    <row r="1383" spans="1:9" x14ac:dyDescent="0.2">
      <c r="A1383" s="2">
        <v>13</v>
      </c>
      <c r="B1383" s="1" t="s">
        <v>107</v>
      </c>
      <c r="C1383" s="4">
        <v>9</v>
      </c>
      <c r="D1383" s="8">
        <v>1.77</v>
      </c>
      <c r="E1383" s="4">
        <v>6</v>
      </c>
      <c r="F1383" s="8">
        <v>1.97</v>
      </c>
      <c r="G1383" s="4">
        <v>3</v>
      </c>
      <c r="H1383" s="8">
        <v>1.52</v>
      </c>
      <c r="I1383" s="4">
        <v>0</v>
      </c>
    </row>
    <row r="1384" spans="1:9" x14ac:dyDescent="0.2">
      <c r="A1384" s="2">
        <v>13</v>
      </c>
      <c r="B1384" s="1" t="s">
        <v>111</v>
      </c>
      <c r="C1384" s="4">
        <v>9</v>
      </c>
      <c r="D1384" s="8">
        <v>1.77</v>
      </c>
      <c r="E1384" s="4">
        <v>1</v>
      </c>
      <c r="F1384" s="8">
        <v>0.33</v>
      </c>
      <c r="G1384" s="4">
        <v>8</v>
      </c>
      <c r="H1384" s="8">
        <v>4.0599999999999996</v>
      </c>
      <c r="I1384" s="4">
        <v>0</v>
      </c>
    </row>
    <row r="1385" spans="1:9" x14ac:dyDescent="0.2">
      <c r="A1385" s="2">
        <v>15</v>
      </c>
      <c r="B1385" s="1" t="s">
        <v>113</v>
      </c>
      <c r="C1385" s="4">
        <v>8</v>
      </c>
      <c r="D1385" s="8">
        <v>1.57</v>
      </c>
      <c r="E1385" s="4">
        <v>3</v>
      </c>
      <c r="F1385" s="8">
        <v>0.99</v>
      </c>
      <c r="G1385" s="4">
        <v>5</v>
      </c>
      <c r="H1385" s="8">
        <v>2.54</v>
      </c>
      <c r="I1385" s="4">
        <v>0</v>
      </c>
    </row>
    <row r="1386" spans="1:9" x14ac:dyDescent="0.2">
      <c r="A1386" s="2">
        <v>15</v>
      </c>
      <c r="B1386" s="1" t="s">
        <v>129</v>
      </c>
      <c r="C1386" s="4">
        <v>8</v>
      </c>
      <c r="D1386" s="8">
        <v>1.57</v>
      </c>
      <c r="E1386" s="4">
        <v>1</v>
      </c>
      <c r="F1386" s="8">
        <v>0.33</v>
      </c>
      <c r="G1386" s="4">
        <v>7</v>
      </c>
      <c r="H1386" s="8">
        <v>3.55</v>
      </c>
      <c r="I1386" s="4">
        <v>0</v>
      </c>
    </row>
    <row r="1387" spans="1:9" x14ac:dyDescent="0.2">
      <c r="A1387" s="2">
        <v>17</v>
      </c>
      <c r="B1387" s="1" t="s">
        <v>131</v>
      </c>
      <c r="C1387" s="4">
        <v>7</v>
      </c>
      <c r="D1387" s="8">
        <v>1.38</v>
      </c>
      <c r="E1387" s="4">
        <v>1</v>
      </c>
      <c r="F1387" s="8">
        <v>0.33</v>
      </c>
      <c r="G1387" s="4">
        <v>6</v>
      </c>
      <c r="H1387" s="8">
        <v>3.05</v>
      </c>
      <c r="I1387" s="4">
        <v>0</v>
      </c>
    </row>
    <row r="1388" spans="1:9" x14ac:dyDescent="0.2">
      <c r="A1388" s="2">
        <v>18</v>
      </c>
      <c r="B1388" s="1" t="s">
        <v>119</v>
      </c>
      <c r="C1388" s="4">
        <v>6</v>
      </c>
      <c r="D1388" s="8">
        <v>1.18</v>
      </c>
      <c r="E1388" s="4">
        <v>0</v>
      </c>
      <c r="F1388" s="8">
        <v>0</v>
      </c>
      <c r="G1388" s="4">
        <v>6</v>
      </c>
      <c r="H1388" s="8">
        <v>3.05</v>
      </c>
      <c r="I1388" s="4">
        <v>0</v>
      </c>
    </row>
    <row r="1389" spans="1:9" x14ac:dyDescent="0.2">
      <c r="A1389" s="2">
        <v>19</v>
      </c>
      <c r="B1389" s="1" t="s">
        <v>127</v>
      </c>
      <c r="C1389" s="4">
        <v>5</v>
      </c>
      <c r="D1389" s="8">
        <v>0.98</v>
      </c>
      <c r="E1389" s="4">
        <v>1</v>
      </c>
      <c r="F1389" s="8">
        <v>0.33</v>
      </c>
      <c r="G1389" s="4">
        <v>4</v>
      </c>
      <c r="H1389" s="8">
        <v>2.0299999999999998</v>
      </c>
      <c r="I1389" s="4">
        <v>0</v>
      </c>
    </row>
    <row r="1390" spans="1:9" x14ac:dyDescent="0.2">
      <c r="A1390" s="2">
        <v>19</v>
      </c>
      <c r="B1390" s="1" t="s">
        <v>137</v>
      </c>
      <c r="C1390" s="4">
        <v>5</v>
      </c>
      <c r="D1390" s="8">
        <v>0.98</v>
      </c>
      <c r="E1390" s="4">
        <v>2</v>
      </c>
      <c r="F1390" s="8">
        <v>0.66</v>
      </c>
      <c r="G1390" s="4">
        <v>3</v>
      </c>
      <c r="H1390" s="8">
        <v>1.52</v>
      </c>
      <c r="I1390" s="4">
        <v>0</v>
      </c>
    </row>
    <row r="1391" spans="1:9" x14ac:dyDescent="0.2">
      <c r="A1391" s="2">
        <v>19</v>
      </c>
      <c r="B1391" s="1" t="s">
        <v>133</v>
      </c>
      <c r="C1391" s="4">
        <v>5</v>
      </c>
      <c r="D1391" s="8">
        <v>0.98</v>
      </c>
      <c r="E1391" s="4">
        <v>3</v>
      </c>
      <c r="F1391" s="8">
        <v>0.99</v>
      </c>
      <c r="G1391" s="4">
        <v>2</v>
      </c>
      <c r="H1391" s="8">
        <v>1.02</v>
      </c>
      <c r="I1391" s="4">
        <v>0</v>
      </c>
    </row>
    <row r="1392" spans="1:9" x14ac:dyDescent="0.2">
      <c r="A1392" s="2">
        <v>19</v>
      </c>
      <c r="B1392" s="1" t="s">
        <v>120</v>
      </c>
      <c r="C1392" s="4">
        <v>5</v>
      </c>
      <c r="D1392" s="8">
        <v>0.98</v>
      </c>
      <c r="E1392" s="4">
        <v>4</v>
      </c>
      <c r="F1392" s="8">
        <v>1.32</v>
      </c>
      <c r="G1392" s="4">
        <v>1</v>
      </c>
      <c r="H1392" s="8">
        <v>0.51</v>
      </c>
      <c r="I1392" s="4">
        <v>0</v>
      </c>
    </row>
    <row r="1393" spans="1:9" x14ac:dyDescent="0.2">
      <c r="A1393" s="2">
        <v>19</v>
      </c>
      <c r="B1393" s="1" t="s">
        <v>147</v>
      </c>
      <c r="C1393" s="4">
        <v>5</v>
      </c>
      <c r="D1393" s="8">
        <v>0.98</v>
      </c>
      <c r="E1393" s="4">
        <v>3</v>
      </c>
      <c r="F1393" s="8">
        <v>0.99</v>
      </c>
      <c r="G1393" s="4">
        <v>2</v>
      </c>
      <c r="H1393" s="8">
        <v>1.02</v>
      </c>
      <c r="I1393" s="4">
        <v>0</v>
      </c>
    </row>
    <row r="1394" spans="1:9" x14ac:dyDescent="0.2">
      <c r="A1394" s="1"/>
      <c r="C1394" s="4"/>
      <c r="D1394" s="8"/>
      <c r="E1394" s="4"/>
      <c r="F1394" s="8"/>
      <c r="G1394" s="4"/>
      <c r="H1394" s="8"/>
      <c r="I1394" s="4"/>
    </row>
    <row r="1395" spans="1:9" x14ac:dyDescent="0.2">
      <c r="A1395" s="1" t="s">
        <v>59</v>
      </c>
      <c r="C1395" s="4"/>
      <c r="D1395" s="8"/>
      <c r="E1395" s="4"/>
      <c r="F1395" s="8"/>
      <c r="G1395" s="4"/>
      <c r="H1395" s="8"/>
      <c r="I1395" s="4"/>
    </row>
    <row r="1396" spans="1:9" x14ac:dyDescent="0.2">
      <c r="A1396" s="2">
        <v>1</v>
      </c>
      <c r="B1396" s="1" t="s">
        <v>116</v>
      </c>
      <c r="C1396" s="4">
        <v>11</v>
      </c>
      <c r="D1396" s="8">
        <v>11.7</v>
      </c>
      <c r="E1396" s="4">
        <v>11</v>
      </c>
      <c r="F1396" s="8">
        <v>17.739999999999998</v>
      </c>
      <c r="G1396" s="4">
        <v>0</v>
      </c>
      <c r="H1396" s="8">
        <v>0</v>
      </c>
      <c r="I1396" s="4">
        <v>0</v>
      </c>
    </row>
    <row r="1397" spans="1:9" x14ac:dyDescent="0.2">
      <c r="A1397" s="2">
        <v>2</v>
      </c>
      <c r="B1397" s="1" t="s">
        <v>101</v>
      </c>
      <c r="C1397" s="4">
        <v>10</v>
      </c>
      <c r="D1397" s="8">
        <v>10.64</v>
      </c>
      <c r="E1397" s="4">
        <v>2</v>
      </c>
      <c r="F1397" s="8">
        <v>3.23</v>
      </c>
      <c r="G1397" s="4">
        <v>8</v>
      </c>
      <c r="H1397" s="8">
        <v>29.63</v>
      </c>
      <c r="I1397" s="4">
        <v>0</v>
      </c>
    </row>
    <row r="1398" spans="1:9" x14ac:dyDescent="0.2">
      <c r="A1398" s="2">
        <v>3</v>
      </c>
      <c r="B1398" s="1" t="s">
        <v>115</v>
      </c>
      <c r="C1398" s="4">
        <v>9</v>
      </c>
      <c r="D1398" s="8">
        <v>9.57</v>
      </c>
      <c r="E1398" s="4">
        <v>9</v>
      </c>
      <c r="F1398" s="8">
        <v>14.52</v>
      </c>
      <c r="G1398" s="4">
        <v>0</v>
      </c>
      <c r="H1398" s="8">
        <v>0</v>
      </c>
      <c r="I1398" s="4">
        <v>0</v>
      </c>
    </row>
    <row r="1399" spans="1:9" x14ac:dyDescent="0.2">
      <c r="A1399" s="2">
        <v>3</v>
      </c>
      <c r="B1399" s="1" t="s">
        <v>117</v>
      </c>
      <c r="C1399" s="4">
        <v>9</v>
      </c>
      <c r="D1399" s="8">
        <v>9.57</v>
      </c>
      <c r="E1399" s="4">
        <v>8</v>
      </c>
      <c r="F1399" s="8">
        <v>12.9</v>
      </c>
      <c r="G1399" s="4">
        <v>0</v>
      </c>
      <c r="H1399" s="8">
        <v>0</v>
      </c>
      <c r="I1399" s="4">
        <v>0</v>
      </c>
    </row>
    <row r="1400" spans="1:9" x14ac:dyDescent="0.2">
      <c r="A1400" s="2">
        <v>5</v>
      </c>
      <c r="B1400" s="1" t="s">
        <v>109</v>
      </c>
      <c r="C1400" s="4">
        <v>6</v>
      </c>
      <c r="D1400" s="8">
        <v>6.38</v>
      </c>
      <c r="E1400" s="4">
        <v>6</v>
      </c>
      <c r="F1400" s="8">
        <v>9.68</v>
      </c>
      <c r="G1400" s="4">
        <v>0</v>
      </c>
      <c r="H1400" s="8">
        <v>0</v>
      </c>
      <c r="I1400" s="4">
        <v>0</v>
      </c>
    </row>
    <row r="1401" spans="1:9" x14ac:dyDescent="0.2">
      <c r="A1401" s="2">
        <v>6</v>
      </c>
      <c r="B1401" s="1" t="s">
        <v>102</v>
      </c>
      <c r="C1401" s="4">
        <v>5</v>
      </c>
      <c r="D1401" s="8">
        <v>5.32</v>
      </c>
      <c r="E1401" s="4">
        <v>4</v>
      </c>
      <c r="F1401" s="8">
        <v>6.45</v>
      </c>
      <c r="G1401" s="4">
        <v>1</v>
      </c>
      <c r="H1401" s="8">
        <v>3.7</v>
      </c>
      <c r="I1401" s="4">
        <v>0</v>
      </c>
    </row>
    <row r="1402" spans="1:9" x14ac:dyDescent="0.2">
      <c r="A1402" s="2">
        <v>6</v>
      </c>
      <c r="B1402" s="1" t="s">
        <v>103</v>
      </c>
      <c r="C1402" s="4">
        <v>5</v>
      </c>
      <c r="D1402" s="8">
        <v>5.32</v>
      </c>
      <c r="E1402" s="4">
        <v>1</v>
      </c>
      <c r="F1402" s="8">
        <v>1.61</v>
      </c>
      <c r="G1402" s="4">
        <v>4</v>
      </c>
      <c r="H1402" s="8">
        <v>14.81</v>
      </c>
      <c r="I1402" s="4">
        <v>0</v>
      </c>
    </row>
    <row r="1403" spans="1:9" x14ac:dyDescent="0.2">
      <c r="A1403" s="2">
        <v>6</v>
      </c>
      <c r="B1403" s="1" t="s">
        <v>110</v>
      </c>
      <c r="C1403" s="4">
        <v>5</v>
      </c>
      <c r="D1403" s="8">
        <v>5.32</v>
      </c>
      <c r="E1403" s="4">
        <v>3</v>
      </c>
      <c r="F1403" s="8">
        <v>4.84</v>
      </c>
      <c r="G1403" s="4">
        <v>2</v>
      </c>
      <c r="H1403" s="8">
        <v>7.41</v>
      </c>
      <c r="I1403" s="4">
        <v>0</v>
      </c>
    </row>
    <row r="1404" spans="1:9" x14ac:dyDescent="0.2">
      <c r="A1404" s="2">
        <v>9</v>
      </c>
      <c r="B1404" s="1" t="s">
        <v>108</v>
      </c>
      <c r="C1404" s="4">
        <v>4</v>
      </c>
      <c r="D1404" s="8">
        <v>4.26</v>
      </c>
      <c r="E1404" s="4">
        <v>2</v>
      </c>
      <c r="F1404" s="8">
        <v>3.23</v>
      </c>
      <c r="G1404" s="4">
        <v>1</v>
      </c>
      <c r="H1404" s="8">
        <v>3.7</v>
      </c>
      <c r="I1404" s="4">
        <v>1</v>
      </c>
    </row>
    <row r="1405" spans="1:9" x14ac:dyDescent="0.2">
      <c r="A1405" s="2">
        <v>10</v>
      </c>
      <c r="B1405" s="1" t="s">
        <v>111</v>
      </c>
      <c r="C1405" s="4">
        <v>3</v>
      </c>
      <c r="D1405" s="8">
        <v>3.19</v>
      </c>
      <c r="E1405" s="4">
        <v>1</v>
      </c>
      <c r="F1405" s="8">
        <v>1.61</v>
      </c>
      <c r="G1405" s="4">
        <v>2</v>
      </c>
      <c r="H1405" s="8">
        <v>7.41</v>
      </c>
      <c r="I1405" s="4">
        <v>0</v>
      </c>
    </row>
    <row r="1406" spans="1:9" x14ac:dyDescent="0.2">
      <c r="A1406" s="2">
        <v>10</v>
      </c>
      <c r="B1406" s="1" t="s">
        <v>119</v>
      </c>
      <c r="C1406" s="4">
        <v>3</v>
      </c>
      <c r="D1406" s="8">
        <v>3.19</v>
      </c>
      <c r="E1406" s="4">
        <v>0</v>
      </c>
      <c r="F1406" s="8">
        <v>0</v>
      </c>
      <c r="G1406" s="4">
        <v>1</v>
      </c>
      <c r="H1406" s="8">
        <v>3.7</v>
      </c>
      <c r="I1406" s="4">
        <v>0</v>
      </c>
    </row>
    <row r="1407" spans="1:9" x14ac:dyDescent="0.2">
      <c r="A1407" s="2">
        <v>12</v>
      </c>
      <c r="B1407" s="1" t="s">
        <v>127</v>
      </c>
      <c r="C1407" s="4">
        <v>2</v>
      </c>
      <c r="D1407" s="8">
        <v>2.13</v>
      </c>
      <c r="E1407" s="4">
        <v>0</v>
      </c>
      <c r="F1407" s="8">
        <v>0</v>
      </c>
      <c r="G1407" s="4">
        <v>2</v>
      </c>
      <c r="H1407" s="8">
        <v>7.41</v>
      </c>
      <c r="I1407" s="4">
        <v>0</v>
      </c>
    </row>
    <row r="1408" spans="1:9" x14ac:dyDescent="0.2">
      <c r="A1408" s="2">
        <v>12</v>
      </c>
      <c r="B1408" s="1" t="s">
        <v>107</v>
      </c>
      <c r="C1408" s="4">
        <v>2</v>
      </c>
      <c r="D1408" s="8">
        <v>2.13</v>
      </c>
      <c r="E1408" s="4">
        <v>1</v>
      </c>
      <c r="F1408" s="8">
        <v>1.61</v>
      </c>
      <c r="G1408" s="4">
        <v>1</v>
      </c>
      <c r="H1408" s="8">
        <v>3.7</v>
      </c>
      <c r="I1408" s="4">
        <v>0</v>
      </c>
    </row>
    <row r="1409" spans="1:9" x14ac:dyDescent="0.2">
      <c r="A1409" s="2">
        <v>12</v>
      </c>
      <c r="B1409" s="1" t="s">
        <v>133</v>
      </c>
      <c r="C1409" s="4">
        <v>2</v>
      </c>
      <c r="D1409" s="8">
        <v>2.13</v>
      </c>
      <c r="E1409" s="4">
        <v>2</v>
      </c>
      <c r="F1409" s="8">
        <v>3.23</v>
      </c>
      <c r="G1409" s="4">
        <v>0</v>
      </c>
      <c r="H1409" s="8">
        <v>0</v>
      </c>
      <c r="I1409" s="4">
        <v>0</v>
      </c>
    </row>
    <row r="1410" spans="1:9" x14ac:dyDescent="0.2">
      <c r="A1410" s="2">
        <v>12</v>
      </c>
      <c r="B1410" s="1" t="s">
        <v>118</v>
      </c>
      <c r="C1410" s="4">
        <v>2</v>
      </c>
      <c r="D1410" s="8">
        <v>2.13</v>
      </c>
      <c r="E1410" s="4">
        <v>2</v>
      </c>
      <c r="F1410" s="8">
        <v>3.23</v>
      </c>
      <c r="G1410" s="4">
        <v>0</v>
      </c>
      <c r="H1410" s="8">
        <v>0</v>
      </c>
      <c r="I1410" s="4">
        <v>0</v>
      </c>
    </row>
    <row r="1411" spans="1:9" x14ac:dyDescent="0.2">
      <c r="A1411" s="2">
        <v>16</v>
      </c>
      <c r="B1411" s="1" t="s">
        <v>137</v>
      </c>
      <c r="C1411" s="4">
        <v>1</v>
      </c>
      <c r="D1411" s="8">
        <v>1.06</v>
      </c>
      <c r="E1411" s="4">
        <v>1</v>
      </c>
      <c r="F1411" s="8">
        <v>1.61</v>
      </c>
      <c r="G1411" s="4">
        <v>0</v>
      </c>
      <c r="H1411" s="8">
        <v>0</v>
      </c>
      <c r="I1411" s="4">
        <v>0</v>
      </c>
    </row>
    <row r="1412" spans="1:9" x14ac:dyDescent="0.2">
      <c r="A1412" s="2">
        <v>16</v>
      </c>
      <c r="B1412" s="1" t="s">
        <v>156</v>
      </c>
      <c r="C1412" s="4">
        <v>1</v>
      </c>
      <c r="D1412" s="8">
        <v>1.06</v>
      </c>
      <c r="E1412" s="4">
        <v>0</v>
      </c>
      <c r="F1412" s="8">
        <v>0</v>
      </c>
      <c r="G1412" s="4">
        <v>1</v>
      </c>
      <c r="H1412" s="8">
        <v>3.7</v>
      </c>
      <c r="I1412" s="4">
        <v>0</v>
      </c>
    </row>
    <row r="1413" spans="1:9" x14ac:dyDescent="0.2">
      <c r="A1413" s="2">
        <v>16</v>
      </c>
      <c r="B1413" s="1" t="s">
        <v>104</v>
      </c>
      <c r="C1413" s="4">
        <v>1</v>
      </c>
      <c r="D1413" s="8">
        <v>1.06</v>
      </c>
      <c r="E1413" s="4">
        <v>1</v>
      </c>
      <c r="F1413" s="8">
        <v>1.61</v>
      </c>
      <c r="G1413" s="4">
        <v>0</v>
      </c>
      <c r="H1413" s="8">
        <v>0</v>
      </c>
      <c r="I1413" s="4">
        <v>0</v>
      </c>
    </row>
    <row r="1414" spans="1:9" x14ac:dyDescent="0.2">
      <c r="A1414" s="2">
        <v>16</v>
      </c>
      <c r="B1414" s="1" t="s">
        <v>167</v>
      </c>
      <c r="C1414" s="4">
        <v>1</v>
      </c>
      <c r="D1414" s="8">
        <v>1.06</v>
      </c>
      <c r="E1414" s="4">
        <v>0</v>
      </c>
      <c r="F1414" s="8">
        <v>0</v>
      </c>
      <c r="G1414" s="4">
        <v>1</v>
      </c>
      <c r="H1414" s="8">
        <v>3.7</v>
      </c>
      <c r="I1414" s="4">
        <v>0</v>
      </c>
    </row>
    <row r="1415" spans="1:9" x14ac:dyDescent="0.2">
      <c r="A1415" s="2">
        <v>16</v>
      </c>
      <c r="B1415" s="1" t="s">
        <v>135</v>
      </c>
      <c r="C1415" s="4">
        <v>1</v>
      </c>
      <c r="D1415" s="8">
        <v>1.06</v>
      </c>
      <c r="E1415" s="4">
        <v>0</v>
      </c>
      <c r="F1415" s="8">
        <v>0</v>
      </c>
      <c r="G1415" s="4">
        <v>1</v>
      </c>
      <c r="H1415" s="8">
        <v>3.7</v>
      </c>
      <c r="I1415" s="4">
        <v>0</v>
      </c>
    </row>
    <row r="1416" spans="1:9" x14ac:dyDescent="0.2">
      <c r="A1416" s="2">
        <v>16</v>
      </c>
      <c r="B1416" s="1" t="s">
        <v>139</v>
      </c>
      <c r="C1416" s="4">
        <v>1</v>
      </c>
      <c r="D1416" s="8">
        <v>1.06</v>
      </c>
      <c r="E1416" s="4">
        <v>0</v>
      </c>
      <c r="F1416" s="8">
        <v>0</v>
      </c>
      <c r="G1416" s="4">
        <v>0</v>
      </c>
      <c r="H1416" s="8">
        <v>0</v>
      </c>
      <c r="I1416" s="4">
        <v>0</v>
      </c>
    </row>
    <row r="1417" spans="1:9" x14ac:dyDescent="0.2">
      <c r="A1417" s="2">
        <v>16</v>
      </c>
      <c r="B1417" s="1" t="s">
        <v>159</v>
      </c>
      <c r="C1417" s="4">
        <v>1</v>
      </c>
      <c r="D1417" s="8">
        <v>1.06</v>
      </c>
      <c r="E1417" s="4">
        <v>1</v>
      </c>
      <c r="F1417" s="8">
        <v>1.61</v>
      </c>
      <c r="G1417" s="4">
        <v>0</v>
      </c>
      <c r="H1417" s="8">
        <v>0</v>
      </c>
      <c r="I1417" s="4">
        <v>0</v>
      </c>
    </row>
    <row r="1418" spans="1:9" x14ac:dyDescent="0.2">
      <c r="A1418" s="2">
        <v>16</v>
      </c>
      <c r="B1418" s="1" t="s">
        <v>121</v>
      </c>
      <c r="C1418" s="4">
        <v>1</v>
      </c>
      <c r="D1418" s="8">
        <v>1.06</v>
      </c>
      <c r="E1418" s="4">
        <v>1</v>
      </c>
      <c r="F1418" s="8">
        <v>1.61</v>
      </c>
      <c r="G1418" s="4">
        <v>0</v>
      </c>
      <c r="H1418" s="8">
        <v>0</v>
      </c>
      <c r="I1418" s="4">
        <v>0</v>
      </c>
    </row>
    <row r="1419" spans="1:9" x14ac:dyDescent="0.2">
      <c r="A1419" s="2">
        <v>16</v>
      </c>
      <c r="B1419" s="1" t="s">
        <v>112</v>
      </c>
      <c r="C1419" s="4">
        <v>1</v>
      </c>
      <c r="D1419" s="8">
        <v>1.06</v>
      </c>
      <c r="E1419" s="4">
        <v>1</v>
      </c>
      <c r="F1419" s="8">
        <v>1.61</v>
      </c>
      <c r="G1419" s="4">
        <v>0</v>
      </c>
      <c r="H1419" s="8">
        <v>0</v>
      </c>
      <c r="I1419" s="4">
        <v>0</v>
      </c>
    </row>
    <row r="1420" spans="1:9" x14ac:dyDescent="0.2">
      <c r="A1420" s="2">
        <v>16</v>
      </c>
      <c r="B1420" s="1" t="s">
        <v>113</v>
      </c>
      <c r="C1420" s="4">
        <v>1</v>
      </c>
      <c r="D1420" s="8">
        <v>1.06</v>
      </c>
      <c r="E1420" s="4">
        <v>1</v>
      </c>
      <c r="F1420" s="8">
        <v>1.61</v>
      </c>
      <c r="G1420" s="4">
        <v>0</v>
      </c>
      <c r="H1420" s="8">
        <v>0</v>
      </c>
      <c r="I1420" s="4">
        <v>0</v>
      </c>
    </row>
    <row r="1421" spans="1:9" x14ac:dyDescent="0.2">
      <c r="A1421" s="2">
        <v>16</v>
      </c>
      <c r="B1421" s="1" t="s">
        <v>114</v>
      </c>
      <c r="C1421" s="4">
        <v>1</v>
      </c>
      <c r="D1421" s="8">
        <v>1.06</v>
      </c>
      <c r="E1421" s="4">
        <v>1</v>
      </c>
      <c r="F1421" s="8">
        <v>1.61</v>
      </c>
      <c r="G1421" s="4">
        <v>0</v>
      </c>
      <c r="H1421" s="8">
        <v>0</v>
      </c>
      <c r="I1421" s="4">
        <v>0</v>
      </c>
    </row>
    <row r="1422" spans="1:9" x14ac:dyDescent="0.2">
      <c r="A1422" s="2">
        <v>16</v>
      </c>
      <c r="B1422" s="1" t="s">
        <v>129</v>
      </c>
      <c r="C1422" s="4">
        <v>1</v>
      </c>
      <c r="D1422" s="8">
        <v>1.06</v>
      </c>
      <c r="E1422" s="4">
        <v>0</v>
      </c>
      <c r="F1422" s="8">
        <v>0</v>
      </c>
      <c r="G1422" s="4">
        <v>1</v>
      </c>
      <c r="H1422" s="8">
        <v>3.7</v>
      </c>
      <c r="I1422" s="4">
        <v>0</v>
      </c>
    </row>
    <row r="1423" spans="1:9" x14ac:dyDescent="0.2">
      <c r="A1423" s="2">
        <v>16</v>
      </c>
      <c r="B1423" s="1" t="s">
        <v>120</v>
      </c>
      <c r="C1423" s="4">
        <v>1</v>
      </c>
      <c r="D1423" s="8">
        <v>1.06</v>
      </c>
      <c r="E1423" s="4">
        <v>1</v>
      </c>
      <c r="F1423" s="8">
        <v>1.61</v>
      </c>
      <c r="G1423" s="4">
        <v>0</v>
      </c>
      <c r="H1423" s="8">
        <v>0</v>
      </c>
      <c r="I1423" s="4">
        <v>0</v>
      </c>
    </row>
    <row r="1424" spans="1:9" x14ac:dyDescent="0.2">
      <c r="A1424" s="2">
        <v>16</v>
      </c>
      <c r="B1424" s="1" t="s">
        <v>147</v>
      </c>
      <c r="C1424" s="4">
        <v>1</v>
      </c>
      <c r="D1424" s="8">
        <v>1.06</v>
      </c>
      <c r="E1424" s="4">
        <v>1</v>
      </c>
      <c r="F1424" s="8">
        <v>1.61</v>
      </c>
      <c r="G1424" s="4">
        <v>0</v>
      </c>
      <c r="H1424" s="8">
        <v>0</v>
      </c>
      <c r="I1424" s="4">
        <v>0</v>
      </c>
    </row>
    <row r="1425" spans="1:9" x14ac:dyDescent="0.2">
      <c r="A1425" s="2">
        <v>16</v>
      </c>
      <c r="B1425" s="1" t="s">
        <v>148</v>
      </c>
      <c r="C1425" s="4">
        <v>1</v>
      </c>
      <c r="D1425" s="8">
        <v>1.06</v>
      </c>
      <c r="E1425" s="4">
        <v>0</v>
      </c>
      <c r="F1425" s="8">
        <v>0</v>
      </c>
      <c r="G1425" s="4">
        <v>1</v>
      </c>
      <c r="H1425" s="8">
        <v>3.7</v>
      </c>
      <c r="I1425" s="4">
        <v>0</v>
      </c>
    </row>
    <row r="1426" spans="1:9" x14ac:dyDescent="0.2">
      <c r="A1426" s="2">
        <v>16</v>
      </c>
      <c r="B1426" s="1" t="s">
        <v>124</v>
      </c>
      <c r="C1426" s="4">
        <v>1</v>
      </c>
      <c r="D1426" s="8">
        <v>1.06</v>
      </c>
      <c r="E1426" s="4">
        <v>1</v>
      </c>
      <c r="F1426" s="8">
        <v>1.61</v>
      </c>
      <c r="G1426" s="4">
        <v>0</v>
      </c>
      <c r="H1426" s="8">
        <v>0</v>
      </c>
      <c r="I1426" s="4">
        <v>0</v>
      </c>
    </row>
    <row r="1427" spans="1:9" x14ac:dyDescent="0.2">
      <c r="A1427" s="1"/>
      <c r="C1427" s="4"/>
      <c r="D1427" s="8"/>
      <c r="E1427" s="4"/>
      <c r="F1427" s="8"/>
      <c r="G1427" s="4"/>
      <c r="H1427" s="8"/>
      <c r="I1427" s="4"/>
    </row>
    <row r="1428" spans="1:9" x14ac:dyDescent="0.2">
      <c r="A1428" s="1" t="s">
        <v>60</v>
      </c>
      <c r="C1428" s="4"/>
      <c r="D1428" s="8"/>
      <c r="E1428" s="4"/>
      <c r="F1428" s="8"/>
      <c r="G1428" s="4"/>
      <c r="H1428" s="8"/>
      <c r="I1428" s="4"/>
    </row>
    <row r="1429" spans="1:9" x14ac:dyDescent="0.2">
      <c r="A1429" s="2">
        <v>1</v>
      </c>
      <c r="B1429" s="1" t="s">
        <v>101</v>
      </c>
      <c r="C1429" s="4">
        <v>15</v>
      </c>
      <c r="D1429" s="8">
        <v>25</v>
      </c>
      <c r="E1429" s="4">
        <v>10</v>
      </c>
      <c r="F1429" s="8">
        <v>24.39</v>
      </c>
      <c r="G1429" s="4">
        <v>5</v>
      </c>
      <c r="H1429" s="8">
        <v>31.25</v>
      </c>
      <c r="I1429" s="4">
        <v>0</v>
      </c>
    </row>
    <row r="1430" spans="1:9" x14ac:dyDescent="0.2">
      <c r="A1430" s="2">
        <v>2</v>
      </c>
      <c r="B1430" s="1" t="s">
        <v>116</v>
      </c>
      <c r="C1430" s="4">
        <v>7</v>
      </c>
      <c r="D1430" s="8">
        <v>11.67</v>
      </c>
      <c r="E1430" s="4">
        <v>6</v>
      </c>
      <c r="F1430" s="8">
        <v>14.63</v>
      </c>
      <c r="G1430" s="4">
        <v>1</v>
      </c>
      <c r="H1430" s="8">
        <v>6.25</v>
      </c>
      <c r="I1430" s="4">
        <v>0</v>
      </c>
    </row>
    <row r="1431" spans="1:9" x14ac:dyDescent="0.2">
      <c r="A1431" s="2">
        <v>3</v>
      </c>
      <c r="B1431" s="1" t="s">
        <v>108</v>
      </c>
      <c r="C1431" s="4">
        <v>5</v>
      </c>
      <c r="D1431" s="8">
        <v>8.33</v>
      </c>
      <c r="E1431" s="4">
        <v>4</v>
      </c>
      <c r="F1431" s="8">
        <v>9.76</v>
      </c>
      <c r="G1431" s="4">
        <v>0</v>
      </c>
      <c r="H1431" s="8">
        <v>0</v>
      </c>
      <c r="I1431" s="4">
        <v>0</v>
      </c>
    </row>
    <row r="1432" spans="1:9" x14ac:dyDescent="0.2">
      <c r="A1432" s="2">
        <v>3</v>
      </c>
      <c r="B1432" s="1" t="s">
        <v>110</v>
      </c>
      <c r="C1432" s="4">
        <v>5</v>
      </c>
      <c r="D1432" s="8">
        <v>8.33</v>
      </c>
      <c r="E1432" s="4">
        <v>4</v>
      </c>
      <c r="F1432" s="8">
        <v>9.76</v>
      </c>
      <c r="G1432" s="4">
        <v>1</v>
      </c>
      <c r="H1432" s="8">
        <v>6.25</v>
      </c>
      <c r="I1432" s="4">
        <v>0</v>
      </c>
    </row>
    <row r="1433" spans="1:9" x14ac:dyDescent="0.2">
      <c r="A1433" s="2">
        <v>5</v>
      </c>
      <c r="B1433" s="1" t="s">
        <v>103</v>
      </c>
      <c r="C1433" s="4">
        <v>4</v>
      </c>
      <c r="D1433" s="8">
        <v>6.67</v>
      </c>
      <c r="E1433" s="4">
        <v>3</v>
      </c>
      <c r="F1433" s="8">
        <v>7.32</v>
      </c>
      <c r="G1433" s="4">
        <v>1</v>
      </c>
      <c r="H1433" s="8">
        <v>6.25</v>
      </c>
      <c r="I1433" s="4">
        <v>0</v>
      </c>
    </row>
    <row r="1434" spans="1:9" x14ac:dyDescent="0.2">
      <c r="A1434" s="2">
        <v>6</v>
      </c>
      <c r="B1434" s="1" t="s">
        <v>114</v>
      </c>
      <c r="C1434" s="4">
        <v>3</v>
      </c>
      <c r="D1434" s="8">
        <v>5</v>
      </c>
      <c r="E1434" s="4">
        <v>2</v>
      </c>
      <c r="F1434" s="8">
        <v>4.88</v>
      </c>
      <c r="G1434" s="4">
        <v>0</v>
      </c>
      <c r="H1434" s="8">
        <v>0</v>
      </c>
      <c r="I1434" s="4">
        <v>0</v>
      </c>
    </row>
    <row r="1435" spans="1:9" x14ac:dyDescent="0.2">
      <c r="A1435" s="2">
        <v>6</v>
      </c>
      <c r="B1435" s="1" t="s">
        <v>115</v>
      </c>
      <c r="C1435" s="4">
        <v>3</v>
      </c>
      <c r="D1435" s="8">
        <v>5</v>
      </c>
      <c r="E1435" s="4">
        <v>3</v>
      </c>
      <c r="F1435" s="8">
        <v>7.32</v>
      </c>
      <c r="G1435" s="4">
        <v>0</v>
      </c>
      <c r="H1435" s="8">
        <v>0</v>
      </c>
      <c r="I1435" s="4">
        <v>0</v>
      </c>
    </row>
    <row r="1436" spans="1:9" x14ac:dyDescent="0.2">
      <c r="A1436" s="2">
        <v>8</v>
      </c>
      <c r="B1436" s="1" t="s">
        <v>102</v>
      </c>
      <c r="C1436" s="4">
        <v>2</v>
      </c>
      <c r="D1436" s="8">
        <v>3.33</v>
      </c>
      <c r="E1436" s="4">
        <v>2</v>
      </c>
      <c r="F1436" s="8">
        <v>4.88</v>
      </c>
      <c r="G1436" s="4">
        <v>0</v>
      </c>
      <c r="H1436" s="8">
        <v>0</v>
      </c>
      <c r="I1436" s="4">
        <v>0</v>
      </c>
    </row>
    <row r="1437" spans="1:9" x14ac:dyDescent="0.2">
      <c r="A1437" s="2">
        <v>8</v>
      </c>
      <c r="B1437" s="1" t="s">
        <v>168</v>
      </c>
      <c r="C1437" s="4">
        <v>2</v>
      </c>
      <c r="D1437" s="8">
        <v>3.33</v>
      </c>
      <c r="E1437" s="4">
        <v>0</v>
      </c>
      <c r="F1437" s="8">
        <v>0</v>
      </c>
      <c r="G1437" s="4">
        <v>2</v>
      </c>
      <c r="H1437" s="8">
        <v>12.5</v>
      </c>
      <c r="I1437" s="4">
        <v>0</v>
      </c>
    </row>
    <row r="1438" spans="1:9" x14ac:dyDescent="0.2">
      <c r="A1438" s="2">
        <v>8</v>
      </c>
      <c r="B1438" s="1" t="s">
        <v>120</v>
      </c>
      <c r="C1438" s="4">
        <v>2</v>
      </c>
      <c r="D1438" s="8">
        <v>3.33</v>
      </c>
      <c r="E1438" s="4">
        <v>1</v>
      </c>
      <c r="F1438" s="8">
        <v>2.44</v>
      </c>
      <c r="G1438" s="4">
        <v>1</v>
      </c>
      <c r="H1438" s="8">
        <v>6.25</v>
      </c>
      <c r="I1438" s="4">
        <v>0</v>
      </c>
    </row>
    <row r="1439" spans="1:9" x14ac:dyDescent="0.2">
      <c r="A1439" s="2">
        <v>11</v>
      </c>
      <c r="B1439" s="1" t="s">
        <v>127</v>
      </c>
      <c r="C1439" s="4">
        <v>1</v>
      </c>
      <c r="D1439" s="8">
        <v>1.67</v>
      </c>
      <c r="E1439" s="4">
        <v>0</v>
      </c>
      <c r="F1439" s="8">
        <v>0</v>
      </c>
      <c r="G1439" s="4">
        <v>1</v>
      </c>
      <c r="H1439" s="8">
        <v>6.25</v>
      </c>
      <c r="I1439" s="4">
        <v>0</v>
      </c>
    </row>
    <row r="1440" spans="1:9" x14ac:dyDescent="0.2">
      <c r="A1440" s="2">
        <v>11</v>
      </c>
      <c r="B1440" s="1" t="s">
        <v>130</v>
      </c>
      <c r="C1440" s="4">
        <v>1</v>
      </c>
      <c r="D1440" s="8">
        <v>1.67</v>
      </c>
      <c r="E1440" s="4">
        <v>1</v>
      </c>
      <c r="F1440" s="8">
        <v>2.44</v>
      </c>
      <c r="G1440" s="4">
        <v>0</v>
      </c>
      <c r="H1440" s="8">
        <v>0</v>
      </c>
      <c r="I1440" s="4">
        <v>0</v>
      </c>
    </row>
    <row r="1441" spans="1:9" x14ac:dyDescent="0.2">
      <c r="A1441" s="2">
        <v>11</v>
      </c>
      <c r="B1441" s="1" t="s">
        <v>143</v>
      </c>
      <c r="C1441" s="4">
        <v>1</v>
      </c>
      <c r="D1441" s="8">
        <v>1.67</v>
      </c>
      <c r="E1441" s="4">
        <v>1</v>
      </c>
      <c r="F1441" s="8">
        <v>2.44</v>
      </c>
      <c r="G1441" s="4">
        <v>0</v>
      </c>
      <c r="H1441" s="8">
        <v>0</v>
      </c>
      <c r="I1441" s="4">
        <v>0</v>
      </c>
    </row>
    <row r="1442" spans="1:9" x14ac:dyDescent="0.2">
      <c r="A1442" s="2">
        <v>11</v>
      </c>
      <c r="B1442" s="1" t="s">
        <v>104</v>
      </c>
      <c r="C1442" s="4">
        <v>1</v>
      </c>
      <c r="D1442" s="8">
        <v>1.67</v>
      </c>
      <c r="E1442" s="4">
        <v>0</v>
      </c>
      <c r="F1442" s="8">
        <v>0</v>
      </c>
      <c r="G1442" s="4">
        <v>1</v>
      </c>
      <c r="H1442" s="8">
        <v>6.25</v>
      </c>
      <c r="I1442" s="4">
        <v>0</v>
      </c>
    </row>
    <row r="1443" spans="1:9" x14ac:dyDescent="0.2">
      <c r="A1443" s="2">
        <v>11</v>
      </c>
      <c r="B1443" s="1" t="s">
        <v>136</v>
      </c>
      <c r="C1443" s="4">
        <v>1</v>
      </c>
      <c r="D1443" s="8">
        <v>1.67</v>
      </c>
      <c r="E1443" s="4">
        <v>0</v>
      </c>
      <c r="F1443" s="8">
        <v>0</v>
      </c>
      <c r="G1443" s="4">
        <v>1</v>
      </c>
      <c r="H1443" s="8">
        <v>6.25</v>
      </c>
      <c r="I1443" s="4">
        <v>0</v>
      </c>
    </row>
    <row r="1444" spans="1:9" x14ac:dyDescent="0.2">
      <c r="A1444" s="2">
        <v>11</v>
      </c>
      <c r="B1444" s="1" t="s">
        <v>135</v>
      </c>
      <c r="C1444" s="4">
        <v>1</v>
      </c>
      <c r="D1444" s="8">
        <v>1.67</v>
      </c>
      <c r="E1444" s="4">
        <v>1</v>
      </c>
      <c r="F1444" s="8">
        <v>2.44</v>
      </c>
      <c r="G1444" s="4">
        <v>0</v>
      </c>
      <c r="H1444" s="8">
        <v>0</v>
      </c>
      <c r="I1444" s="4">
        <v>0</v>
      </c>
    </row>
    <row r="1445" spans="1:9" x14ac:dyDescent="0.2">
      <c r="A1445" s="2">
        <v>11</v>
      </c>
      <c r="B1445" s="1" t="s">
        <v>162</v>
      </c>
      <c r="C1445" s="4">
        <v>1</v>
      </c>
      <c r="D1445" s="8">
        <v>1.67</v>
      </c>
      <c r="E1445" s="4">
        <v>1</v>
      </c>
      <c r="F1445" s="8">
        <v>2.44</v>
      </c>
      <c r="G1445" s="4">
        <v>0</v>
      </c>
      <c r="H1445" s="8">
        <v>0</v>
      </c>
      <c r="I1445" s="4">
        <v>0</v>
      </c>
    </row>
    <row r="1446" spans="1:9" x14ac:dyDescent="0.2">
      <c r="A1446" s="2">
        <v>11</v>
      </c>
      <c r="B1446" s="1" t="s">
        <v>145</v>
      </c>
      <c r="C1446" s="4">
        <v>1</v>
      </c>
      <c r="D1446" s="8">
        <v>1.67</v>
      </c>
      <c r="E1446" s="4">
        <v>1</v>
      </c>
      <c r="F1446" s="8">
        <v>2.44</v>
      </c>
      <c r="G1446" s="4">
        <v>0</v>
      </c>
      <c r="H1446" s="8">
        <v>0</v>
      </c>
      <c r="I1446" s="4">
        <v>0</v>
      </c>
    </row>
    <row r="1447" spans="1:9" x14ac:dyDescent="0.2">
      <c r="A1447" s="2">
        <v>11</v>
      </c>
      <c r="B1447" s="1" t="s">
        <v>106</v>
      </c>
      <c r="C1447" s="4">
        <v>1</v>
      </c>
      <c r="D1447" s="8">
        <v>1.67</v>
      </c>
      <c r="E1447" s="4">
        <v>0</v>
      </c>
      <c r="F1447" s="8">
        <v>0</v>
      </c>
      <c r="G1447" s="4">
        <v>1</v>
      </c>
      <c r="H1447" s="8">
        <v>6.25</v>
      </c>
      <c r="I1447" s="4">
        <v>0</v>
      </c>
    </row>
    <row r="1448" spans="1:9" x14ac:dyDescent="0.2">
      <c r="A1448" s="2">
        <v>11</v>
      </c>
      <c r="B1448" s="1" t="s">
        <v>109</v>
      </c>
      <c r="C1448" s="4">
        <v>1</v>
      </c>
      <c r="D1448" s="8">
        <v>1.67</v>
      </c>
      <c r="E1448" s="4">
        <v>0</v>
      </c>
      <c r="F1448" s="8">
        <v>0</v>
      </c>
      <c r="G1448" s="4">
        <v>1</v>
      </c>
      <c r="H1448" s="8">
        <v>6.25</v>
      </c>
      <c r="I1448" s="4">
        <v>0</v>
      </c>
    </row>
    <row r="1449" spans="1:9" x14ac:dyDescent="0.2">
      <c r="A1449" s="2">
        <v>11</v>
      </c>
      <c r="B1449" s="1" t="s">
        <v>129</v>
      </c>
      <c r="C1449" s="4">
        <v>1</v>
      </c>
      <c r="D1449" s="8">
        <v>1.67</v>
      </c>
      <c r="E1449" s="4">
        <v>0</v>
      </c>
      <c r="F1449" s="8">
        <v>0</v>
      </c>
      <c r="G1449" s="4">
        <v>0</v>
      </c>
      <c r="H1449" s="8">
        <v>0</v>
      </c>
      <c r="I1449" s="4">
        <v>0</v>
      </c>
    </row>
    <row r="1450" spans="1:9" x14ac:dyDescent="0.2">
      <c r="A1450" s="2">
        <v>11</v>
      </c>
      <c r="B1450" s="1" t="s">
        <v>118</v>
      </c>
      <c r="C1450" s="4">
        <v>1</v>
      </c>
      <c r="D1450" s="8">
        <v>1.67</v>
      </c>
      <c r="E1450" s="4">
        <v>1</v>
      </c>
      <c r="F1450" s="8">
        <v>2.44</v>
      </c>
      <c r="G1450" s="4">
        <v>0</v>
      </c>
      <c r="H1450" s="8">
        <v>0</v>
      </c>
      <c r="I1450" s="4">
        <v>0</v>
      </c>
    </row>
    <row r="1451" spans="1:9" x14ac:dyDescent="0.2">
      <c r="A1451" s="1"/>
      <c r="C1451" s="4"/>
      <c r="D1451" s="8"/>
      <c r="E1451" s="4"/>
      <c r="F1451" s="8"/>
      <c r="G1451" s="4"/>
      <c r="H1451" s="8"/>
      <c r="I1451" s="4"/>
    </row>
    <row r="1452" spans="1:9" x14ac:dyDescent="0.2">
      <c r="A1452" s="1" t="s">
        <v>61</v>
      </c>
      <c r="C1452" s="4"/>
      <c r="D1452" s="8"/>
      <c r="E1452" s="4"/>
      <c r="F1452" s="8"/>
      <c r="G1452" s="4"/>
      <c r="H1452" s="8"/>
      <c r="I1452" s="4"/>
    </row>
    <row r="1453" spans="1:9" x14ac:dyDescent="0.2">
      <c r="A1453" s="2">
        <v>1</v>
      </c>
      <c r="B1453" s="1" t="s">
        <v>101</v>
      </c>
      <c r="C1453" s="4">
        <v>23</v>
      </c>
      <c r="D1453" s="8">
        <v>11.22</v>
      </c>
      <c r="E1453" s="4">
        <v>7</v>
      </c>
      <c r="F1453" s="8">
        <v>6.31</v>
      </c>
      <c r="G1453" s="4">
        <v>16</v>
      </c>
      <c r="H1453" s="8">
        <v>17.579999999999998</v>
      </c>
      <c r="I1453" s="4">
        <v>0</v>
      </c>
    </row>
    <row r="1454" spans="1:9" x14ac:dyDescent="0.2">
      <c r="A1454" s="2">
        <v>1</v>
      </c>
      <c r="B1454" s="1" t="s">
        <v>102</v>
      </c>
      <c r="C1454" s="4">
        <v>23</v>
      </c>
      <c r="D1454" s="8">
        <v>11.22</v>
      </c>
      <c r="E1454" s="4">
        <v>15</v>
      </c>
      <c r="F1454" s="8">
        <v>13.51</v>
      </c>
      <c r="G1454" s="4">
        <v>8</v>
      </c>
      <c r="H1454" s="8">
        <v>8.7899999999999991</v>
      </c>
      <c r="I1454" s="4">
        <v>0</v>
      </c>
    </row>
    <row r="1455" spans="1:9" x14ac:dyDescent="0.2">
      <c r="A1455" s="2">
        <v>3</v>
      </c>
      <c r="B1455" s="1" t="s">
        <v>115</v>
      </c>
      <c r="C1455" s="4">
        <v>20</v>
      </c>
      <c r="D1455" s="8">
        <v>9.76</v>
      </c>
      <c r="E1455" s="4">
        <v>17</v>
      </c>
      <c r="F1455" s="8">
        <v>15.32</v>
      </c>
      <c r="G1455" s="4">
        <v>3</v>
      </c>
      <c r="H1455" s="8">
        <v>3.3</v>
      </c>
      <c r="I1455" s="4">
        <v>0</v>
      </c>
    </row>
    <row r="1456" spans="1:9" x14ac:dyDescent="0.2">
      <c r="A1456" s="2">
        <v>3</v>
      </c>
      <c r="B1456" s="1" t="s">
        <v>116</v>
      </c>
      <c r="C1456" s="4">
        <v>20</v>
      </c>
      <c r="D1456" s="8">
        <v>9.76</v>
      </c>
      <c r="E1456" s="4">
        <v>14</v>
      </c>
      <c r="F1456" s="8">
        <v>12.61</v>
      </c>
      <c r="G1456" s="4">
        <v>6</v>
      </c>
      <c r="H1456" s="8">
        <v>6.59</v>
      </c>
      <c r="I1456" s="4">
        <v>0</v>
      </c>
    </row>
    <row r="1457" spans="1:9" x14ac:dyDescent="0.2">
      <c r="A1457" s="2">
        <v>5</v>
      </c>
      <c r="B1457" s="1" t="s">
        <v>103</v>
      </c>
      <c r="C1457" s="4">
        <v>15</v>
      </c>
      <c r="D1457" s="8">
        <v>7.32</v>
      </c>
      <c r="E1457" s="4">
        <v>8</v>
      </c>
      <c r="F1457" s="8">
        <v>7.21</v>
      </c>
      <c r="G1457" s="4">
        <v>7</v>
      </c>
      <c r="H1457" s="8">
        <v>7.69</v>
      </c>
      <c r="I1457" s="4">
        <v>0</v>
      </c>
    </row>
    <row r="1458" spans="1:9" x14ac:dyDescent="0.2">
      <c r="A1458" s="2">
        <v>6</v>
      </c>
      <c r="B1458" s="1" t="s">
        <v>120</v>
      </c>
      <c r="C1458" s="4">
        <v>9</v>
      </c>
      <c r="D1458" s="8">
        <v>4.3899999999999997</v>
      </c>
      <c r="E1458" s="4">
        <v>6</v>
      </c>
      <c r="F1458" s="8">
        <v>5.41</v>
      </c>
      <c r="G1458" s="4">
        <v>3</v>
      </c>
      <c r="H1458" s="8">
        <v>3.3</v>
      </c>
      <c r="I1458" s="4">
        <v>0</v>
      </c>
    </row>
    <row r="1459" spans="1:9" x14ac:dyDescent="0.2">
      <c r="A1459" s="2">
        <v>7</v>
      </c>
      <c r="B1459" s="1" t="s">
        <v>107</v>
      </c>
      <c r="C1459" s="4">
        <v>8</v>
      </c>
      <c r="D1459" s="8">
        <v>3.9</v>
      </c>
      <c r="E1459" s="4">
        <v>2</v>
      </c>
      <c r="F1459" s="8">
        <v>1.8</v>
      </c>
      <c r="G1459" s="4">
        <v>6</v>
      </c>
      <c r="H1459" s="8">
        <v>6.59</v>
      </c>
      <c r="I1459" s="4">
        <v>0</v>
      </c>
    </row>
    <row r="1460" spans="1:9" x14ac:dyDescent="0.2">
      <c r="A1460" s="2">
        <v>8</v>
      </c>
      <c r="B1460" s="1" t="s">
        <v>108</v>
      </c>
      <c r="C1460" s="4">
        <v>7</v>
      </c>
      <c r="D1460" s="8">
        <v>3.41</v>
      </c>
      <c r="E1460" s="4">
        <v>5</v>
      </c>
      <c r="F1460" s="8">
        <v>4.5</v>
      </c>
      <c r="G1460" s="4">
        <v>2</v>
      </c>
      <c r="H1460" s="8">
        <v>2.2000000000000002</v>
      </c>
      <c r="I1460" s="4">
        <v>0</v>
      </c>
    </row>
    <row r="1461" spans="1:9" x14ac:dyDescent="0.2">
      <c r="A1461" s="2">
        <v>8</v>
      </c>
      <c r="B1461" s="1" t="s">
        <v>118</v>
      </c>
      <c r="C1461" s="4">
        <v>7</v>
      </c>
      <c r="D1461" s="8">
        <v>3.41</v>
      </c>
      <c r="E1461" s="4">
        <v>7</v>
      </c>
      <c r="F1461" s="8">
        <v>6.31</v>
      </c>
      <c r="G1461" s="4">
        <v>0</v>
      </c>
      <c r="H1461" s="8">
        <v>0</v>
      </c>
      <c r="I1461" s="4">
        <v>0</v>
      </c>
    </row>
    <row r="1462" spans="1:9" x14ac:dyDescent="0.2">
      <c r="A1462" s="2">
        <v>10</v>
      </c>
      <c r="B1462" s="1" t="s">
        <v>104</v>
      </c>
      <c r="C1462" s="4">
        <v>6</v>
      </c>
      <c r="D1462" s="8">
        <v>2.93</v>
      </c>
      <c r="E1462" s="4">
        <v>3</v>
      </c>
      <c r="F1462" s="8">
        <v>2.7</v>
      </c>
      <c r="G1462" s="4">
        <v>3</v>
      </c>
      <c r="H1462" s="8">
        <v>3.3</v>
      </c>
      <c r="I1462" s="4">
        <v>0</v>
      </c>
    </row>
    <row r="1463" spans="1:9" x14ac:dyDescent="0.2">
      <c r="A1463" s="2">
        <v>10</v>
      </c>
      <c r="B1463" s="1" t="s">
        <v>117</v>
      </c>
      <c r="C1463" s="4">
        <v>6</v>
      </c>
      <c r="D1463" s="8">
        <v>2.93</v>
      </c>
      <c r="E1463" s="4">
        <v>3</v>
      </c>
      <c r="F1463" s="8">
        <v>2.7</v>
      </c>
      <c r="G1463" s="4">
        <v>2</v>
      </c>
      <c r="H1463" s="8">
        <v>2.2000000000000002</v>
      </c>
      <c r="I1463" s="4">
        <v>0</v>
      </c>
    </row>
    <row r="1464" spans="1:9" x14ac:dyDescent="0.2">
      <c r="A1464" s="2">
        <v>12</v>
      </c>
      <c r="B1464" s="1" t="s">
        <v>110</v>
      </c>
      <c r="C1464" s="4">
        <v>5</v>
      </c>
      <c r="D1464" s="8">
        <v>2.44</v>
      </c>
      <c r="E1464" s="4">
        <v>3</v>
      </c>
      <c r="F1464" s="8">
        <v>2.7</v>
      </c>
      <c r="G1464" s="4">
        <v>2</v>
      </c>
      <c r="H1464" s="8">
        <v>2.2000000000000002</v>
      </c>
      <c r="I1464" s="4">
        <v>0</v>
      </c>
    </row>
    <row r="1465" spans="1:9" x14ac:dyDescent="0.2">
      <c r="A1465" s="2">
        <v>13</v>
      </c>
      <c r="B1465" s="1" t="s">
        <v>130</v>
      </c>
      <c r="C1465" s="4">
        <v>4</v>
      </c>
      <c r="D1465" s="8">
        <v>1.95</v>
      </c>
      <c r="E1465" s="4">
        <v>3</v>
      </c>
      <c r="F1465" s="8">
        <v>2.7</v>
      </c>
      <c r="G1465" s="4">
        <v>1</v>
      </c>
      <c r="H1465" s="8">
        <v>1.1000000000000001</v>
      </c>
      <c r="I1465" s="4">
        <v>0</v>
      </c>
    </row>
    <row r="1466" spans="1:9" x14ac:dyDescent="0.2">
      <c r="A1466" s="2">
        <v>13</v>
      </c>
      <c r="B1466" s="1" t="s">
        <v>145</v>
      </c>
      <c r="C1466" s="4">
        <v>4</v>
      </c>
      <c r="D1466" s="8">
        <v>1.95</v>
      </c>
      <c r="E1466" s="4">
        <v>1</v>
      </c>
      <c r="F1466" s="8">
        <v>0.9</v>
      </c>
      <c r="G1466" s="4">
        <v>3</v>
      </c>
      <c r="H1466" s="8">
        <v>3.3</v>
      </c>
      <c r="I1466" s="4">
        <v>0</v>
      </c>
    </row>
    <row r="1467" spans="1:9" x14ac:dyDescent="0.2">
      <c r="A1467" s="2">
        <v>13</v>
      </c>
      <c r="B1467" s="1" t="s">
        <v>109</v>
      </c>
      <c r="C1467" s="4">
        <v>4</v>
      </c>
      <c r="D1467" s="8">
        <v>1.95</v>
      </c>
      <c r="E1467" s="4">
        <v>1</v>
      </c>
      <c r="F1467" s="8">
        <v>0.9</v>
      </c>
      <c r="G1467" s="4">
        <v>3</v>
      </c>
      <c r="H1467" s="8">
        <v>3.3</v>
      </c>
      <c r="I1467" s="4">
        <v>0</v>
      </c>
    </row>
    <row r="1468" spans="1:9" x14ac:dyDescent="0.2">
      <c r="A1468" s="2">
        <v>16</v>
      </c>
      <c r="B1468" s="1" t="s">
        <v>143</v>
      </c>
      <c r="C1468" s="4">
        <v>3</v>
      </c>
      <c r="D1468" s="8">
        <v>1.46</v>
      </c>
      <c r="E1468" s="4">
        <v>1</v>
      </c>
      <c r="F1468" s="8">
        <v>0.9</v>
      </c>
      <c r="G1468" s="4">
        <v>2</v>
      </c>
      <c r="H1468" s="8">
        <v>2.2000000000000002</v>
      </c>
      <c r="I1468" s="4">
        <v>0</v>
      </c>
    </row>
    <row r="1469" spans="1:9" x14ac:dyDescent="0.2">
      <c r="A1469" s="2">
        <v>16</v>
      </c>
      <c r="B1469" s="1" t="s">
        <v>135</v>
      </c>
      <c r="C1469" s="4">
        <v>3</v>
      </c>
      <c r="D1469" s="8">
        <v>1.46</v>
      </c>
      <c r="E1469" s="4">
        <v>2</v>
      </c>
      <c r="F1469" s="8">
        <v>1.8</v>
      </c>
      <c r="G1469" s="4">
        <v>1</v>
      </c>
      <c r="H1469" s="8">
        <v>1.1000000000000001</v>
      </c>
      <c r="I1469" s="4">
        <v>0</v>
      </c>
    </row>
    <row r="1470" spans="1:9" x14ac:dyDescent="0.2">
      <c r="A1470" s="2">
        <v>16</v>
      </c>
      <c r="B1470" s="1" t="s">
        <v>111</v>
      </c>
      <c r="C1470" s="4">
        <v>3</v>
      </c>
      <c r="D1470" s="8">
        <v>1.46</v>
      </c>
      <c r="E1470" s="4">
        <v>0</v>
      </c>
      <c r="F1470" s="8">
        <v>0</v>
      </c>
      <c r="G1470" s="4">
        <v>3</v>
      </c>
      <c r="H1470" s="8">
        <v>3.3</v>
      </c>
      <c r="I1470" s="4">
        <v>0</v>
      </c>
    </row>
    <row r="1471" spans="1:9" x14ac:dyDescent="0.2">
      <c r="A1471" s="2">
        <v>16</v>
      </c>
      <c r="B1471" s="1" t="s">
        <v>113</v>
      </c>
      <c r="C1471" s="4">
        <v>3</v>
      </c>
      <c r="D1471" s="8">
        <v>1.46</v>
      </c>
      <c r="E1471" s="4">
        <v>2</v>
      </c>
      <c r="F1471" s="8">
        <v>1.8</v>
      </c>
      <c r="G1471" s="4">
        <v>1</v>
      </c>
      <c r="H1471" s="8">
        <v>1.1000000000000001</v>
      </c>
      <c r="I1471" s="4">
        <v>0</v>
      </c>
    </row>
    <row r="1472" spans="1:9" x14ac:dyDescent="0.2">
      <c r="A1472" s="2">
        <v>16</v>
      </c>
      <c r="B1472" s="1" t="s">
        <v>131</v>
      </c>
      <c r="C1472" s="4">
        <v>3</v>
      </c>
      <c r="D1472" s="8">
        <v>1.46</v>
      </c>
      <c r="E1472" s="4">
        <v>2</v>
      </c>
      <c r="F1472" s="8">
        <v>1.8</v>
      </c>
      <c r="G1472" s="4">
        <v>1</v>
      </c>
      <c r="H1472" s="8">
        <v>1.1000000000000001</v>
      </c>
      <c r="I1472" s="4">
        <v>0</v>
      </c>
    </row>
    <row r="1473" spans="1:9" x14ac:dyDescent="0.2">
      <c r="A1473" s="2">
        <v>16</v>
      </c>
      <c r="B1473" s="1" t="s">
        <v>119</v>
      </c>
      <c r="C1473" s="4">
        <v>3</v>
      </c>
      <c r="D1473" s="8">
        <v>1.46</v>
      </c>
      <c r="E1473" s="4">
        <v>0</v>
      </c>
      <c r="F1473" s="8">
        <v>0</v>
      </c>
      <c r="G1473" s="4">
        <v>2</v>
      </c>
      <c r="H1473" s="8">
        <v>2.2000000000000002</v>
      </c>
      <c r="I1473" s="4">
        <v>0</v>
      </c>
    </row>
    <row r="1474" spans="1:9" x14ac:dyDescent="0.2">
      <c r="A1474" s="2">
        <v>16</v>
      </c>
      <c r="B1474" s="1" t="s">
        <v>147</v>
      </c>
      <c r="C1474" s="4">
        <v>3</v>
      </c>
      <c r="D1474" s="8">
        <v>1.46</v>
      </c>
      <c r="E1474" s="4">
        <v>2</v>
      </c>
      <c r="F1474" s="8">
        <v>1.8</v>
      </c>
      <c r="G1474" s="4">
        <v>1</v>
      </c>
      <c r="H1474" s="8">
        <v>1.1000000000000001</v>
      </c>
      <c r="I1474" s="4">
        <v>0</v>
      </c>
    </row>
    <row r="1475" spans="1:9" x14ac:dyDescent="0.2">
      <c r="A1475" s="1"/>
      <c r="C1475" s="4"/>
      <c r="D1475" s="8"/>
      <c r="E1475" s="4"/>
      <c r="F1475" s="8"/>
      <c r="G1475" s="4"/>
      <c r="H1475" s="8"/>
      <c r="I1475" s="4"/>
    </row>
    <row r="1476" spans="1:9" x14ac:dyDescent="0.2">
      <c r="A1476" s="1" t="s">
        <v>62</v>
      </c>
      <c r="C1476" s="4"/>
      <c r="D1476" s="8"/>
      <c r="E1476" s="4"/>
      <c r="F1476" s="8"/>
      <c r="G1476" s="4"/>
      <c r="H1476" s="8"/>
      <c r="I1476" s="4"/>
    </row>
    <row r="1477" spans="1:9" x14ac:dyDescent="0.2">
      <c r="A1477" s="2">
        <v>1</v>
      </c>
      <c r="B1477" s="1" t="s">
        <v>102</v>
      </c>
      <c r="C1477" s="4">
        <v>7</v>
      </c>
      <c r="D1477" s="8">
        <v>8.75</v>
      </c>
      <c r="E1477" s="4">
        <v>6</v>
      </c>
      <c r="F1477" s="8">
        <v>11.54</v>
      </c>
      <c r="G1477" s="4">
        <v>1</v>
      </c>
      <c r="H1477" s="8">
        <v>4</v>
      </c>
      <c r="I1477" s="4">
        <v>0</v>
      </c>
    </row>
    <row r="1478" spans="1:9" x14ac:dyDescent="0.2">
      <c r="A1478" s="2">
        <v>1</v>
      </c>
      <c r="B1478" s="1" t="s">
        <v>130</v>
      </c>
      <c r="C1478" s="4">
        <v>7</v>
      </c>
      <c r="D1478" s="8">
        <v>8.75</v>
      </c>
      <c r="E1478" s="4">
        <v>6</v>
      </c>
      <c r="F1478" s="8">
        <v>11.54</v>
      </c>
      <c r="G1478" s="4">
        <v>1</v>
      </c>
      <c r="H1478" s="8">
        <v>4</v>
      </c>
      <c r="I1478" s="4">
        <v>0</v>
      </c>
    </row>
    <row r="1479" spans="1:9" x14ac:dyDescent="0.2">
      <c r="A1479" s="2">
        <v>3</v>
      </c>
      <c r="B1479" s="1" t="s">
        <v>115</v>
      </c>
      <c r="C1479" s="4">
        <v>6</v>
      </c>
      <c r="D1479" s="8">
        <v>7.5</v>
      </c>
      <c r="E1479" s="4">
        <v>4</v>
      </c>
      <c r="F1479" s="8">
        <v>7.69</v>
      </c>
      <c r="G1479" s="4">
        <v>2</v>
      </c>
      <c r="H1479" s="8">
        <v>8</v>
      </c>
      <c r="I1479" s="4">
        <v>0</v>
      </c>
    </row>
    <row r="1480" spans="1:9" x14ac:dyDescent="0.2">
      <c r="A1480" s="2">
        <v>3</v>
      </c>
      <c r="B1480" s="1" t="s">
        <v>117</v>
      </c>
      <c r="C1480" s="4">
        <v>6</v>
      </c>
      <c r="D1480" s="8">
        <v>7.5</v>
      </c>
      <c r="E1480" s="4">
        <v>3</v>
      </c>
      <c r="F1480" s="8">
        <v>5.77</v>
      </c>
      <c r="G1480" s="4">
        <v>1</v>
      </c>
      <c r="H1480" s="8">
        <v>4</v>
      </c>
      <c r="I1480" s="4">
        <v>0</v>
      </c>
    </row>
    <row r="1481" spans="1:9" x14ac:dyDescent="0.2">
      <c r="A1481" s="2">
        <v>5</v>
      </c>
      <c r="B1481" s="1" t="s">
        <v>101</v>
      </c>
      <c r="C1481" s="4">
        <v>4</v>
      </c>
      <c r="D1481" s="8">
        <v>5</v>
      </c>
      <c r="E1481" s="4">
        <v>2</v>
      </c>
      <c r="F1481" s="8">
        <v>3.85</v>
      </c>
      <c r="G1481" s="4">
        <v>2</v>
      </c>
      <c r="H1481" s="8">
        <v>8</v>
      </c>
      <c r="I1481" s="4">
        <v>0</v>
      </c>
    </row>
    <row r="1482" spans="1:9" x14ac:dyDescent="0.2">
      <c r="A1482" s="2">
        <v>5</v>
      </c>
      <c r="B1482" s="1" t="s">
        <v>122</v>
      </c>
      <c r="C1482" s="4">
        <v>4</v>
      </c>
      <c r="D1482" s="8">
        <v>5</v>
      </c>
      <c r="E1482" s="4">
        <v>0</v>
      </c>
      <c r="F1482" s="8">
        <v>0</v>
      </c>
      <c r="G1482" s="4">
        <v>4</v>
      </c>
      <c r="H1482" s="8">
        <v>16</v>
      </c>
      <c r="I1482" s="4">
        <v>0</v>
      </c>
    </row>
    <row r="1483" spans="1:9" x14ac:dyDescent="0.2">
      <c r="A1483" s="2">
        <v>5</v>
      </c>
      <c r="B1483" s="1" t="s">
        <v>108</v>
      </c>
      <c r="C1483" s="4">
        <v>4</v>
      </c>
      <c r="D1483" s="8">
        <v>5</v>
      </c>
      <c r="E1483" s="4">
        <v>3</v>
      </c>
      <c r="F1483" s="8">
        <v>5.77</v>
      </c>
      <c r="G1483" s="4">
        <v>1</v>
      </c>
      <c r="H1483" s="8">
        <v>4</v>
      </c>
      <c r="I1483" s="4">
        <v>0</v>
      </c>
    </row>
    <row r="1484" spans="1:9" x14ac:dyDescent="0.2">
      <c r="A1484" s="2">
        <v>5</v>
      </c>
      <c r="B1484" s="1" t="s">
        <v>109</v>
      </c>
      <c r="C1484" s="4">
        <v>4</v>
      </c>
      <c r="D1484" s="8">
        <v>5</v>
      </c>
      <c r="E1484" s="4">
        <v>2</v>
      </c>
      <c r="F1484" s="8">
        <v>3.85</v>
      </c>
      <c r="G1484" s="4">
        <v>2</v>
      </c>
      <c r="H1484" s="8">
        <v>8</v>
      </c>
      <c r="I1484" s="4">
        <v>0</v>
      </c>
    </row>
    <row r="1485" spans="1:9" x14ac:dyDescent="0.2">
      <c r="A1485" s="2">
        <v>5</v>
      </c>
      <c r="B1485" s="1" t="s">
        <v>110</v>
      </c>
      <c r="C1485" s="4">
        <v>4</v>
      </c>
      <c r="D1485" s="8">
        <v>5</v>
      </c>
      <c r="E1485" s="4">
        <v>3</v>
      </c>
      <c r="F1485" s="8">
        <v>5.77</v>
      </c>
      <c r="G1485" s="4">
        <v>1</v>
      </c>
      <c r="H1485" s="8">
        <v>4</v>
      </c>
      <c r="I1485" s="4">
        <v>0</v>
      </c>
    </row>
    <row r="1486" spans="1:9" x14ac:dyDescent="0.2">
      <c r="A1486" s="2">
        <v>10</v>
      </c>
      <c r="B1486" s="1" t="s">
        <v>116</v>
      </c>
      <c r="C1486" s="4">
        <v>3</v>
      </c>
      <c r="D1486" s="8">
        <v>3.75</v>
      </c>
      <c r="E1486" s="4">
        <v>3</v>
      </c>
      <c r="F1486" s="8">
        <v>5.77</v>
      </c>
      <c r="G1486" s="4">
        <v>0</v>
      </c>
      <c r="H1486" s="8">
        <v>0</v>
      </c>
      <c r="I1486" s="4">
        <v>0</v>
      </c>
    </row>
    <row r="1487" spans="1:9" x14ac:dyDescent="0.2">
      <c r="A1487" s="2">
        <v>10</v>
      </c>
      <c r="B1487" s="1" t="s">
        <v>118</v>
      </c>
      <c r="C1487" s="4">
        <v>3</v>
      </c>
      <c r="D1487" s="8">
        <v>3.75</v>
      </c>
      <c r="E1487" s="4">
        <v>3</v>
      </c>
      <c r="F1487" s="8">
        <v>5.77</v>
      </c>
      <c r="G1487" s="4">
        <v>0</v>
      </c>
      <c r="H1487" s="8">
        <v>0</v>
      </c>
      <c r="I1487" s="4">
        <v>0</v>
      </c>
    </row>
    <row r="1488" spans="1:9" x14ac:dyDescent="0.2">
      <c r="A1488" s="2">
        <v>12</v>
      </c>
      <c r="B1488" s="1" t="s">
        <v>103</v>
      </c>
      <c r="C1488" s="4">
        <v>2</v>
      </c>
      <c r="D1488" s="8">
        <v>2.5</v>
      </c>
      <c r="E1488" s="4">
        <v>2</v>
      </c>
      <c r="F1488" s="8">
        <v>3.85</v>
      </c>
      <c r="G1488" s="4">
        <v>0</v>
      </c>
      <c r="H1488" s="8">
        <v>0</v>
      </c>
      <c r="I1488" s="4">
        <v>0</v>
      </c>
    </row>
    <row r="1489" spans="1:9" x14ac:dyDescent="0.2">
      <c r="A1489" s="2">
        <v>12</v>
      </c>
      <c r="B1489" s="1" t="s">
        <v>104</v>
      </c>
      <c r="C1489" s="4">
        <v>2</v>
      </c>
      <c r="D1489" s="8">
        <v>2.5</v>
      </c>
      <c r="E1489" s="4">
        <v>1</v>
      </c>
      <c r="F1489" s="8">
        <v>1.92</v>
      </c>
      <c r="G1489" s="4">
        <v>1</v>
      </c>
      <c r="H1489" s="8">
        <v>4</v>
      </c>
      <c r="I1489" s="4">
        <v>0</v>
      </c>
    </row>
    <row r="1490" spans="1:9" x14ac:dyDescent="0.2">
      <c r="A1490" s="2">
        <v>12</v>
      </c>
      <c r="B1490" s="1" t="s">
        <v>135</v>
      </c>
      <c r="C1490" s="4">
        <v>2</v>
      </c>
      <c r="D1490" s="8">
        <v>2.5</v>
      </c>
      <c r="E1490" s="4">
        <v>1</v>
      </c>
      <c r="F1490" s="8">
        <v>1.92</v>
      </c>
      <c r="G1490" s="4">
        <v>1</v>
      </c>
      <c r="H1490" s="8">
        <v>4</v>
      </c>
      <c r="I1490" s="4">
        <v>0</v>
      </c>
    </row>
    <row r="1491" spans="1:9" x14ac:dyDescent="0.2">
      <c r="A1491" s="2">
        <v>12</v>
      </c>
      <c r="B1491" s="1" t="s">
        <v>145</v>
      </c>
      <c r="C1491" s="4">
        <v>2</v>
      </c>
      <c r="D1491" s="8">
        <v>2.5</v>
      </c>
      <c r="E1491" s="4">
        <v>1</v>
      </c>
      <c r="F1491" s="8">
        <v>1.92</v>
      </c>
      <c r="G1491" s="4">
        <v>1</v>
      </c>
      <c r="H1491" s="8">
        <v>4</v>
      </c>
      <c r="I1491" s="4">
        <v>0</v>
      </c>
    </row>
    <row r="1492" spans="1:9" x14ac:dyDescent="0.2">
      <c r="A1492" s="2">
        <v>12</v>
      </c>
      <c r="B1492" s="1" t="s">
        <v>113</v>
      </c>
      <c r="C1492" s="4">
        <v>2</v>
      </c>
      <c r="D1492" s="8">
        <v>2.5</v>
      </c>
      <c r="E1492" s="4">
        <v>2</v>
      </c>
      <c r="F1492" s="8">
        <v>3.85</v>
      </c>
      <c r="G1492" s="4">
        <v>0</v>
      </c>
      <c r="H1492" s="8">
        <v>0</v>
      </c>
      <c r="I1492" s="4">
        <v>0</v>
      </c>
    </row>
    <row r="1493" spans="1:9" x14ac:dyDescent="0.2">
      <c r="A1493" s="2">
        <v>12</v>
      </c>
      <c r="B1493" s="1" t="s">
        <v>129</v>
      </c>
      <c r="C1493" s="4">
        <v>2</v>
      </c>
      <c r="D1493" s="8">
        <v>2.5</v>
      </c>
      <c r="E1493" s="4">
        <v>1</v>
      </c>
      <c r="F1493" s="8">
        <v>1.92</v>
      </c>
      <c r="G1493" s="4">
        <v>1</v>
      </c>
      <c r="H1493" s="8">
        <v>4</v>
      </c>
      <c r="I1493" s="4">
        <v>0</v>
      </c>
    </row>
    <row r="1494" spans="1:9" x14ac:dyDescent="0.2">
      <c r="A1494" s="2">
        <v>12</v>
      </c>
      <c r="B1494" s="1" t="s">
        <v>120</v>
      </c>
      <c r="C1494" s="4">
        <v>2</v>
      </c>
      <c r="D1494" s="8">
        <v>2.5</v>
      </c>
      <c r="E1494" s="4">
        <v>2</v>
      </c>
      <c r="F1494" s="8">
        <v>3.85</v>
      </c>
      <c r="G1494" s="4">
        <v>0</v>
      </c>
      <c r="H1494" s="8">
        <v>0</v>
      </c>
      <c r="I1494" s="4">
        <v>0</v>
      </c>
    </row>
    <row r="1495" spans="1:9" x14ac:dyDescent="0.2">
      <c r="A1495" s="2">
        <v>19</v>
      </c>
      <c r="B1495" s="1" t="s">
        <v>127</v>
      </c>
      <c r="C1495" s="4">
        <v>1</v>
      </c>
      <c r="D1495" s="8">
        <v>1.25</v>
      </c>
      <c r="E1495" s="4">
        <v>1</v>
      </c>
      <c r="F1495" s="8">
        <v>1.92</v>
      </c>
      <c r="G1495" s="4">
        <v>0</v>
      </c>
      <c r="H1495" s="8">
        <v>0</v>
      </c>
      <c r="I1495" s="4">
        <v>0</v>
      </c>
    </row>
    <row r="1496" spans="1:9" x14ac:dyDescent="0.2">
      <c r="A1496" s="2">
        <v>19</v>
      </c>
      <c r="B1496" s="1" t="s">
        <v>137</v>
      </c>
      <c r="C1496" s="4">
        <v>1</v>
      </c>
      <c r="D1496" s="8">
        <v>1.25</v>
      </c>
      <c r="E1496" s="4">
        <v>1</v>
      </c>
      <c r="F1496" s="8">
        <v>1.92</v>
      </c>
      <c r="G1496" s="4">
        <v>0</v>
      </c>
      <c r="H1496" s="8">
        <v>0</v>
      </c>
      <c r="I1496" s="4">
        <v>0</v>
      </c>
    </row>
    <row r="1497" spans="1:9" x14ac:dyDescent="0.2">
      <c r="A1497" s="2">
        <v>19</v>
      </c>
      <c r="B1497" s="1" t="s">
        <v>155</v>
      </c>
      <c r="C1497" s="4">
        <v>1</v>
      </c>
      <c r="D1497" s="8">
        <v>1.25</v>
      </c>
      <c r="E1497" s="4">
        <v>0</v>
      </c>
      <c r="F1497" s="8">
        <v>0</v>
      </c>
      <c r="G1497" s="4">
        <v>1</v>
      </c>
      <c r="H1497" s="8">
        <v>4</v>
      </c>
      <c r="I1497" s="4">
        <v>0</v>
      </c>
    </row>
    <row r="1498" spans="1:9" x14ac:dyDescent="0.2">
      <c r="A1498" s="2">
        <v>19</v>
      </c>
      <c r="B1498" s="1" t="s">
        <v>156</v>
      </c>
      <c r="C1498" s="4">
        <v>1</v>
      </c>
      <c r="D1498" s="8">
        <v>1.25</v>
      </c>
      <c r="E1498" s="4">
        <v>1</v>
      </c>
      <c r="F1498" s="8">
        <v>1.92</v>
      </c>
      <c r="G1498" s="4">
        <v>0</v>
      </c>
      <c r="H1498" s="8">
        <v>0</v>
      </c>
      <c r="I1498" s="4">
        <v>0</v>
      </c>
    </row>
    <row r="1499" spans="1:9" x14ac:dyDescent="0.2">
      <c r="A1499" s="2">
        <v>19</v>
      </c>
      <c r="B1499" s="1" t="s">
        <v>143</v>
      </c>
      <c r="C1499" s="4">
        <v>1</v>
      </c>
      <c r="D1499" s="8">
        <v>1.25</v>
      </c>
      <c r="E1499" s="4">
        <v>0</v>
      </c>
      <c r="F1499" s="8">
        <v>0</v>
      </c>
      <c r="G1499" s="4">
        <v>1</v>
      </c>
      <c r="H1499" s="8">
        <v>4</v>
      </c>
      <c r="I1499" s="4">
        <v>0</v>
      </c>
    </row>
    <row r="1500" spans="1:9" x14ac:dyDescent="0.2">
      <c r="A1500" s="2">
        <v>19</v>
      </c>
      <c r="B1500" s="1" t="s">
        <v>161</v>
      </c>
      <c r="C1500" s="4">
        <v>1</v>
      </c>
      <c r="D1500" s="8">
        <v>1.25</v>
      </c>
      <c r="E1500" s="4">
        <v>0</v>
      </c>
      <c r="F1500" s="8">
        <v>0</v>
      </c>
      <c r="G1500" s="4">
        <v>1</v>
      </c>
      <c r="H1500" s="8">
        <v>4</v>
      </c>
      <c r="I1500" s="4">
        <v>0</v>
      </c>
    </row>
    <row r="1501" spans="1:9" x14ac:dyDescent="0.2">
      <c r="A1501" s="2">
        <v>19</v>
      </c>
      <c r="B1501" s="1" t="s">
        <v>126</v>
      </c>
      <c r="C1501" s="4">
        <v>1</v>
      </c>
      <c r="D1501" s="8">
        <v>1.25</v>
      </c>
      <c r="E1501" s="4">
        <v>1</v>
      </c>
      <c r="F1501" s="8">
        <v>1.92</v>
      </c>
      <c r="G1501" s="4">
        <v>0</v>
      </c>
      <c r="H1501" s="8">
        <v>0</v>
      </c>
      <c r="I1501" s="4">
        <v>0</v>
      </c>
    </row>
    <row r="1502" spans="1:9" x14ac:dyDescent="0.2">
      <c r="A1502" s="2">
        <v>19</v>
      </c>
      <c r="B1502" s="1" t="s">
        <v>152</v>
      </c>
      <c r="C1502" s="4">
        <v>1</v>
      </c>
      <c r="D1502" s="8">
        <v>1.25</v>
      </c>
      <c r="E1502" s="4">
        <v>1</v>
      </c>
      <c r="F1502" s="8">
        <v>1.92</v>
      </c>
      <c r="G1502" s="4">
        <v>0</v>
      </c>
      <c r="H1502" s="8">
        <v>0</v>
      </c>
      <c r="I1502" s="4">
        <v>0</v>
      </c>
    </row>
    <row r="1503" spans="1:9" x14ac:dyDescent="0.2">
      <c r="A1503" s="2">
        <v>19</v>
      </c>
      <c r="B1503" s="1" t="s">
        <v>139</v>
      </c>
      <c r="C1503" s="4">
        <v>1</v>
      </c>
      <c r="D1503" s="8">
        <v>1.25</v>
      </c>
      <c r="E1503" s="4">
        <v>0</v>
      </c>
      <c r="F1503" s="8">
        <v>0</v>
      </c>
      <c r="G1503" s="4">
        <v>0</v>
      </c>
      <c r="H1503" s="8">
        <v>0</v>
      </c>
      <c r="I1503" s="4">
        <v>0</v>
      </c>
    </row>
    <row r="1504" spans="1:9" x14ac:dyDescent="0.2">
      <c r="A1504" s="2">
        <v>19</v>
      </c>
      <c r="B1504" s="1" t="s">
        <v>169</v>
      </c>
      <c r="C1504" s="4">
        <v>1</v>
      </c>
      <c r="D1504" s="8">
        <v>1.25</v>
      </c>
      <c r="E1504" s="4">
        <v>0</v>
      </c>
      <c r="F1504" s="8">
        <v>0</v>
      </c>
      <c r="G1504" s="4">
        <v>1</v>
      </c>
      <c r="H1504" s="8">
        <v>4</v>
      </c>
      <c r="I1504" s="4">
        <v>0</v>
      </c>
    </row>
    <row r="1505" spans="1:9" x14ac:dyDescent="0.2">
      <c r="A1505" s="2">
        <v>19</v>
      </c>
      <c r="B1505" s="1" t="s">
        <v>121</v>
      </c>
      <c r="C1505" s="4">
        <v>1</v>
      </c>
      <c r="D1505" s="8">
        <v>1.25</v>
      </c>
      <c r="E1505" s="4">
        <v>0</v>
      </c>
      <c r="F1505" s="8">
        <v>0</v>
      </c>
      <c r="G1505" s="4">
        <v>1</v>
      </c>
      <c r="H1505" s="8">
        <v>4</v>
      </c>
      <c r="I1505" s="4">
        <v>0</v>
      </c>
    </row>
    <row r="1506" spans="1:9" x14ac:dyDescent="0.2">
      <c r="A1506" s="2">
        <v>19</v>
      </c>
      <c r="B1506" s="1" t="s">
        <v>107</v>
      </c>
      <c r="C1506" s="4">
        <v>1</v>
      </c>
      <c r="D1506" s="8">
        <v>1.25</v>
      </c>
      <c r="E1506" s="4">
        <v>1</v>
      </c>
      <c r="F1506" s="8">
        <v>1.92</v>
      </c>
      <c r="G1506" s="4">
        <v>0</v>
      </c>
      <c r="H1506" s="8">
        <v>0</v>
      </c>
      <c r="I1506" s="4">
        <v>0</v>
      </c>
    </row>
    <row r="1507" spans="1:9" x14ac:dyDescent="0.2">
      <c r="A1507" s="2">
        <v>19</v>
      </c>
      <c r="B1507" s="1" t="s">
        <v>123</v>
      </c>
      <c r="C1507" s="4">
        <v>1</v>
      </c>
      <c r="D1507" s="8">
        <v>1.25</v>
      </c>
      <c r="E1507" s="4">
        <v>0</v>
      </c>
      <c r="F1507" s="8">
        <v>0</v>
      </c>
      <c r="G1507" s="4">
        <v>1</v>
      </c>
      <c r="H1507" s="8">
        <v>4</v>
      </c>
      <c r="I1507" s="4">
        <v>0</v>
      </c>
    </row>
    <row r="1508" spans="1:9" x14ac:dyDescent="0.2">
      <c r="A1508" s="2">
        <v>19</v>
      </c>
      <c r="B1508" s="1" t="s">
        <v>112</v>
      </c>
      <c r="C1508" s="4">
        <v>1</v>
      </c>
      <c r="D1508" s="8">
        <v>1.25</v>
      </c>
      <c r="E1508" s="4">
        <v>1</v>
      </c>
      <c r="F1508" s="8">
        <v>1.92</v>
      </c>
      <c r="G1508" s="4">
        <v>0</v>
      </c>
      <c r="H1508" s="8">
        <v>0</v>
      </c>
      <c r="I1508" s="4">
        <v>0</v>
      </c>
    </row>
    <row r="1509" spans="1:9" x14ac:dyDescent="0.2">
      <c r="A1509" s="1"/>
      <c r="C1509" s="4"/>
      <c r="D1509" s="8"/>
      <c r="E1509" s="4"/>
      <c r="F1509" s="8"/>
      <c r="G1509" s="4"/>
      <c r="H1509" s="8"/>
      <c r="I1509" s="4"/>
    </row>
    <row r="1510" spans="1:9" x14ac:dyDescent="0.2">
      <c r="A1510" s="1" t="s">
        <v>63</v>
      </c>
      <c r="C1510" s="4"/>
      <c r="D1510" s="8"/>
      <c r="E1510" s="4"/>
      <c r="F1510" s="8"/>
      <c r="G1510" s="4"/>
      <c r="H1510" s="8"/>
      <c r="I1510" s="4"/>
    </row>
    <row r="1511" spans="1:9" x14ac:dyDescent="0.2">
      <c r="A1511" s="2">
        <v>1</v>
      </c>
      <c r="B1511" s="1" t="s">
        <v>102</v>
      </c>
      <c r="C1511" s="4">
        <v>13</v>
      </c>
      <c r="D1511" s="8">
        <v>10.24</v>
      </c>
      <c r="E1511" s="4">
        <v>13</v>
      </c>
      <c r="F1511" s="8">
        <v>14.44</v>
      </c>
      <c r="G1511" s="4">
        <v>0</v>
      </c>
      <c r="H1511" s="8">
        <v>0</v>
      </c>
      <c r="I1511" s="4">
        <v>0</v>
      </c>
    </row>
    <row r="1512" spans="1:9" x14ac:dyDescent="0.2">
      <c r="A1512" s="2">
        <v>1</v>
      </c>
      <c r="B1512" s="1" t="s">
        <v>108</v>
      </c>
      <c r="C1512" s="4">
        <v>13</v>
      </c>
      <c r="D1512" s="8">
        <v>10.24</v>
      </c>
      <c r="E1512" s="4">
        <v>12</v>
      </c>
      <c r="F1512" s="8">
        <v>13.33</v>
      </c>
      <c r="G1512" s="4">
        <v>1</v>
      </c>
      <c r="H1512" s="8">
        <v>3.33</v>
      </c>
      <c r="I1512" s="4">
        <v>0</v>
      </c>
    </row>
    <row r="1513" spans="1:9" x14ac:dyDescent="0.2">
      <c r="A1513" s="2">
        <v>3</v>
      </c>
      <c r="B1513" s="1" t="s">
        <v>101</v>
      </c>
      <c r="C1513" s="4">
        <v>12</v>
      </c>
      <c r="D1513" s="8">
        <v>9.4499999999999993</v>
      </c>
      <c r="E1513" s="4">
        <v>6</v>
      </c>
      <c r="F1513" s="8">
        <v>6.67</v>
      </c>
      <c r="G1513" s="4">
        <v>6</v>
      </c>
      <c r="H1513" s="8">
        <v>20</v>
      </c>
      <c r="I1513" s="4">
        <v>0</v>
      </c>
    </row>
    <row r="1514" spans="1:9" x14ac:dyDescent="0.2">
      <c r="A1514" s="2">
        <v>4</v>
      </c>
      <c r="B1514" s="1" t="s">
        <v>110</v>
      </c>
      <c r="C1514" s="4">
        <v>10</v>
      </c>
      <c r="D1514" s="8">
        <v>7.87</v>
      </c>
      <c r="E1514" s="4">
        <v>7</v>
      </c>
      <c r="F1514" s="8">
        <v>7.78</v>
      </c>
      <c r="G1514" s="4">
        <v>3</v>
      </c>
      <c r="H1514" s="8">
        <v>10</v>
      </c>
      <c r="I1514" s="4">
        <v>0</v>
      </c>
    </row>
    <row r="1515" spans="1:9" x14ac:dyDescent="0.2">
      <c r="A1515" s="2">
        <v>5</v>
      </c>
      <c r="B1515" s="1" t="s">
        <v>103</v>
      </c>
      <c r="C1515" s="4">
        <v>9</v>
      </c>
      <c r="D1515" s="8">
        <v>7.09</v>
      </c>
      <c r="E1515" s="4">
        <v>5</v>
      </c>
      <c r="F1515" s="8">
        <v>5.56</v>
      </c>
      <c r="G1515" s="4">
        <v>4</v>
      </c>
      <c r="H1515" s="8">
        <v>13.33</v>
      </c>
      <c r="I1515" s="4">
        <v>0</v>
      </c>
    </row>
    <row r="1516" spans="1:9" x14ac:dyDescent="0.2">
      <c r="A1516" s="2">
        <v>5</v>
      </c>
      <c r="B1516" s="1" t="s">
        <v>116</v>
      </c>
      <c r="C1516" s="4">
        <v>9</v>
      </c>
      <c r="D1516" s="8">
        <v>7.09</v>
      </c>
      <c r="E1516" s="4">
        <v>9</v>
      </c>
      <c r="F1516" s="8">
        <v>10</v>
      </c>
      <c r="G1516" s="4">
        <v>0</v>
      </c>
      <c r="H1516" s="8">
        <v>0</v>
      </c>
      <c r="I1516" s="4">
        <v>0</v>
      </c>
    </row>
    <row r="1517" spans="1:9" x14ac:dyDescent="0.2">
      <c r="A1517" s="2">
        <v>7</v>
      </c>
      <c r="B1517" s="1" t="s">
        <v>115</v>
      </c>
      <c r="C1517" s="4">
        <v>8</v>
      </c>
      <c r="D1517" s="8">
        <v>6.3</v>
      </c>
      <c r="E1517" s="4">
        <v>8</v>
      </c>
      <c r="F1517" s="8">
        <v>8.89</v>
      </c>
      <c r="G1517" s="4">
        <v>0</v>
      </c>
      <c r="H1517" s="8">
        <v>0</v>
      </c>
      <c r="I1517" s="4">
        <v>0</v>
      </c>
    </row>
    <row r="1518" spans="1:9" x14ac:dyDescent="0.2">
      <c r="A1518" s="2">
        <v>8</v>
      </c>
      <c r="B1518" s="1" t="s">
        <v>109</v>
      </c>
      <c r="C1518" s="4">
        <v>6</v>
      </c>
      <c r="D1518" s="8">
        <v>4.72</v>
      </c>
      <c r="E1518" s="4">
        <v>5</v>
      </c>
      <c r="F1518" s="8">
        <v>5.56</v>
      </c>
      <c r="G1518" s="4">
        <v>1</v>
      </c>
      <c r="H1518" s="8">
        <v>3.33</v>
      </c>
      <c r="I1518" s="4">
        <v>0</v>
      </c>
    </row>
    <row r="1519" spans="1:9" x14ac:dyDescent="0.2">
      <c r="A1519" s="2">
        <v>9</v>
      </c>
      <c r="B1519" s="1" t="s">
        <v>145</v>
      </c>
      <c r="C1519" s="4">
        <v>5</v>
      </c>
      <c r="D1519" s="8">
        <v>3.94</v>
      </c>
      <c r="E1519" s="4">
        <v>4</v>
      </c>
      <c r="F1519" s="8">
        <v>4.4400000000000004</v>
      </c>
      <c r="G1519" s="4">
        <v>1</v>
      </c>
      <c r="H1519" s="8">
        <v>3.33</v>
      </c>
      <c r="I1519" s="4">
        <v>0</v>
      </c>
    </row>
    <row r="1520" spans="1:9" x14ac:dyDescent="0.2">
      <c r="A1520" s="2">
        <v>10</v>
      </c>
      <c r="B1520" s="1" t="s">
        <v>106</v>
      </c>
      <c r="C1520" s="4">
        <v>4</v>
      </c>
      <c r="D1520" s="8">
        <v>3.15</v>
      </c>
      <c r="E1520" s="4">
        <v>0</v>
      </c>
      <c r="F1520" s="8">
        <v>0</v>
      </c>
      <c r="G1520" s="4">
        <v>4</v>
      </c>
      <c r="H1520" s="8">
        <v>13.33</v>
      </c>
      <c r="I1520" s="4">
        <v>0</v>
      </c>
    </row>
    <row r="1521" spans="1:9" x14ac:dyDescent="0.2">
      <c r="A1521" s="2">
        <v>11</v>
      </c>
      <c r="B1521" s="1" t="s">
        <v>146</v>
      </c>
      <c r="C1521" s="4">
        <v>3</v>
      </c>
      <c r="D1521" s="8">
        <v>2.36</v>
      </c>
      <c r="E1521" s="4">
        <v>0</v>
      </c>
      <c r="F1521" s="8">
        <v>0</v>
      </c>
      <c r="G1521" s="4">
        <v>0</v>
      </c>
      <c r="H1521" s="8">
        <v>0</v>
      </c>
      <c r="I1521" s="4">
        <v>0</v>
      </c>
    </row>
    <row r="1522" spans="1:9" x14ac:dyDescent="0.2">
      <c r="A1522" s="2">
        <v>11</v>
      </c>
      <c r="B1522" s="1" t="s">
        <v>121</v>
      </c>
      <c r="C1522" s="4">
        <v>3</v>
      </c>
      <c r="D1522" s="8">
        <v>2.36</v>
      </c>
      <c r="E1522" s="4">
        <v>2</v>
      </c>
      <c r="F1522" s="8">
        <v>2.2200000000000002</v>
      </c>
      <c r="G1522" s="4">
        <v>1</v>
      </c>
      <c r="H1522" s="8">
        <v>3.33</v>
      </c>
      <c r="I1522" s="4">
        <v>0</v>
      </c>
    </row>
    <row r="1523" spans="1:9" x14ac:dyDescent="0.2">
      <c r="A1523" s="2">
        <v>11</v>
      </c>
      <c r="B1523" s="1" t="s">
        <v>122</v>
      </c>
      <c r="C1523" s="4">
        <v>3</v>
      </c>
      <c r="D1523" s="8">
        <v>2.36</v>
      </c>
      <c r="E1523" s="4">
        <v>2</v>
      </c>
      <c r="F1523" s="8">
        <v>2.2200000000000002</v>
      </c>
      <c r="G1523" s="4">
        <v>1</v>
      </c>
      <c r="H1523" s="8">
        <v>3.33</v>
      </c>
      <c r="I1523" s="4">
        <v>0</v>
      </c>
    </row>
    <row r="1524" spans="1:9" x14ac:dyDescent="0.2">
      <c r="A1524" s="2">
        <v>11</v>
      </c>
      <c r="B1524" s="1" t="s">
        <v>118</v>
      </c>
      <c r="C1524" s="4">
        <v>3</v>
      </c>
      <c r="D1524" s="8">
        <v>2.36</v>
      </c>
      <c r="E1524" s="4">
        <v>2</v>
      </c>
      <c r="F1524" s="8">
        <v>2.2200000000000002</v>
      </c>
      <c r="G1524" s="4">
        <v>1</v>
      </c>
      <c r="H1524" s="8">
        <v>3.33</v>
      </c>
      <c r="I1524" s="4">
        <v>0</v>
      </c>
    </row>
    <row r="1525" spans="1:9" x14ac:dyDescent="0.2">
      <c r="A1525" s="2">
        <v>15</v>
      </c>
      <c r="B1525" s="1" t="s">
        <v>155</v>
      </c>
      <c r="C1525" s="4">
        <v>2</v>
      </c>
      <c r="D1525" s="8">
        <v>1.57</v>
      </c>
      <c r="E1525" s="4">
        <v>2</v>
      </c>
      <c r="F1525" s="8">
        <v>2.2200000000000002</v>
      </c>
      <c r="G1525" s="4">
        <v>0</v>
      </c>
      <c r="H1525" s="8">
        <v>0</v>
      </c>
      <c r="I1525" s="4">
        <v>0</v>
      </c>
    </row>
    <row r="1526" spans="1:9" x14ac:dyDescent="0.2">
      <c r="A1526" s="2">
        <v>15</v>
      </c>
      <c r="B1526" s="1" t="s">
        <v>111</v>
      </c>
      <c r="C1526" s="4">
        <v>2</v>
      </c>
      <c r="D1526" s="8">
        <v>1.57</v>
      </c>
      <c r="E1526" s="4">
        <v>2</v>
      </c>
      <c r="F1526" s="8">
        <v>2.2200000000000002</v>
      </c>
      <c r="G1526" s="4">
        <v>0</v>
      </c>
      <c r="H1526" s="8">
        <v>0</v>
      </c>
      <c r="I1526" s="4">
        <v>0</v>
      </c>
    </row>
    <row r="1527" spans="1:9" x14ac:dyDescent="0.2">
      <c r="A1527" s="2">
        <v>15</v>
      </c>
      <c r="B1527" s="1" t="s">
        <v>113</v>
      </c>
      <c r="C1527" s="4">
        <v>2</v>
      </c>
      <c r="D1527" s="8">
        <v>1.57</v>
      </c>
      <c r="E1527" s="4">
        <v>0</v>
      </c>
      <c r="F1527" s="8">
        <v>0</v>
      </c>
      <c r="G1527" s="4">
        <v>2</v>
      </c>
      <c r="H1527" s="8">
        <v>6.67</v>
      </c>
      <c r="I1527" s="4">
        <v>0</v>
      </c>
    </row>
    <row r="1528" spans="1:9" x14ac:dyDescent="0.2">
      <c r="A1528" s="2">
        <v>15</v>
      </c>
      <c r="B1528" s="1" t="s">
        <v>131</v>
      </c>
      <c r="C1528" s="4">
        <v>2</v>
      </c>
      <c r="D1528" s="8">
        <v>1.57</v>
      </c>
      <c r="E1528" s="4">
        <v>2</v>
      </c>
      <c r="F1528" s="8">
        <v>2.2200000000000002</v>
      </c>
      <c r="G1528" s="4">
        <v>0</v>
      </c>
      <c r="H1528" s="8">
        <v>0</v>
      </c>
      <c r="I1528" s="4">
        <v>0</v>
      </c>
    </row>
    <row r="1529" spans="1:9" x14ac:dyDescent="0.2">
      <c r="A1529" s="2">
        <v>15</v>
      </c>
      <c r="B1529" s="1" t="s">
        <v>117</v>
      </c>
      <c r="C1529" s="4">
        <v>2</v>
      </c>
      <c r="D1529" s="8">
        <v>1.57</v>
      </c>
      <c r="E1529" s="4">
        <v>0</v>
      </c>
      <c r="F1529" s="8">
        <v>0</v>
      </c>
      <c r="G1529" s="4">
        <v>1</v>
      </c>
      <c r="H1529" s="8">
        <v>3.33</v>
      </c>
      <c r="I1529" s="4">
        <v>0</v>
      </c>
    </row>
    <row r="1530" spans="1:9" x14ac:dyDescent="0.2">
      <c r="A1530" s="2">
        <v>15</v>
      </c>
      <c r="B1530" s="1" t="s">
        <v>119</v>
      </c>
      <c r="C1530" s="4">
        <v>2</v>
      </c>
      <c r="D1530" s="8">
        <v>1.57</v>
      </c>
      <c r="E1530" s="4">
        <v>0</v>
      </c>
      <c r="F1530" s="8">
        <v>0</v>
      </c>
      <c r="G1530" s="4">
        <v>0</v>
      </c>
      <c r="H1530" s="8">
        <v>0</v>
      </c>
      <c r="I1530" s="4">
        <v>0</v>
      </c>
    </row>
    <row r="1531" spans="1:9" x14ac:dyDescent="0.2">
      <c r="A1531" s="2">
        <v>15</v>
      </c>
      <c r="B1531" s="1" t="s">
        <v>147</v>
      </c>
      <c r="C1531" s="4">
        <v>2</v>
      </c>
      <c r="D1531" s="8">
        <v>1.57</v>
      </c>
      <c r="E1531" s="4">
        <v>1</v>
      </c>
      <c r="F1531" s="8">
        <v>1.1100000000000001</v>
      </c>
      <c r="G1531" s="4">
        <v>1</v>
      </c>
      <c r="H1531" s="8">
        <v>3.33</v>
      </c>
      <c r="I1531" s="4">
        <v>0</v>
      </c>
    </row>
    <row r="1532" spans="1:9" x14ac:dyDescent="0.2">
      <c r="A1532" s="1"/>
      <c r="C1532" s="4"/>
      <c r="D1532" s="8"/>
      <c r="E1532" s="4"/>
      <c r="F1532" s="8"/>
      <c r="G1532" s="4"/>
      <c r="H1532" s="8"/>
      <c r="I1532" s="4"/>
    </row>
    <row r="1533" spans="1:9" x14ac:dyDescent="0.2">
      <c r="A1533" s="1" t="s">
        <v>64</v>
      </c>
      <c r="C1533" s="4"/>
      <c r="D1533" s="8"/>
      <c r="E1533" s="4"/>
      <c r="F1533" s="8"/>
      <c r="G1533" s="4"/>
      <c r="H1533" s="8"/>
      <c r="I1533" s="4"/>
    </row>
    <row r="1534" spans="1:9" x14ac:dyDescent="0.2">
      <c r="A1534" s="2">
        <v>1</v>
      </c>
      <c r="B1534" s="1" t="s">
        <v>116</v>
      </c>
      <c r="C1534" s="4">
        <v>35</v>
      </c>
      <c r="D1534" s="8">
        <v>10.64</v>
      </c>
      <c r="E1534" s="4">
        <v>29</v>
      </c>
      <c r="F1534" s="8">
        <v>13.24</v>
      </c>
      <c r="G1534" s="4">
        <v>6</v>
      </c>
      <c r="H1534" s="8">
        <v>5.88</v>
      </c>
      <c r="I1534" s="4">
        <v>0</v>
      </c>
    </row>
    <row r="1535" spans="1:9" x14ac:dyDescent="0.2">
      <c r="A1535" s="2">
        <v>2</v>
      </c>
      <c r="B1535" s="1" t="s">
        <v>110</v>
      </c>
      <c r="C1535" s="4">
        <v>29</v>
      </c>
      <c r="D1535" s="8">
        <v>8.81</v>
      </c>
      <c r="E1535" s="4">
        <v>16</v>
      </c>
      <c r="F1535" s="8">
        <v>7.31</v>
      </c>
      <c r="G1535" s="4">
        <v>13</v>
      </c>
      <c r="H1535" s="8">
        <v>12.75</v>
      </c>
      <c r="I1535" s="4">
        <v>0</v>
      </c>
    </row>
    <row r="1536" spans="1:9" x14ac:dyDescent="0.2">
      <c r="A1536" s="2">
        <v>3</v>
      </c>
      <c r="B1536" s="1" t="s">
        <v>101</v>
      </c>
      <c r="C1536" s="4">
        <v>28</v>
      </c>
      <c r="D1536" s="8">
        <v>8.51</v>
      </c>
      <c r="E1536" s="4">
        <v>13</v>
      </c>
      <c r="F1536" s="8">
        <v>5.94</v>
      </c>
      <c r="G1536" s="4">
        <v>15</v>
      </c>
      <c r="H1536" s="8">
        <v>14.71</v>
      </c>
      <c r="I1536" s="4">
        <v>0</v>
      </c>
    </row>
    <row r="1537" spans="1:9" x14ac:dyDescent="0.2">
      <c r="A1537" s="2">
        <v>4</v>
      </c>
      <c r="B1537" s="1" t="s">
        <v>102</v>
      </c>
      <c r="C1537" s="4">
        <v>26</v>
      </c>
      <c r="D1537" s="8">
        <v>7.9</v>
      </c>
      <c r="E1537" s="4">
        <v>20</v>
      </c>
      <c r="F1537" s="8">
        <v>9.1300000000000008</v>
      </c>
      <c r="G1537" s="4">
        <v>6</v>
      </c>
      <c r="H1537" s="8">
        <v>5.88</v>
      </c>
      <c r="I1537" s="4">
        <v>0</v>
      </c>
    </row>
    <row r="1538" spans="1:9" x14ac:dyDescent="0.2">
      <c r="A1538" s="2">
        <v>5</v>
      </c>
      <c r="B1538" s="1" t="s">
        <v>103</v>
      </c>
      <c r="C1538" s="4">
        <v>18</v>
      </c>
      <c r="D1538" s="8">
        <v>5.47</v>
      </c>
      <c r="E1538" s="4">
        <v>10</v>
      </c>
      <c r="F1538" s="8">
        <v>4.57</v>
      </c>
      <c r="G1538" s="4">
        <v>8</v>
      </c>
      <c r="H1538" s="8">
        <v>7.84</v>
      </c>
      <c r="I1538" s="4">
        <v>0</v>
      </c>
    </row>
    <row r="1539" spans="1:9" x14ac:dyDescent="0.2">
      <c r="A1539" s="2">
        <v>5</v>
      </c>
      <c r="B1539" s="1" t="s">
        <v>115</v>
      </c>
      <c r="C1539" s="4">
        <v>18</v>
      </c>
      <c r="D1539" s="8">
        <v>5.47</v>
      </c>
      <c r="E1539" s="4">
        <v>18</v>
      </c>
      <c r="F1539" s="8">
        <v>8.2200000000000006</v>
      </c>
      <c r="G1539" s="4">
        <v>0</v>
      </c>
      <c r="H1539" s="8">
        <v>0</v>
      </c>
      <c r="I1539" s="4">
        <v>0</v>
      </c>
    </row>
    <row r="1540" spans="1:9" x14ac:dyDescent="0.2">
      <c r="A1540" s="2">
        <v>5</v>
      </c>
      <c r="B1540" s="1" t="s">
        <v>117</v>
      </c>
      <c r="C1540" s="4">
        <v>18</v>
      </c>
      <c r="D1540" s="8">
        <v>5.47</v>
      </c>
      <c r="E1540" s="4">
        <v>14</v>
      </c>
      <c r="F1540" s="8">
        <v>6.39</v>
      </c>
      <c r="G1540" s="4">
        <v>2</v>
      </c>
      <c r="H1540" s="8">
        <v>1.96</v>
      </c>
      <c r="I1540" s="4">
        <v>0</v>
      </c>
    </row>
    <row r="1541" spans="1:9" x14ac:dyDescent="0.2">
      <c r="A1541" s="2">
        <v>8</v>
      </c>
      <c r="B1541" s="1" t="s">
        <v>108</v>
      </c>
      <c r="C1541" s="4">
        <v>16</v>
      </c>
      <c r="D1541" s="8">
        <v>4.8600000000000003</v>
      </c>
      <c r="E1541" s="4">
        <v>13</v>
      </c>
      <c r="F1541" s="8">
        <v>5.94</v>
      </c>
      <c r="G1541" s="4">
        <v>3</v>
      </c>
      <c r="H1541" s="8">
        <v>2.94</v>
      </c>
      <c r="I1541" s="4">
        <v>0</v>
      </c>
    </row>
    <row r="1542" spans="1:9" x14ac:dyDescent="0.2">
      <c r="A1542" s="2">
        <v>9</v>
      </c>
      <c r="B1542" s="1" t="s">
        <v>118</v>
      </c>
      <c r="C1542" s="4">
        <v>13</v>
      </c>
      <c r="D1542" s="8">
        <v>3.95</v>
      </c>
      <c r="E1542" s="4">
        <v>11</v>
      </c>
      <c r="F1542" s="8">
        <v>5.0199999999999996</v>
      </c>
      <c r="G1542" s="4">
        <v>2</v>
      </c>
      <c r="H1542" s="8">
        <v>1.96</v>
      </c>
      <c r="I1542" s="4">
        <v>0</v>
      </c>
    </row>
    <row r="1543" spans="1:9" x14ac:dyDescent="0.2">
      <c r="A1543" s="2">
        <v>10</v>
      </c>
      <c r="B1543" s="1" t="s">
        <v>112</v>
      </c>
      <c r="C1543" s="4">
        <v>10</v>
      </c>
      <c r="D1543" s="8">
        <v>3.04</v>
      </c>
      <c r="E1543" s="4">
        <v>8</v>
      </c>
      <c r="F1543" s="8">
        <v>3.65</v>
      </c>
      <c r="G1543" s="4">
        <v>2</v>
      </c>
      <c r="H1543" s="8">
        <v>1.96</v>
      </c>
      <c r="I1543" s="4">
        <v>0</v>
      </c>
    </row>
    <row r="1544" spans="1:9" x14ac:dyDescent="0.2">
      <c r="A1544" s="2">
        <v>11</v>
      </c>
      <c r="B1544" s="1" t="s">
        <v>107</v>
      </c>
      <c r="C1544" s="4">
        <v>8</v>
      </c>
      <c r="D1544" s="8">
        <v>2.4300000000000002</v>
      </c>
      <c r="E1544" s="4">
        <v>3</v>
      </c>
      <c r="F1544" s="8">
        <v>1.37</v>
      </c>
      <c r="G1544" s="4">
        <v>5</v>
      </c>
      <c r="H1544" s="8">
        <v>4.9000000000000004</v>
      </c>
      <c r="I1544" s="4">
        <v>0</v>
      </c>
    </row>
    <row r="1545" spans="1:9" x14ac:dyDescent="0.2">
      <c r="A1545" s="2">
        <v>11</v>
      </c>
      <c r="B1545" s="1" t="s">
        <v>109</v>
      </c>
      <c r="C1545" s="4">
        <v>8</v>
      </c>
      <c r="D1545" s="8">
        <v>2.4300000000000002</v>
      </c>
      <c r="E1545" s="4">
        <v>5</v>
      </c>
      <c r="F1545" s="8">
        <v>2.2799999999999998</v>
      </c>
      <c r="G1545" s="4">
        <v>3</v>
      </c>
      <c r="H1545" s="8">
        <v>2.94</v>
      </c>
      <c r="I1545" s="4">
        <v>0</v>
      </c>
    </row>
    <row r="1546" spans="1:9" x14ac:dyDescent="0.2">
      <c r="A1546" s="2">
        <v>11</v>
      </c>
      <c r="B1546" s="1" t="s">
        <v>111</v>
      </c>
      <c r="C1546" s="4">
        <v>8</v>
      </c>
      <c r="D1546" s="8">
        <v>2.4300000000000002</v>
      </c>
      <c r="E1546" s="4">
        <v>3</v>
      </c>
      <c r="F1546" s="8">
        <v>1.37</v>
      </c>
      <c r="G1546" s="4">
        <v>5</v>
      </c>
      <c r="H1546" s="8">
        <v>4.9000000000000004</v>
      </c>
      <c r="I1546" s="4">
        <v>0</v>
      </c>
    </row>
    <row r="1547" spans="1:9" x14ac:dyDescent="0.2">
      <c r="A1547" s="2">
        <v>14</v>
      </c>
      <c r="B1547" s="1" t="s">
        <v>113</v>
      </c>
      <c r="C1547" s="4">
        <v>7</v>
      </c>
      <c r="D1547" s="8">
        <v>2.13</v>
      </c>
      <c r="E1547" s="4">
        <v>4</v>
      </c>
      <c r="F1547" s="8">
        <v>1.83</v>
      </c>
      <c r="G1547" s="4">
        <v>2</v>
      </c>
      <c r="H1547" s="8">
        <v>1.96</v>
      </c>
      <c r="I1547" s="4">
        <v>1</v>
      </c>
    </row>
    <row r="1548" spans="1:9" x14ac:dyDescent="0.2">
      <c r="A1548" s="2">
        <v>15</v>
      </c>
      <c r="B1548" s="1" t="s">
        <v>105</v>
      </c>
      <c r="C1548" s="4">
        <v>6</v>
      </c>
      <c r="D1548" s="8">
        <v>1.82</v>
      </c>
      <c r="E1548" s="4">
        <v>2</v>
      </c>
      <c r="F1548" s="8">
        <v>0.91</v>
      </c>
      <c r="G1548" s="4">
        <v>4</v>
      </c>
      <c r="H1548" s="8">
        <v>3.92</v>
      </c>
      <c r="I1548" s="4">
        <v>0</v>
      </c>
    </row>
    <row r="1549" spans="1:9" x14ac:dyDescent="0.2">
      <c r="A1549" s="2">
        <v>16</v>
      </c>
      <c r="B1549" s="1" t="s">
        <v>145</v>
      </c>
      <c r="C1549" s="4">
        <v>5</v>
      </c>
      <c r="D1549" s="8">
        <v>1.52</v>
      </c>
      <c r="E1549" s="4">
        <v>4</v>
      </c>
      <c r="F1549" s="8">
        <v>1.83</v>
      </c>
      <c r="G1549" s="4">
        <v>1</v>
      </c>
      <c r="H1549" s="8">
        <v>0.98</v>
      </c>
      <c r="I1549" s="4">
        <v>0</v>
      </c>
    </row>
    <row r="1550" spans="1:9" x14ac:dyDescent="0.2">
      <c r="A1550" s="2">
        <v>16</v>
      </c>
      <c r="B1550" s="1" t="s">
        <v>114</v>
      </c>
      <c r="C1550" s="4">
        <v>5</v>
      </c>
      <c r="D1550" s="8">
        <v>1.52</v>
      </c>
      <c r="E1550" s="4">
        <v>4</v>
      </c>
      <c r="F1550" s="8">
        <v>1.83</v>
      </c>
      <c r="G1550" s="4">
        <v>1</v>
      </c>
      <c r="H1550" s="8">
        <v>0.98</v>
      </c>
      <c r="I1550" s="4">
        <v>0</v>
      </c>
    </row>
    <row r="1551" spans="1:9" x14ac:dyDescent="0.2">
      <c r="A1551" s="2">
        <v>16</v>
      </c>
      <c r="B1551" s="1" t="s">
        <v>131</v>
      </c>
      <c r="C1551" s="4">
        <v>5</v>
      </c>
      <c r="D1551" s="8">
        <v>1.52</v>
      </c>
      <c r="E1551" s="4">
        <v>4</v>
      </c>
      <c r="F1551" s="8">
        <v>1.83</v>
      </c>
      <c r="G1551" s="4">
        <v>1</v>
      </c>
      <c r="H1551" s="8">
        <v>0.98</v>
      </c>
      <c r="I1551" s="4">
        <v>0</v>
      </c>
    </row>
    <row r="1552" spans="1:9" x14ac:dyDescent="0.2">
      <c r="A1552" s="2">
        <v>19</v>
      </c>
      <c r="B1552" s="1" t="s">
        <v>133</v>
      </c>
      <c r="C1552" s="4">
        <v>4</v>
      </c>
      <c r="D1552" s="8">
        <v>1.22</v>
      </c>
      <c r="E1552" s="4">
        <v>2</v>
      </c>
      <c r="F1552" s="8">
        <v>0.91</v>
      </c>
      <c r="G1552" s="4">
        <v>2</v>
      </c>
      <c r="H1552" s="8">
        <v>1.96</v>
      </c>
      <c r="I1552" s="4">
        <v>0</v>
      </c>
    </row>
    <row r="1553" spans="1:9" x14ac:dyDescent="0.2">
      <c r="A1553" s="2">
        <v>19</v>
      </c>
      <c r="B1553" s="1" t="s">
        <v>132</v>
      </c>
      <c r="C1553" s="4">
        <v>4</v>
      </c>
      <c r="D1553" s="8">
        <v>1.22</v>
      </c>
      <c r="E1553" s="4">
        <v>1</v>
      </c>
      <c r="F1553" s="8">
        <v>0.46</v>
      </c>
      <c r="G1553" s="4">
        <v>1</v>
      </c>
      <c r="H1553" s="8">
        <v>0.98</v>
      </c>
      <c r="I1553" s="4">
        <v>1</v>
      </c>
    </row>
    <row r="1554" spans="1:9" x14ac:dyDescent="0.2">
      <c r="A1554" s="2">
        <v>19</v>
      </c>
      <c r="B1554" s="1" t="s">
        <v>119</v>
      </c>
      <c r="C1554" s="4">
        <v>4</v>
      </c>
      <c r="D1554" s="8">
        <v>1.22</v>
      </c>
      <c r="E1554" s="4">
        <v>1</v>
      </c>
      <c r="F1554" s="8">
        <v>0.46</v>
      </c>
      <c r="G1554" s="4">
        <v>3</v>
      </c>
      <c r="H1554" s="8">
        <v>2.94</v>
      </c>
      <c r="I1554" s="4">
        <v>0</v>
      </c>
    </row>
    <row r="1555" spans="1:9" x14ac:dyDescent="0.2">
      <c r="A1555" s="2">
        <v>19</v>
      </c>
      <c r="B1555" s="1" t="s">
        <v>147</v>
      </c>
      <c r="C1555" s="4">
        <v>4</v>
      </c>
      <c r="D1555" s="8">
        <v>1.22</v>
      </c>
      <c r="E1555" s="4">
        <v>2</v>
      </c>
      <c r="F1555" s="8">
        <v>0.91</v>
      </c>
      <c r="G1555" s="4">
        <v>2</v>
      </c>
      <c r="H1555" s="8">
        <v>1.96</v>
      </c>
      <c r="I1555" s="4">
        <v>0</v>
      </c>
    </row>
    <row r="1556" spans="1:9" x14ac:dyDescent="0.2">
      <c r="A1556" s="1"/>
      <c r="C1556" s="4"/>
      <c r="D1556" s="8"/>
      <c r="E1556" s="4"/>
      <c r="F1556" s="8"/>
      <c r="G1556" s="4"/>
      <c r="H1556" s="8"/>
      <c r="I1556" s="4"/>
    </row>
    <row r="1557" spans="1:9" x14ac:dyDescent="0.2">
      <c r="A1557" s="1" t="s">
        <v>65</v>
      </c>
      <c r="C1557" s="4"/>
      <c r="D1557" s="8"/>
      <c r="E1557" s="4"/>
      <c r="F1557" s="8"/>
      <c r="G1557" s="4"/>
      <c r="H1557" s="8"/>
      <c r="I1557" s="4"/>
    </row>
    <row r="1558" spans="1:9" x14ac:dyDescent="0.2">
      <c r="A1558" s="2">
        <v>1</v>
      </c>
      <c r="B1558" s="1" t="s">
        <v>101</v>
      </c>
      <c r="C1558" s="4">
        <v>34</v>
      </c>
      <c r="D1558" s="8">
        <v>11.68</v>
      </c>
      <c r="E1558" s="4">
        <v>15</v>
      </c>
      <c r="F1558" s="8">
        <v>7.89</v>
      </c>
      <c r="G1558" s="4">
        <v>19</v>
      </c>
      <c r="H1558" s="8">
        <v>19.59</v>
      </c>
      <c r="I1558" s="4">
        <v>0</v>
      </c>
    </row>
    <row r="1559" spans="1:9" x14ac:dyDescent="0.2">
      <c r="A1559" s="2">
        <v>2</v>
      </c>
      <c r="B1559" s="1" t="s">
        <v>115</v>
      </c>
      <c r="C1559" s="4">
        <v>30</v>
      </c>
      <c r="D1559" s="8">
        <v>10.31</v>
      </c>
      <c r="E1559" s="4">
        <v>30</v>
      </c>
      <c r="F1559" s="8">
        <v>15.79</v>
      </c>
      <c r="G1559" s="4">
        <v>0</v>
      </c>
      <c r="H1559" s="8">
        <v>0</v>
      </c>
      <c r="I1559" s="4">
        <v>0</v>
      </c>
    </row>
    <row r="1560" spans="1:9" x14ac:dyDescent="0.2">
      <c r="A1560" s="2">
        <v>3</v>
      </c>
      <c r="B1560" s="1" t="s">
        <v>116</v>
      </c>
      <c r="C1560" s="4">
        <v>29</v>
      </c>
      <c r="D1560" s="8">
        <v>9.9700000000000006</v>
      </c>
      <c r="E1560" s="4">
        <v>23</v>
      </c>
      <c r="F1560" s="8">
        <v>12.11</v>
      </c>
      <c r="G1560" s="4">
        <v>6</v>
      </c>
      <c r="H1560" s="8">
        <v>6.19</v>
      </c>
      <c r="I1560" s="4">
        <v>0</v>
      </c>
    </row>
    <row r="1561" spans="1:9" x14ac:dyDescent="0.2">
      <c r="A1561" s="2">
        <v>4</v>
      </c>
      <c r="B1561" s="1" t="s">
        <v>102</v>
      </c>
      <c r="C1561" s="4">
        <v>19</v>
      </c>
      <c r="D1561" s="8">
        <v>6.53</v>
      </c>
      <c r="E1561" s="4">
        <v>15</v>
      </c>
      <c r="F1561" s="8">
        <v>7.89</v>
      </c>
      <c r="G1561" s="4">
        <v>4</v>
      </c>
      <c r="H1561" s="8">
        <v>4.12</v>
      </c>
      <c r="I1561" s="4">
        <v>0</v>
      </c>
    </row>
    <row r="1562" spans="1:9" x14ac:dyDescent="0.2">
      <c r="A1562" s="2">
        <v>5</v>
      </c>
      <c r="B1562" s="1" t="s">
        <v>108</v>
      </c>
      <c r="C1562" s="4">
        <v>18</v>
      </c>
      <c r="D1562" s="8">
        <v>6.19</v>
      </c>
      <c r="E1562" s="4">
        <v>16</v>
      </c>
      <c r="F1562" s="8">
        <v>8.42</v>
      </c>
      <c r="G1562" s="4">
        <v>2</v>
      </c>
      <c r="H1562" s="8">
        <v>2.06</v>
      </c>
      <c r="I1562" s="4">
        <v>0</v>
      </c>
    </row>
    <row r="1563" spans="1:9" x14ac:dyDescent="0.2">
      <c r="A1563" s="2">
        <v>6</v>
      </c>
      <c r="B1563" s="1" t="s">
        <v>110</v>
      </c>
      <c r="C1563" s="4">
        <v>16</v>
      </c>
      <c r="D1563" s="8">
        <v>5.5</v>
      </c>
      <c r="E1563" s="4">
        <v>8</v>
      </c>
      <c r="F1563" s="8">
        <v>4.21</v>
      </c>
      <c r="G1563" s="4">
        <v>8</v>
      </c>
      <c r="H1563" s="8">
        <v>8.25</v>
      </c>
      <c r="I1563" s="4">
        <v>0</v>
      </c>
    </row>
    <row r="1564" spans="1:9" x14ac:dyDescent="0.2">
      <c r="A1564" s="2">
        <v>7</v>
      </c>
      <c r="B1564" s="1" t="s">
        <v>103</v>
      </c>
      <c r="C1564" s="4">
        <v>13</v>
      </c>
      <c r="D1564" s="8">
        <v>4.47</v>
      </c>
      <c r="E1564" s="4">
        <v>6</v>
      </c>
      <c r="F1564" s="8">
        <v>3.16</v>
      </c>
      <c r="G1564" s="4">
        <v>7</v>
      </c>
      <c r="H1564" s="8">
        <v>7.22</v>
      </c>
      <c r="I1564" s="4">
        <v>0</v>
      </c>
    </row>
    <row r="1565" spans="1:9" x14ac:dyDescent="0.2">
      <c r="A1565" s="2">
        <v>7</v>
      </c>
      <c r="B1565" s="1" t="s">
        <v>109</v>
      </c>
      <c r="C1565" s="4">
        <v>13</v>
      </c>
      <c r="D1565" s="8">
        <v>4.47</v>
      </c>
      <c r="E1565" s="4">
        <v>9</v>
      </c>
      <c r="F1565" s="8">
        <v>4.74</v>
      </c>
      <c r="G1565" s="4">
        <v>4</v>
      </c>
      <c r="H1565" s="8">
        <v>4.12</v>
      </c>
      <c r="I1565" s="4">
        <v>0</v>
      </c>
    </row>
    <row r="1566" spans="1:9" x14ac:dyDescent="0.2">
      <c r="A1566" s="2">
        <v>9</v>
      </c>
      <c r="B1566" s="1" t="s">
        <v>118</v>
      </c>
      <c r="C1566" s="4">
        <v>11</v>
      </c>
      <c r="D1566" s="8">
        <v>3.78</v>
      </c>
      <c r="E1566" s="4">
        <v>11</v>
      </c>
      <c r="F1566" s="8">
        <v>5.79</v>
      </c>
      <c r="G1566" s="4">
        <v>0</v>
      </c>
      <c r="H1566" s="8">
        <v>0</v>
      </c>
      <c r="I1566" s="4">
        <v>0</v>
      </c>
    </row>
    <row r="1567" spans="1:9" x14ac:dyDescent="0.2">
      <c r="A1567" s="2">
        <v>10</v>
      </c>
      <c r="B1567" s="1" t="s">
        <v>112</v>
      </c>
      <c r="C1567" s="4">
        <v>10</v>
      </c>
      <c r="D1567" s="8">
        <v>3.44</v>
      </c>
      <c r="E1567" s="4">
        <v>10</v>
      </c>
      <c r="F1567" s="8">
        <v>5.26</v>
      </c>
      <c r="G1567" s="4">
        <v>0</v>
      </c>
      <c r="H1567" s="8">
        <v>0</v>
      </c>
      <c r="I1567" s="4">
        <v>0</v>
      </c>
    </row>
    <row r="1568" spans="1:9" x14ac:dyDescent="0.2">
      <c r="A1568" s="2">
        <v>11</v>
      </c>
      <c r="B1568" s="1" t="s">
        <v>117</v>
      </c>
      <c r="C1568" s="4">
        <v>9</v>
      </c>
      <c r="D1568" s="8">
        <v>3.09</v>
      </c>
      <c r="E1568" s="4">
        <v>7</v>
      </c>
      <c r="F1568" s="8">
        <v>3.68</v>
      </c>
      <c r="G1568" s="4">
        <v>2</v>
      </c>
      <c r="H1568" s="8">
        <v>2.06</v>
      </c>
      <c r="I1568" s="4">
        <v>0</v>
      </c>
    </row>
    <row r="1569" spans="1:9" x14ac:dyDescent="0.2">
      <c r="A1569" s="2">
        <v>12</v>
      </c>
      <c r="B1569" s="1" t="s">
        <v>105</v>
      </c>
      <c r="C1569" s="4">
        <v>8</v>
      </c>
      <c r="D1569" s="8">
        <v>2.75</v>
      </c>
      <c r="E1569" s="4">
        <v>0</v>
      </c>
      <c r="F1569" s="8">
        <v>0</v>
      </c>
      <c r="G1569" s="4">
        <v>8</v>
      </c>
      <c r="H1569" s="8">
        <v>8.25</v>
      </c>
      <c r="I1569" s="4">
        <v>0</v>
      </c>
    </row>
    <row r="1570" spans="1:9" x14ac:dyDescent="0.2">
      <c r="A1570" s="2">
        <v>13</v>
      </c>
      <c r="B1570" s="1" t="s">
        <v>113</v>
      </c>
      <c r="C1570" s="4">
        <v>6</v>
      </c>
      <c r="D1570" s="8">
        <v>2.06</v>
      </c>
      <c r="E1570" s="4">
        <v>4</v>
      </c>
      <c r="F1570" s="8">
        <v>2.11</v>
      </c>
      <c r="G1570" s="4">
        <v>2</v>
      </c>
      <c r="H1570" s="8">
        <v>2.06</v>
      </c>
      <c r="I1570" s="4">
        <v>0</v>
      </c>
    </row>
    <row r="1571" spans="1:9" x14ac:dyDescent="0.2">
      <c r="A1571" s="2">
        <v>13</v>
      </c>
      <c r="B1571" s="1" t="s">
        <v>119</v>
      </c>
      <c r="C1571" s="4">
        <v>6</v>
      </c>
      <c r="D1571" s="8">
        <v>2.06</v>
      </c>
      <c r="E1571" s="4">
        <v>0</v>
      </c>
      <c r="F1571" s="8">
        <v>0</v>
      </c>
      <c r="G1571" s="4">
        <v>6</v>
      </c>
      <c r="H1571" s="8">
        <v>6.19</v>
      </c>
      <c r="I1571" s="4">
        <v>0</v>
      </c>
    </row>
    <row r="1572" spans="1:9" x14ac:dyDescent="0.2">
      <c r="A1572" s="2">
        <v>15</v>
      </c>
      <c r="B1572" s="1" t="s">
        <v>104</v>
      </c>
      <c r="C1572" s="4">
        <v>4</v>
      </c>
      <c r="D1572" s="8">
        <v>1.37</v>
      </c>
      <c r="E1572" s="4">
        <v>0</v>
      </c>
      <c r="F1572" s="8">
        <v>0</v>
      </c>
      <c r="G1572" s="4">
        <v>4</v>
      </c>
      <c r="H1572" s="8">
        <v>4.12</v>
      </c>
      <c r="I1572" s="4">
        <v>0</v>
      </c>
    </row>
    <row r="1573" spans="1:9" x14ac:dyDescent="0.2">
      <c r="A1573" s="2">
        <v>15</v>
      </c>
      <c r="B1573" s="1" t="s">
        <v>125</v>
      </c>
      <c r="C1573" s="4">
        <v>4</v>
      </c>
      <c r="D1573" s="8">
        <v>1.37</v>
      </c>
      <c r="E1573" s="4">
        <v>2</v>
      </c>
      <c r="F1573" s="8">
        <v>1.05</v>
      </c>
      <c r="G1573" s="4">
        <v>2</v>
      </c>
      <c r="H1573" s="8">
        <v>2.06</v>
      </c>
      <c r="I1573" s="4">
        <v>0</v>
      </c>
    </row>
    <row r="1574" spans="1:9" x14ac:dyDescent="0.2">
      <c r="A1574" s="2">
        <v>15</v>
      </c>
      <c r="B1574" s="1" t="s">
        <v>133</v>
      </c>
      <c r="C1574" s="4">
        <v>4</v>
      </c>
      <c r="D1574" s="8">
        <v>1.37</v>
      </c>
      <c r="E1574" s="4">
        <v>1</v>
      </c>
      <c r="F1574" s="8">
        <v>0.53</v>
      </c>
      <c r="G1574" s="4">
        <v>3</v>
      </c>
      <c r="H1574" s="8">
        <v>3.09</v>
      </c>
      <c r="I1574" s="4">
        <v>0</v>
      </c>
    </row>
    <row r="1575" spans="1:9" x14ac:dyDescent="0.2">
      <c r="A1575" s="2">
        <v>18</v>
      </c>
      <c r="B1575" s="1" t="s">
        <v>130</v>
      </c>
      <c r="C1575" s="4">
        <v>3</v>
      </c>
      <c r="D1575" s="8">
        <v>1.03</v>
      </c>
      <c r="E1575" s="4">
        <v>2</v>
      </c>
      <c r="F1575" s="8">
        <v>1.05</v>
      </c>
      <c r="G1575" s="4">
        <v>1</v>
      </c>
      <c r="H1575" s="8">
        <v>1.03</v>
      </c>
      <c r="I1575" s="4">
        <v>0</v>
      </c>
    </row>
    <row r="1576" spans="1:9" x14ac:dyDescent="0.2">
      <c r="A1576" s="2">
        <v>18</v>
      </c>
      <c r="B1576" s="1" t="s">
        <v>158</v>
      </c>
      <c r="C1576" s="4">
        <v>3</v>
      </c>
      <c r="D1576" s="8">
        <v>1.03</v>
      </c>
      <c r="E1576" s="4">
        <v>2</v>
      </c>
      <c r="F1576" s="8">
        <v>1.05</v>
      </c>
      <c r="G1576" s="4">
        <v>1</v>
      </c>
      <c r="H1576" s="8">
        <v>1.03</v>
      </c>
      <c r="I1576" s="4">
        <v>0</v>
      </c>
    </row>
    <row r="1577" spans="1:9" x14ac:dyDescent="0.2">
      <c r="A1577" s="2">
        <v>18</v>
      </c>
      <c r="B1577" s="1" t="s">
        <v>121</v>
      </c>
      <c r="C1577" s="4">
        <v>3</v>
      </c>
      <c r="D1577" s="8">
        <v>1.03</v>
      </c>
      <c r="E1577" s="4">
        <v>2</v>
      </c>
      <c r="F1577" s="8">
        <v>1.05</v>
      </c>
      <c r="G1577" s="4">
        <v>1</v>
      </c>
      <c r="H1577" s="8">
        <v>1.03</v>
      </c>
      <c r="I1577" s="4">
        <v>0</v>
      </c>
    </row>
    <row r="1578" spans="1:9" x14ac:dyDescent="0.2">
      <c r="A1578" s="2">
        <v>18</v>
      </c>
      <c r="B1578" s="1" t="s">
        <v>134</v>
      </c>
      <c r="C1578" s="4">
        <v>3</v>
      </c>
      <c r="D1578" s="8">
        <v>1.03</v>
      </c>
      <c r="E1578" s="4">
        <v>2</v>
      </c>
      <c r="F1578" s="8">
        <v>1.05</v>
      </c>
      <c r="G1578" s="4">
        <v>1</v>
      </c>
      <c r="H1578" s="8">
        <v>1.03</v>
      </c>
      <c r="I1578" s="4">
        <v>0</v>
      </c>
    </row>
    <row r="1579" spans="1:9" x14ac:dyDescent="0.2">
      <c r="A1579" s="2">
        <v>18</v>
      </c>
      <c r="B1579" s="1" t="s">
        <v>123</v>
      </c>
      <c r="C1579" s="4">
        <v>3</v>
      </c>
      <c r="D1579" s="8">
        <v>1.03</v>
      </c>
      <c r="E1579" s="4">
        <v>1</v>
      </c>
      <c r="F1579" s="8">
        <v>0.53</v>
      </c>
      <c r="G1579" s="4">
        <v>2</v>
      </c>
      <c r="H1579" s="8">
        <v>2.06</v>
      </c>
      <c r="I1579" s="4">
        <v>0</v>
      </c>
    </row>
    <row r="1580" spans="1:9" x14ac:dyDescent="0.2">
      <c r="A1580" s="2">
        <v>18</v>
      </c>
      <c r="B1580" s="1" t="s">
        <v>120</v>
      </c>
      <c r="C1580" s="4">
        <v>3</v>
      </c>
      <c r="D1580" s="8">
        <v>1.03</v>
      </c>
      <c r="E1580" s="4">
        <v>3</v>
      </c>
      <c r="F1580" s="8">
        <v>1.58</v>
      </c>
      <c r="G1580" s="4">
        <v>0</v>
      </c>
      <c r="H1580" s="8">
        <v>0</v>
      </c>
      <c r="I1580" s="4">
        <v>0</v>
      </c>
    </row>
    <row r="1581" spans="1:9" x14ac:dyDescent="0.2">
      <c r="A1581" s="1"/>
      <c r="C1581" s="4"/>
      <c r="D1581" s="8"/>
      <c r="E1581" s="4"/>
      <c r="F1581" s="8"/>
      <c r="G1581" s="4"/>
      <c r="H1581" s="8"/>
      <c r="I1581" s="4"/>
    </row>
    <row r="1582" spans="1:9" x14ac:dyDescent="0.2">
      <c r="A1582" s="1" t="s">
        <v>66</v>
      </c>
      <c r="C1582" s="4"/>
      <c r="D1582" s="8"/>
      <c r="E1582" s="4"/>
      <c r="F1582" s="8"/>
      <c r="G1582" s="4"/>
      <c r="H1582" s="8"/>
      <c r="I1582" s="4"/>
    </row>
    <row r="1583" spans="1:9" x14ac:dyDescent="0.2">
      <c r="A1583" s="2">
        <v>1</v>
      </c>
      <c r="B1583" s="1" t="s">
        <v>114</v>
      </c>
      <c r="C1583" s="4">
        <v>397</v>
      </c>
      <c r="D1583" s="8">
        <v>49.87</v>
      </c>
      <c r="E1583" s="4">
        <v>314</v>
      </c>
      <c r="F1583" s="8">
        <v>58.58</v>
      </c>
      <c r="G1583" s="4">
        <v>83</v>
      </c>
      <c r="H1583" s="8">
        <v>32.94</v>
      </c>
      <c r="I1583" s="4">
        <v>0</v>
      </c>
    </row>
    <row r="1584" spans="1:9" x14ac:dyDescent="0.2">
      <c r="A1584" s="2">
        <v>2</v>
      </c>
      <c r="B1584" s="1" t="s">
        <v>115</v>
      </c>
      <c r="C1584" s="4">
        <v>99</v>
      </c>
      <c r="D1584" s="8">
        <v>12.44</v>
      </c>
      <c r="E1584" s="4">
        <v>81</v>
      </c>
      <c r="F1584" s="8">
        <v>15.11</v>
      </c>
      <c r="G1584" s="4">
        <v>18</v>
      </c>
      <c r="H1584" s="8">
        <v>7.14</v>
      </c>
      <c r="I1584" s="4">
        <v>0</v>
      </c>
    </row>
    <row r="1585" spans="1:9" x14ac:dyDescent="0.2">
      <c r="A1585" s="2">
        <v>3</v>
      </c>
      <c r="B1585" s="1" t="s">
        <v>111</v>
      </c>
      <c r="C1585" s="4">
        <v>41</v>
      </c>
      <c r="D1585" s="8">
        <v>5.15</v>
      </c>
      <c r="E1585" s="4">
        <v>28</v>
      </c>
      <c r="F1585" s="8">
        <v>5.22</v>
      </c>
      <c r="G1585" s="4">
        <v>13</v>
      </c>
      <c r="H1585" s="8">
        <v>5.16</v>
      </c>
      <c r="I1585" s="4">
        <v>0</v>
      </c>
    </row>
    <row r="1586" spans="1:9" x14ac:dyDescent="0.2">
      <c r="A1586" s="2">
        <v>4</v>
      </c>
      <c r="B1586" s="1" t="s">
        <v>110</v>
      </c>
      <c r="C1586" s="4">
        <v>32</v>
      </c>
      <c r="D1586" s="8">
        <v>4.0199999999999996</v>
      </c>
      <c r="E1586" s="4">
        <v>13</v>
      </c>
      <c r="F1586" s="8">
        <v>2.4300000000000002</v>
      </c>
      <c r="G1586" s="4">
        <v>19</v>
      </c>
      <c r="H1586" s="8">
        <v>7.54</v>
      </c>
      <c r="I1586" s="4">
        <v>0</v>
      </c>
    </row>
    <row r="1587" spans="1:9" x14ac:dyDescent="0.2">
      <c r="A1587" s="2">
        <v>5</v>
      </c>
      <c r="B1587" s="1" t="s">
        <v>101</v>
      </c>
      <c r="C1587" s="4">
        <v>28</v>
      </c>
      <c r="D1587" s="8">
        <v>3.52</v>
      </c>
      <c r="E1587" s="4">
        <v>8</v>
      </c>
      <c r="F1587" s="8">
        <v>1.49</v>
      </c>
      <c r="G1587" s="4">
        <v>20</v>
      </c>
      <c r="H1587" s="8">
        <v>7.94</v>
      </c>
      <c r="I1587" s="4">
        <v>0</v>
      </c>
    </row>
    <row r="1588" spans="1:9" x14ac:dyDescent="0.2">
      <c r="A1588" s="2">
        <v>5</v>
      </c>
      <c r="B1588" s="1" t="s">
        <v>116</v>
      </c>
      <c r="C1588" s="4">
        <v>28</v>
      </c>
      <c r="D1588" s="8">
        <v>3.52</v>
      </c>
      <c r="E1588" s="4">
        <v>21</v>
      </c>
      <c r="F1588" s="8">
        <v>3.92</v>
      </c>
      <c r="G1588" s="4">
        <v>7</v>
      </c>
      <c r="H1588" s="8">
        <v>2.78</v>
      </c>
      <c r="I1588" s="4">
        <v>0</v>
      </c>
    </row>
    <row r="1589" spans="1:9" x14ac:dyDescent="0.2">
      <c r="A1589" s="2">
        <v>7</v>
      </c>
      <c r="B1589" s="1" t="s">
        <v>108</v>
      </c>
      <c r="C1589" s="4">
        <v>22</v>
      </c>
      <c r="D1589" s="8">
        <v>2.76</v>
      </c>
      <c r="E1589" s="4">
        <v>13</v>
      </c>
      <c r="F1589" s="8">
        <v>2.4300000000000002</v>
      </c>
      <c r="G1589" s="4">
        <v>9</v>
      </c>
      <c r="H1589" s="8">
        <v>3.57</v>
      </c>
      <c r="I1589" s="4">
        <v>0</v>
      </c>
    </row>
    <row r="1590" spans="1:9" x14ac:dyDescent="0.2">
      <c r="A1590" s="2">
        <v>8</v>
      </c>
      <c r="B1590" s="1" t="s">
        <v>103</v>
      </c>
      <c r="C1590" s="4">
        <v>15</v>
      </c>
      <c r="D1590" s="8">
        <v>1.88</v>
      </c>
      <c r="E1590" s="4">
        <v>6</v>
      </c>
      <c r="F1590" s="8">
        <v>1.1200000000000001</v>
      </c>
      <c r="G1590" s="4">
        <v>9</v>
      </c>
      <c r="H1590" s="8">
        <v>3.57</v>
      </c>
      <c r="I1590" s="4">
        <v>0</v>
      </c>
    </row>
    <row r="1591" spans="1:9" x14ac:dyDescent="0.2">
      <c r="A1591" s="2">
        <v>9</v>
      </c>
      <c r="B1591" s="1" t="s">
        <v>102</v>
      </c>
      <c r="C1591" s="4">
        <v>12</v>
      </c>
      <c r="D1591" s="8">
        <v>1.51</v>
      </c>
      <c r="E1591" s="4">
        <v>6</v>
      </c>
      <c r="F1591" s="8">
        <v>1.1200000000000001</v>
      </c>
      <c r="G1591" s="4">
        <v>6</v>
      </c>
      <c r="H1591" s="8">
        <v>2.38</v>
      </c>
      <c r="I1591" s="4">
        <v>0</v>
      </c>
    </row>
    <row r="1592" spans="1:9" x14ac:dyDescent="0.2">
      <c r="A1592" s="2">
        <v>9</v>
      </c>
      <c r="B1592" s="1" t="s">
        <v>117</v>
      </c>
      <c r="C1592" s="4">
        <v>12</v>
      </c>
      <c r="D1592" s="8">
        <v>1.51</v>
      </c>
      <c r="E1592" s="4">
        <v>3</v>
      </c>
      <c r="F1592" s="8">
        <v>0.56000000000000005</v>
      </c>
      <c r="G1592" s="4">
        <v>8</v>
      </c>
      <c r="H1592" s="8">
        <v>3.17</v>
      </c>
      <c r="I1592" s="4">
        <v>0</v>
      </c>
    </row>
    <row r="1593" spans="1:9" x14ac:dyDescent="0.2">
      <c r="A1593" s="2">
        <v>11</v>
      </c>
      <c r="B1593" s="1" t="s">
        <v>118</v>
      </c>
      <c r="C1593" s="4">
        <v>10</v>
      </c>
      <c r="D1593" s="8">
        <v>1.26</v>
      </c>
      <c r="E1593" s="4">
        <v>10</v>
      </c>
      <c r="F1593" s="8">
        <v>1.87</v>
      </c>
      <c r="G1593" s="4">
        <v>0</v>
      </c>
      <c r="H1593" s="8">
        <v>0</v>
      </c>
      <c r="I1593" s="4">
        <v>0</v>
      </c>
    </row>
    <row r="1594" spans="1:9" x14ac:dyDescent="0.2">
      <c r="A1594" s="2">
        <v>12</v>
      </c>
      <c r="B1594" s="1" t="s">
        <v>123</v>
      </c>
      <c r="C1594" s="4">
        <v>9</v>
      </c>
      <c r="D1594" s="8">
        <v>1.1299999999999999</v>
      </c>
      <c r="E1594" s="4">
        <v>1</v>
      </c>
      <c r="F1594" s="8">
        <v>0.19</v>
      </c>
      <c r="G1594" s="4">
        <v>8</v>
      </c>
      <c r="H1594" s="8">
        <v>3.17</v>
      </c>
      <c r="I1594" s="4">
        <v>0</v>
      </c>
    </row>
    <row r="1595" spans="1:9" x14ac:dyDescent="0.2">
      <c r="A1595" s="2">
        <v>12</v>
      </c>
      <c r="B1595" s="1" t="s">
        <v>113</v>
      </c>
      <c r="C1595" s="4">
        <v>9</v>
      </c>
      <c r="D1595" s="8">
        <v>1.1299999999999999</v>
      </c>
      <c r="E1595" s="4">
        <v>4</v>
      </c>
      <c r="F1595" s="8">
        <v>0.75</v>
      </c>
      <c r="G1595" s="4">
        <v>2</v>
      </c>
      <c r="H1595" s="8">
        <v>0.79</v>
      </c>
      <c r="I1595" s="4">
        <v>0</v>
      </c>
    </row>
    <row r="1596" spans="1:9" x14ac:dyDescent="0.2">
      <c r="A1596" s="2">
        <v>14</v>
      </c>
      <c r="B1596" s="1" t="s">
        <v>107</v>
      </c>
      <c r="C1596" s="4">
        <v>8</v>
      </c>
      <c r="D1596" s="8">
        <v>1.01</v>
      </c>
      <c r="E1596" s="4">
        <v>6</v>
      </c>
      <c r="F1596" s="8">
        <v>1.1200000000000001</v>
      </c>
      <c r="G1596" s="4">
        <v>2</v>
      </c>
      <c r="H1596" s="8">
        <v>0.79</v>
      </c>
      <c r="I1596" s="4">
        <v>0</v>
      </c>
    </row>
    <row r="1597" spans="1:9" x14ac:dyDescent="0.2">
      <c r="A1597" s="2">
        <v>14</v>
      </c>
      <c r="B1597" s="1" t="s">
        <v>153</v>
      </c>
      <c r="C1597" s="4">
        <v>8</v>
      </c>
      <c r="D1597" s="8">
        <v>1.01</v>
      </c>
      <c r="E1597" s="4">
        <v>3</v>
      </c>
      <c r="F1597" s="8">
        <v>0.56000000000000005</v>
      </c>
      <c r="G1597" s="4">
        <v>5</v>
      </c>
      <c r="H1597" s="8">
        <v>1.98</v>
      </c>
      <c r="I1597" s="4">
        <v>0</v>
      </c>
    </row>
    <row r="1598" spans="1:9" x14ac:dyDescent="0.2">
      <c r="A1598" s="2">
        <v>14</v>
      </c>
      <c r="B1598" s="1" t="s">
        <v>132</v>
      </c>
      <c r="C1598" s="4">
        <v>8</v>
      </c>
      <c r="D1598" s="8">
        <v>1.01</v>
      </c>
      <c r="E1598" s="4">
        <v>1</v>
      </c>
      <c r="F1598" s="8">
        <v>0.19</v>
      </c>
      <c r="G1598" s="4">
        <v>6</v>
      </c>
      <c r="H1598" s="8">
        <v>2.38</v>
      </c>
      <c r="I1598" s="4">
        <v>0</v>
      </c>
    </row>
    <row r="1599" spans="1:9" x14ac:dyDescent="0.2">
      <c r="A1599" s="2">
        <v>17</v>
      </c>
      <c r="B1599" s="1" t="s">
        <v>119</v>
      </c>
      <c r="C1599" s="4">
        <v>6</v>
      </c>
      <c r="D1599" s="8">
        <v>0.75</v>
      </c>
      <c r="E1599" s="4">
        <v>1</v>
      </c>
      <c r="F1599" s="8">
        <v>0.19</v>
      </c>
      <c r="G1599" s="4">
        <v>4</v>
      </c>
      <c r="H1599" s="8">
        <v>1.59</v>
      </c>
      <c r="I1599" s="4">
        <v>0</v>
      </c>
    </row>
    <row r="1600" spans="1:9" x14ac:dyDescent="0.2">
      <c r="A1600" s="2">
        <v>18</v>
      </c>
      <c r="B1600" s="1" t="s">
        <v>112</v>
      </c>
      <c r="C1600" s="4">
        <v>5</v>
      </c>
      <c r="D1600" s="8">
        <v>0.63</v>
      </c>
      <c r="E1600" s="4">
        <v>3</v>
      </c>
      <c r="F1600" s="8">
        <v>0.56000000000000005</v>
      </c>
      <c r="G1600" s="4">
        <v>2</v>
      </c>
      <c r="H1600" s="8">
        <v>0.79</v>
      </c>
      <c r="I1600" s="4">
        <v>0</v>
      </c>
    </row>
    <row r="1601" spans="1:9" x14ac:dyDescent="0.2">
      <c r="A1601" s="2">
        <v>19</v>
      </c>
      <c r="B1601" s="1" t="s">
        <v>127</v>
      </c>
      <c r="C1601" s="4">
        <v>4</v>
      </c>
      <c r="D1601" s="8">
        <v>0.5</v>
      </c>
      <c r="E1601" s="4">
        <v>3</v>
      </c>
      <c r="F1601" s="8">
        <v>0.56000000000000005</v>
      </c>
      <c r="G1601" s="4">
        <v>1</v>
      </c>
      <c r="H1601" s="8">
        <v>0.4</v>
      </c>
      <c r="I1601" s="4">
        <v>0</v>
      </c>
    </row>
    <row r="1602" spans="1:9" x14ac:dyDescent="0.2">
      <c r="A1602" s="2">
        <v>19</v>
      </c>
      <c r="B1602" s="1" t="s">
        <v>122</v>
      </c>
      <c r="C1602" s="4">
        <v>4</v>
      </c>
      <c r="D1602" s="8">
        <v>0.5</v>
      </c>
      <c r="E1602" s="4">
        <v>2</v>
      </c>
      <c r="F1602" s="8">
        <v>0.37</v>
      </c>
      <c r="G1602" s="4">
        <v>2</v>
      </c>
      <c r="H1602" s="8">
        <v>0.79</v>
      </c>
      <c r="I1602" s="4">
        <v>0</v>
      </c>
    </row>
    <row r="1603" spans="1:9" x14ac:dyDescent="0.2">
      <c r="A1603" s="2">
        <v>19</v>
      </c>
      <c r="B1603" s="1" t="s">
        <v>124</v>
      </c>
      <c r="C1603" s="4">
        <v>4</v>
      </c>
      <c r="D1603" s="8">
        <v>0.5</v>
      </c>
      <c r="E1603" s="4">
        <v>0</v>
      </c>
      <c r="F1603" s="8">
        <v>0</v>
      </c>
      <c r="G1603" s="4">
        <v>4</v>
      </c>
      <c r="H1603" s="8">
        <v>1.59</v>
      </c>
      <c r="I1603" s="4">
        <v>0</v>
      </c>
    </row>
    <row r="1604" spans="1:9" x14ac:dyDescent="0.2">
      <c r="A1604" s="1"/>
      <c r="C1604" s="4"/>
      <c r="D1604" s="8"/>
      <c r="E1604" s="4"/>
      <c r="F1604" s="8"/>
      <c r="G1604" s="4"/>
      <c r="H1604" s="8"/>
      <c r="I1604" s="4"/>
    </row>
    <row r="1605" spans="1:9" x14ac:dyDescent="0.2">
      <c r="A1605" s="1" t="s">
        <v>67</v>
      </c>
      <c r="C1605" s="4"/>
      <c r="D1605" s="8"/>
      <c r="E1605" s="4"/>
      <c r="F1605" s="8"/>
      <c r="G1605" s="4"/>
      <c r="H1605" s="8"/>
      <c r="I1605" s="4"/>
    </row>
    <row r="1606" spans="1:9" x14ac:dyDescent="0.2">
      <c r="A1606" s="2">
        <v>1</v>
      </c>
      <c r="B1606" s="1" t="s">
        <v>114</v>
      </c>
      <c r="C1606" s="4">
        <v>106</v>
      </c>
      <c r="D1606" s="8">
        <v>47.53</v>
      </c>
      <c r="E1606" s="4">
        <v>81</v>
      </c>
      <c r="F1606" s="8">
        <v>55.1</v>
      </c>
      <c r="G1606" s="4">
        <v>24</v>
      </c>
      <c r="H1606" s="8">
        <v>34.78</v>
      </c>
      <c r="I1606" s="4">
        <v>1</v>
      </c>
    </row>
    <row r="1607" spans="1:9" x14ac:dyDescent="0.2">
      <c r="A1607" s="2">
        <v>2</v>
      </c>
      <c r="B1607" s="1" t="s">
        <v>115</v>
      </c>
      <c r="C1607" s="4">
        <v>17</v>
      </c>
      <c r="D1607" s="8">
        <v>7.62</v>
      </c>
      <c r="E1607" s="4">
        <v>14</v>
      </c>
      <c r="F1607" s="8">
        <v>9.52</v>
      </c>
      <c r="G1607" s="4">
        <v>3</v>
      </c>
      <c r="H1607" s="8">
        <v>4.3499999999999996</v>
      </c>
      <c r="I1607" s="4">
        <v>0</v>
      </c>
    </row>
    <row r="1608" spans="1:9" x14ac:dyDescent="0.2">
      <c r="A1608" s="2">
        <v>3</v>
      </c>
      <c r="B1608" s="1" t="s">
        <v>108</v>
      </c>
      <c r="C1608" s="4">
        <v>14</v>
      </c>
      <c r="D1608" s="8">
        <v>6.28</v>
      </c>
      <c r="E1608" s="4">
        <v>8</v>
      </c>
      <c r="F1608" s="8">
        <v>5.44</v>
      </c>
      <c r="G1608" s="4">
        <v>5</v>
      </c>
      <c r="H1608" s="8">
        <v>7.25</v>
      </c>
      <c r="I1608" s="4">
        <v>1</v>
      </c>
    </row>
    <row r="1609" spans="1:9" x14ac:dyDescent="0.2">
      <c r="A1609" s="2">
        <v>4</v>
      </c>
      <c r="B1609" s="1" t="s">
        <v>101</v>
      </c>
      <c r="C1609" s="4">
        <v>12</v>
      </c>
      <c r="D1609" s="8">
        <v>5.38</v>
      </c>
      <c r="E1609" s="4">
        <v>5</v>
      </c>
      <c r="F1609" s="8">
        <v>3.4</v>
      </c>
      <c r="G1609" s="4">
        <v>7</v>
      </c>
      <c r="H1609" s="8">
        <v>10.14</v>
      </c>
      <c r="I1609" s="4">
        <v>0</v>
      </c>
    </row>
    <row r="1610" spans="1:9" x14ac:dyDescent="0.2">
      <c r="A1610" s="2">
        <v>5</v>
      </c>
      <c r="B1610" s="1" t="s">
        <v>116</v>
      </c>
      <c r="C1610" s="4">
        <v>11</v>
      </c>
      <c r="D1610" s="8">
        <v>4.93</v>
      </c>
      <c r="E1610" s="4">
        <v>9</v>
      </c>
      <c r="F1610" s="8">
        <v>6.12</v>
      </c>
      <c r="G1610" s="4">
        <v>2</v>
      </c>
      <c r="H1610" s="8">
        <v>2.9</v>
      </c>
      <c r="I1610" s="4">
        <v>0</v>
      </c>
    </row>
    <row r="1611" spans="1:9" x14ac:dyDescent="0.2">
      <c r="A1611" s="2">
        <v>6</v>
      </c>
      <c r="B1611" s="1" t="s">
        <v>110</v>
      </c>
      <c r="C1611" s="4">
        <v>9</v>
      </c>
      <c r="D1611" s="8">
        <v>4.04</v>
      </c>
      <c r="E1611" s="4">
        <v>3</v>
      </c>
      <c r="F1611" s="8">
        <v>2.04</v>
      </c>
      <c r="G1611" s="4">
        <v>6</v>
      </c>
      <c r="H1611" s="8">
        <v>8.6999999999999993</v>
      </c>
      <c r="I1611" s="4">
        <v>0</v>
      </c>
    </row>
    <row r="1612" spans="1:9" x14ac:dyDescent="0.2">
      <c r="A1612" s="2">
        <v>7</v>
      </c>
      <c r="B1612" s="1" t="s">
        <v>102</v>
      </c>
      <c r="C1612" s="4">
        <v>7</v>
      </c>
      <c r="D1612" s="8">
        <v>3.14</v>
      </c>
      <c r="E1612" s="4">
        <v>4</v>
      </c>
      <c r="F1612" s="8">
        <v>2.72</v>
      </c>
      <c r="G1612" s="4">
        <v>3</v>
      </c>
      <c r="H1612" s="8">
        <v>4.3499999999999996</v>
      </c>
      <c r="I1612" s="4">
        <v>0</v>
      </c>
    </row>
    <row r="1613" spans="1:9" x14ac:dyDescent="0.2">
      <c r="A1613" s="2">
        <v>7</v>
      </c>
      <c r="B1613" s="1" t="s">
        <v>117</v>
      </c>
      <c r="C1613" s="4">
        <v>7</v>
      </c>
      <c r="D1613" s="8">
        <v>3.14</v>
      </c>
      <c r="E1613" s="4">
        <v>2</v>
      </c>
      <c r="F1613" s="8">
        <v>1.36</v>
      </c>
      <c r="G1613" s="4">
        <v>2</v>
      </c>
      <c r="H1613" s="8">
        <v>2.9</v>
      </c>
      <c r="I1613" s="4">
        <v>0</v>
      </c>
    </row>
    <row r="1614" spans="1:9" x14ac:dyDescent="0.2">
      <c r="A1614" s="2">
        <v>9</v>
      </c>
      <c r="B1614" s="1" t="s">
        <v>103</v>
      </c>
      <c r="C1614" s="4">
        <v>5</v>
      </c>
      <c r="D1614" s="8">
        <v>2.2400000000000002</v>
      </c>
      <c r="E1614" s="4">
        <v>4</v>
      </c>
      <c r="F1614" s="8">
        <v>2.72</v>
      </c>
      <c r="G1614" s="4">
        <v>1</v>
      </c>
      <c r="H1614" s="8">
        <v>1.45</v>
      </c>
      <c r="I1614" s="4">
        <v>0</v>
      </c>
    </row>
    <row r="1615" spans="1:9" x14ac:dyDescent="0.2">
      <c r="A1615" s="2">
        <v>10</v>
      </c>
      <c r="B1615" s="1" t="s">
        <v>109</v>
      </c>
      <c r="C1615" s="4">
        <v>4</v>
      </c>
      <c r="D1615" s="8">
        <v>1.79</v>
      </c>
      <c r="E1615" s="4">
        <v>3</v>
      </c>
      <c r="F1615" s="8">
        <v>2.04</v>
      </c>
      <c r="G1615" s="4">
        <v>1</v>
      </c>
      <c r="H1615" s="8">
        <v>1.45</v>
      </c>
      <c r="I1615" s="4">
        <v>0</v>
      </c>
    </row>
    <row r="1616" spans="1:9" x14ac:dyDescent="0.2">
      <c r="A1616" s="2">
        <v>11</v>
      </c>
      <c r="B1616" s="1" t="s">
        <v>153</v>
      </c>
      <c r="C1616" s="4">
        <v>3</v>
      </c>
      <c r="D1616" s="8">
        <v>1.35</v>
      </c>
      <c r="E1616" s="4">
        <v>1</v>
      </c>
      <c r="F1616" s="8">
        <v>0.68</v>
      </c>
      <c r="G1616" s="4">
        <v>2</v>
      </c>
      <c r="H1616" s="8">
        <v>2.9</v>
      </c>
      <c r="I1616" s="4">
        <v>0</v>
      </c>
    </row>
    <row r="1617" spans="1:9" x14ac:dyDescent="0.2">
      <c r="A1617" s="2">
        <v>12</v>
      </c>
      <c r="B1617" s="1" t="s">
        <v>127</v>
      </c>
      <c r="C1617" s="4">
        <v>2</v>
      </c>
      <c r="D1617" s="8">
        <v>0.9</v>
      </c>
      <c r="E1617" s="4">
        <v>1</v>
      </c>
      <c r="F1617" s="8">
        <v>0.68</v>
      </c>
      <c r="G1617" s="4">
        <v>1</v>
      </c>
      <c r="H1617" s="8">
        <v>1.45</v>
      </c>
      <c r="I1617" s="4">
        <v>0</v>
      </c>
    </row>
    <row r="1618" spans="1:9" x14ac:dyDescent="0.2">
      <c r="A1618" s="2">
        <v>12</v>
      </c>
      <c r="B1618" s="1" t="s">
        <v>111</v>
      </c>
      <c r="C1618" s="4">
        <v>2</v>
      </c>
      <c r="D1618" s="8">
        <v>0.9</v>
      </c>
      <c r="E1618" s="4">
        <v>1</v>
      </c>
      <c r="F1618" s="8">
        <v>0.68</v>
      </c>
      <c r="G1618" s="4">
        <v>1</v>
      </c>
      <c r="H1618" s="8">
        <v>1.45</v>
      </c>
      <c r="I1618" s="4">
        <v>0</v>
      </c>
    </row>
    <row r="1619" spans="1:9" x14ac:dyDescent="0.2">
      <c r="A1619" s="2">
        <v>12</v>
      </c>
      <c r="B1619" s="1" t="s">
        <v>112</v>
      </c>
      <c r="C1619" s="4">
        <v>2</v>
      </c>
      <c r="D1619" s="8">
        <v>0.9</v>
      </c>
      <c r="E1619" s="4">
        <v>1</v>
      </c>
      <c r="F1619" s="8">
        <v>0.68</v>
      </c>
      <c r="G1619" s="4">
        <v>1</v>
      </c>
      <c r="H1619" s="8">
        <v>1.45</v>
      </c>
      <c r="I1619" s="4">
        <v>0</v>
      </c>
    </row>
    <row r="1620" spans="1:9" x14ac:dyDescent="0.2">
      <c r="A1620" s="2">
        <v>12</v>
      </c>
      <c r="B1620" s="1" t="s">
        <v>113</v>
      </c>
      <c r="C1620" s="4">
        <v>2</v>
      </c>
      <c r="D1620" s="8">
        <v>0.9</v>
      </c>
      <c r="E1620" s="4">
        <v>0</v>
      </c>
      <c r="F1620" s="8">
        <v>0</v>
      </c>
      <c r="G1620" s="4">
        <v>2</v>
      </c>
      <c r="H1620" s="8">
        <v>2.9</v>
      </c>
      <c r="I1620" s="4">
        <v>0</v>
      </c>
    </row>
    <row r="1621" spans="1:9" x14ac:dyDescent="0.2">
      <c r="A1621" s="2">
        <v>12</v>
      </c>
      <c r="B1621" s="1" t="s">
        <v>131</v>
      </c>
      <c r="C1621" s="4">
        <v>2</v>
      </c>
      <c r="D1621" s="8">
        <v>0.9</v>
      </c>
      <c r="E1621" s="4">
        <v>1</v>
      </c>
      <c r="F1621" s="8">
        <v>0.68</v>
      </c>
      <c r="G1621" s="4">
        <v>1</v>
      </c>
      <c r="H1621" s="8">
        <v>1.45</v>
      </c>
      <c r="I1621" s="4">
        <v>0</v>
      </c>
    </row>
    <row r="1622" spans="1:9" x14ac:dyDescent="0.2">
      <c r="A1622" s="2">
        <v>12</v>
      </c>
      <c r="B1622" s="1" t="s">
        <v>118</v>
      </c>
      <c r="C1622" s="4">
        <v>2</v>
      </c>
      <c r="D1622" s="8">
        <v>0.9</v>
      </c>
      <c r="E1622" s="4">
        <v>2</v>
      </c>
      <c r="F1622" s="8">
        <v>1.36</v>
      </c>
      <c r="G1622" s="4">
        <v>0</v>
      </c>
      <c r="H1622" s="8">
        <v>0</v>
      </c>
      <c r="I1622" s="4">
        <v>0</v>
      </c>
    </row>
    <row r="1623" spans="1:9" x14ac:dyDescent="0.2">
      <c r="A1623" s="2">
        <v>12</v>
      </c>
      <c r="B1623" s="1" t="s">
        <v>163</v>
      </c>
      <c r="C1623" s="4">
        <v>2</v>
      </c>
      <c r="D1623" s="8">
        <v>0.9</v>
      </c>
      <c r="E1623" s="4">
        <v>0</v>
      </c>
      <c r="F1623" s="8">
        <v>0</v>
      </c>
      <c r="G1623" s="4">
        <v>1</v>
      </c>
      <c r="H1623" s="8">
        <v>1.45</v>
      </c>
      <c r="I1623" s="4">
        <v>0</v>
      </c>
    </row>
    <row r="1624" spans="1:9" x14ac:dyDescent="0.2">
      <c r="A1624" s="2">
        <v>19</v>
      </c>
      <c r="B1624" s="1" t="s">
        <v>149</v>
      </c>
      <c r="C1624" s="4">
        <v>1</v>
      </c>
      <c r="D1624" s="8">
        <v>0.45</v>
      </c>
      <c r="E1624" s="4">
        <v>1</v>
      </c>
      <c r="F1624" s="8">
        <v>0.68</v>
      </c>
      <c r="G1624" s="4">
        <v>0</v>
      </c>
      <c r="H1624" s="8">
        <v>0</v>
      </c>
      <c r="I1624" s="4">
        <v>0</v>
      </c>
    </row>
    <row r="1625" spans="1:9" x14ac:dyDescent="0.2">
      <c r="A1625" s="2">
        <v>19</v>
      </c>
      <c r="B1625" s="1" t="s">
        <v>137</v>
      </c>
      <c r="C1625" s="4">
        <v>1</v>
      </c>
      <c r="D1625" s="8">
        <v>0.45</v>
      </c>
      <c r="E1625" s="4">
        <v>0</v>
      </c>
      <c r="F1625" s="8">
        <v>0</v>
      </c>
      <c r="G1625" s="4">
        <v>1</v>
      </c>
      <c r="H1625" s="8">
        <v>1.45</v>
      </c>
      <c r="I1625" s="4">
        <v>0</v>
      </c>
    </row>
    <row r="1626" spans="1:9" x14ac:dyDescent="0.2">
      <c r="A1626" s="2">
        <v>19</v>
      </c>
      <c r="B1626" s="1" t="s">
        <v>151</v>
      </c>
      <c r="C1626" s="4">
        <v>1</v>
      </c>
      <c r="D1626" s="8">
        <v>0.45</v>
      </c>
      <c r="E1626" s="4">
        <v>1</v>
      </c>
      <c r="F1626" s="8">
        <v>0.68</v>
      </c>
      <c r="G1626" s="4">
        <v>0</v>
      </c>
      <c r="H1626" s="8">
        <v>0</v>
      </c>
      <c r="I1626" s="4">
        <v>0</v>
      </c>
    </row>
    <row r="1627" spans="1:9" x14ac:dyDescent="0.2">
      <c r="A1627" s="2">
        <v>19</v>
      </c>
      <c r="B1627" s="1" t="s">
        <v>144</v>
      </c>
      <c r="C1627" s="4">
        <v>1</v>
      </c>
      <c r="D1627" s="8">
        <v>0.45</v>
      </c>
      <c r="E1627" s="4">
        <v>0</v>
      </c>
      <c r="F1627" s="8">
        <v>0</v>
      </c>
      <c r="G1627" s="4">
        <v>1</v>
      </c>
      <c r="H1627" s="8">
        <v>1.45</v>
      </c>
      <c r="I1627" s="4">
        <v>0</v>
      </c>
    </row>
    <row r="1628" spans="1:9" x14ac:dyDescent="0.2">
      <c r="A1628" s="2">
        <v>19</v>
      </c>
      <c r="B1628" s="1" t="s">
        <v>139</v>
      </c>
      <c r="C1628" s="4">
        <v>1</v>
      </c>
      <c r="D1628" s="8">
        <v>0.45</v>
      </c>
      <c r="E1628" s="4">
        <v>0</v>
      </c>
      <c r="F1628" s="8">
        <v>0</v>
      </c>
      <c r="G1628" s="4">
        <v>0</v>
      </c>
      <c r="H1628" s="8">
        <v>0</v>
      </c>
      <c r="I1628" s="4">
        <v>0</v>
      </c>
    </row>
    <row r="1629" spans="1:9" x14ac:dyDescent="0.2">
      <c r="A1629" s="2">
        <v>19</v>
      </c>
      <c r="B1629" s="1" t="s">
        <v>170</v>
      </c>
      <c r="C1629" s="4">
        <v>1</v>
      </c>
      <c r="D1629" s="8">
        <v>0.45</v>
      </c>
      <c r="E1629" s="4">
        <v>0</v>
      </c>
      <c r="F1629" s="8">
        <v>0</v>
      </c>
      <c r="G1629" s="4">
        <v>1</v>
      </c>
      <c r="H1629" s="8">
        <v>1.45</v>
      </c>
      <c r="I1629" s="4">
        <v>0</v>
      </c>
    </row>
    <row r="1630" spans="1:9" x14ac:dyDescent="0.2">
      <c r="A1630" s="2">
        <v>19</v>
      </c>
      <c r="B1630" s="1" t="s">
        <v>140</v>
      </c>
      <c r="C1630" s="4">
        <v>1</v>
      </c>
      <c r="D1630" s="8">
        <v>0.45</v>
      </c>
      <c r="E1630" s="4">
        <v>1</v>
      </c>
      <c r="F1630" s="8">
        <v>0.68</v>
      </c>
      <c r="G1630" s="4">
        <v>0</v>
      </c>
      <c r="H1630" s="8">
        <v>0</v>
      </c>
      <c r="I1630" s="4">
        <v>0</v>
      </c>
    </row>
    <row r="1631" spans="1:9" x14ac:dyDescent="0.2">
      <c r="A1631" s="2">
        <v>19</v>
      </c>
      <c r="B1631" s="1" t="s">
        <v>145</v>
      </c>
      <c r="C1631" s="4">
        <v>1</v>
      </c>
      <c r="D1631" s="8">
        <v>0.45</v>
      </c>
      <c r="E1631" s="4">
        <v>1</v>
      </c>
      <c r="F1631" s="8">
        <v>0.68</v>
      </c>
      <c r="G1631" s="4">
        <v>0</v>
      </c>
      <c r="H1631" s="8">
        <v>0</v>
      </c>
      <c r="I1631" s="4">
        <v>0</v>
      </c>
    </row>
    <row r="1632" spans="1:9" x14ac:dyDescent="0.2">
      <c r="A1632" s="2">
        <v>19</v>
      </c>
      <c r="B1632" s="1" t="s">
        <v>121</v>
      </c>
      <c r="C1632" s="4">
        <v>1</v>
      </c>
      <c r="D1632" s="8">
        <v>0.45</v>
      </c>
      <c r="E1632" s="4">
        <v>0</v>
      </c>
      <c r="F1632" s="8">
        <v>0</v>
      </c>
      <c r="G1632" s="4">
        <v>1</v>
      </c>
      <c r="H1632" s="8">
        <v>1.45</v>
      </c>
      <c r="I1632" s="4">
        <v>0</v>
      </c>
    </row>
    <row r="1633" spans="1:9" x14ac:dyDescent="0.2">
      <c r="A1633" s="2">
        <v>19</v>
      </c>
      <c r="B1633" s="1" t="s">
        <v>134</v>
      </c>
      <c r="C1633" s="4">
        <v>1</v>
      </c>
      <c r="D1633" s="8">
        <v>0.45</v>
      </c>
      <c r="E1633" s="4">
        <v>0</v>
      </c>
      <c r="F1633" s="8">
        <v>0</v>
      </c>
      <c r="G1633" s="4">
        <v>1</v>
      </c>
      <c r="H1633" s="8">
        <v>1.45</v>
      </c>
      <c r="I1633" s="4">
        <v>0</v>
      </c>
    </row>
    <row r="1634" spans="1:9" x14ac:dyDescent="0.2">
      <c r="A1634" s="2">
        <v>19</v>
      </c>
      <c r="B1634" s="1" t="s">
        <v>129</v>
      </c>
      <c r="C1634" s="4">
        <v>1</v>
      </c>
      <c r="D1634" s="8">
        <v>0.45</v>
      </c>
      <c r="E1634" s="4">
        <v>1</v>
      </c>
      <c r="F1634" s="8">
        <v>0.68</v>
      </c>
      <c r="G1634" s="4">
        <v>0</v>
      </c>
      <c r="H1634" s="8">
        <v>0</v>
      </c>
      <c r="I1634" s="4">
        <v>0</v>
      </c>
    </row>
    <row r="1635" spans="1:9" x14ac:dyDescent="0.2">
      <c r="A1635" s="2">
        <v>19</v>
      </c>
      <c r="B1635" s="1" t="s">
        <v>132</v>
      </c>
      <c r="C1635" s="4">
        <v>1</v>
      </c>
      <c r="D1635" s="8">
        <v>0.45</v>
      </c>
      <c r="E1635" s="4">
        <v>0</v>
      </c>
      <c r="F1635" s="8">
        <v>0</v>
      </c>
      <c r="G1635" s="4">
        <v>1</v>
      </c>
      <c r="H1635" s="8">
        <v>1.45</v>
      </c>
      <c r="I1635" s="4">
        <v>0</v>
      </c>
    </row>
    <row r="1636" spans="1:9" x14ac:dyDescent="0.2">
      <c r="A1636" s="2">
        <v>19</v>
      </c>
      <c r="B1636" s="1" t="s">
        <v>120</v>
      </c>
      <c r="C1636" s="4">
        <v>1</v>
      </c>
      <c r="D1636" s="8">
        <v>0.45</v>
      </c>
      <c r="E1636" s="4">
        <v>1</v>
      </c>
      <c r="F1636" s="8">
        <v>0.68</v>
      </c>
      <c r="G1636" s="4">
        <v>0</v>
      </c>
      <c r="H1636" s="8">
        <v>0</v>
      </c>
      <c r="I1636" s="4">
        <v>0</v>
      </c>
    </row>
    <row r="1637" spans="1:9" x14ac:dyDescent="0.2">
      <c r="A1637" s="2">
        <v>19</v>
      </c>
      <c r="B1637" s="1" t="s">
        <v>124</v>
      </c>
      <c r="C1637" s="4">
        <v>1</v>
      </c>
      <c r="D1637" s="8">
        <v>0.45</v>
      </c>
      <c r="E1637" s="4">
        <v>1</v>
      </c>
      <c r="F1637" s="8">
        <v>0.68</v>
      </c>
      <c r="G1637" s="4">
        <v>0</v>
      </c>
      <c r="H1637" s="8">
        <v>0</v>
      </c>
      <c r="I1637" s="4">
        <v>0</v>
      </c>
    </row>
    <row r="1638" spans="1:9" x14ac:dyDescent="0.2">
      <c r="A1638" s="1"/>
      <c r="C1638" s="4"/>
      <c r="D1638" s="8"/>
      <c r="E1638" s="4"/>
      <c r="F1638" s="8"/>
      <c r="G1638" s="4"/>
      <c r="H1638" s="8"/>
      <c r="I1638" s="4"/>
    </row>
    <row r="1639" spans="1:9" x14ac:dyDescent="0.2">
      <c r="A1639" s="1" t="s">
        <v>68</v>
      </c>
      <c r="C1639" s="4"/>
      <c r="D1639" s="8"/>
      <c r="E1639" s="4"/>
      <c r="F1639" s="8"/>
      <c r="G1639" s="4"/>
      <c r="H1639" s="8"/>
      <c r="I1639" s="4"/>
    </row>
    <row r="1640" spans="1:9" x14ac:dyDescent="0.2">
      <c r="A1640" s="2">
        <v>1</v>
      </c>
      <c r="B1640" s="1" t="s">
        <v>105</v>
      </c>
      <c r="C1640" s="4">
        <v>53</v>
      </c>
      <c r="D1640" s="8">
        <v>13.02</v>
      </c>
      <c r="E1640" s="4">
        <v>22</v>
      </c>
      <c r="F1640" s="8">
        <v>10.14</v>
      </c>
      <c r="G1640" s="4">
        <v>31</v>
      </c>
      <c r="H1640" s="8">
        <v>16.760000000000002</v>
      </c>
      <c r="I1640" s="4">
        <v>0</v>
      </c>
    </row>
    <row r="1641" spans="1:9" x14ac:dyDescent="0.2">
      <c r="A1641" s="2">
        <v>2</v>
      </c>
      <c r="B1641" s="1" t="s">
        <v>116</v>
      </c>
      <c r="C1641" s="4">
        <v>32</v>
      </c>
      <c r="D1641" s="8">
        <v>7.86</v>
      </c>
      <c r="E1641" s="4">
        <v>27</v>
      </c>
      <c r="F1641" s="8">
        <v>12.44</v>
      </c>
      <c r="G1641" s="4">
        <v>5</v>
      </c>
      <c r="H1641" s="8">
        <v>2.7</v>
      </c>
      <c r="I1641" s="4">
        <v>0</v>
      </c>
    </row>
    <row r="1642" spans="1:9" x14ac:dyDescent="0.2">
      <c r="A1642" s="2">
        <v>3</v>
      </c>
      <c r="B1642" s="1" t="s">
        <v>102</v>
      </c>
      <c r="C1642" s="4">
        <v>29</v>
      </c>
      <c r="D1642" s="8">
        <v>7.13</v>
      </c>
      <c r="E1642" s="4">
        <v>21</v>
      </c>
      <c r="F1642" s="8">
        <v>9.68</v>
      </c>
      <c r="G1642" s="4">
        <v>8</v>
      </c>
      <c r="H1642" s="8">
        <v>4.32</v>
      </c>
      <c r="I1642" s="4">
        <v>0</v>
      </c>
    </row>
    <row r="1643" spans="1:9" x14ac:dyDescent="0.2">
      <c r="A1643" s="2">
        <v>3</v>
      </c>
      <c r="B1643" s="1" t="s">
        <v>115</v>
      </c>
      <c r="C1643" s="4">
        <v>29</v>
      </c>
      <c r="D1643" s="8">
        <v>7.13</v>
      </c>
      <c r="E1643" s="4">
        <v>25</v>
      </c>
      <c r="F1643" s="8">
        <v>11.52</v>
      </c>
      <c r="G1643" s="4">
        <v>4</v>
      </c>
      <c r="H1643" s="8">
        <v>2.16</v>
      </c>
      <c r="I1643" s="4">
        <v>0</v>
      </c>
    </row>
    <row r="1644" spans="1:9" x14ac:dyDescent="0.2">
      <c r="A1644" s="2">
        <v>5</v>
      </c>
      <c r="B1644" s="1" t="s">
        <v>101</v>
      </c>
      <c r="C1644" s="4">
        <v>21</v>
      </c>
      <c r="D1644" s="8">
        <v>5.16</v>
      </c>
      <c r="E1644" s="4">
        <v>6</v>
      </c>
      <c r="F1644" s="8">
        <v>2.76</v>
      </c>
      <c r="G1644" s="4">
        <v>15</v>
      </c>
      <c r="H1644" s="8">
        <v>8.11</v>
      </c>
      <c r="I1644" s="4">
        <v>0</v>
      </c>
    </row>
    <row r="1645" spans="1:9" x14ac:dyDescent="0.2">
      <c r="A1645" s="2">
        <v>6</v>
      </c>
      <c r="B1645" s="1" t="s">
        <v>110</v>
      </c>
      <c r="C1645" s="4">
        <v>20</v>
      </c>
      <c r="D1645" s="8">
        <v>4.91</v>
      </c>
      <c r="E1645" s="4">
        <v>9</v>
      </c>
      <c r="F1645" s="8">
        <v>4.1500000000000004</v>
      </c>
      <c r="G1645" s="4">
        <v>11</v>
      </c>
      <c r="H1645" s="8">
        <v>5.95</v>
      </c>
      <c r="I1645" s="4">
        <v>0</v>
      </c>
    </row>
    <row r="1646" spans="1:9" x14ac:dyDescent="0.2">
      <c r="A1646" s="2">
        <v>7</v>
      </c>
      <c r="B1646" s="1" t="s">
        <v>104</v>
      </c>
      <c r="C1646" s="4">
        <v>18</v>
      </c>
      <c r="D1646" s="8">
        <v>4.42</v>
      </c>
      <c r="E1646" s="4">
        <v>6</v>
      </c>
      <c r="F1646" s="8">
        <v>2.76</v>
      </c>
      <c r="G1646" s="4">
        <v>12</v>
      </c>
      <c r="H1646" s="8">
        <v>6.49</v>
      </c>
      <c r="I1646" s="4">
        <v>0</v>
      </c>
    </row>
    <row r="1647" spans="1:9" x14ac:dyDescent="0.2">
      <c r="A1647" s="2">
        <v>8</v>
      </c>
      <c r="B1647" s="1" t="s">
        <v>103</v>
      </c>
      <c r="C1647" s="4">
        <v>16</v>
      </c>
      <c r="D1647" s="8">
        <v>3.93</v>
      </c>
      <c r="E1647" s="4">
        <v>4</v>
      </c>
      <c r="F1647" s="8">
        <v>1.84</v>
      </c>
      <c r="G1647" s="4">
        <v>12</v>
      </c>
      <c r="H1647" s="8">
        <v>6.49</v>
      </c>
      <c r="I1647" s="4">
        <v>0</v>
      </c>
    </row>
    <row r="1648" spans="1:9" x14ac:dyDescent="0.2">
      <c r="A1648" s="2">
        <v>9</v>
      </c>
      <c r="B1648" s="1" t="s">
        <v>156</v>
      </c>
      <c r="C1648" s="4">
        <v>14</v>
      </c>
      <c r="D1648" s="8">
        <v>3.44</v>
      </c>
      <c r="E1648" s="4">
        <v>5</v>
      </c>
      <c r="F1648" s="8">
        <v>2.2999999999999998</v>
      </c>
      <c r="G1648" s="4">
        <v>9</v>
      </c>
      <c r="H1648" s="8">
        <v>4.8600000000000003</v>
      </c>
      <c r="I1648" s="4">
        <v>0</v>
      </c>
    </row>
    <row r="1649" spans="1:9" x14ac:dyDescent="0.2">
      <c r="A1649" s="2">
        <v>10</v>
      </c>
      <c r="B1649" s="1" t="s">
        <v>117</v>
      </c>
      <c r="C1649" s="4">
        <v>12</v>
      </c>
      <c r="D1649" s="8">
        <v>2.95</v>
      </c>
      <c r="E1649" s="4">
        <v>10</v>
      </c>
      <c r="F1649" s="8">
        <v>4.6100000000000003</v>
      </c>
      <c r="G1649" s="4">
        <v>1</v>
      </c>
      <c r="H1649" s="8">
        <v>0.54</v>
      </c>
      <c r="I1649" s="4">
        <v>0</v>
      </c>
    </row>
    <row r="1650" spans="1:9" x14ac:dyDescent="0.2">
      <c r="A1650" s="2">
        <v>11</v>
      </c>
      <c r="B1650" s="1" t="s">
        <v>109</v>
      </c>
      <c r="C1650" s="4">
        <v>11</v>
      </c>
      <c r="D1650" s="8">
        <v>2.7</v>
      </c>
      <c r="E1650" s="4">
        <v>5</v>
      </c>
      <c r="F1650" s="8">
        <v>2.2999999999999998</v>
      </c>
      <c r="G1650" s="4">
        <v>6</v>
      </c>
      <c r="H1650" s="8">
        <v>3.24</v>
      </c>
      <c r="I1650" s="4">
        <v>0</v>
      </c>
    </row>
    <row r="1651" spans="1:9" x14ac:dyDescent="0.2">
      <c r="A1651" s="2">
        <v>11</v>
      </c>
      <c r="B1651" s="1" t="s">
        <v>118</v>
      </c>
      <c r="C1651" s="4">
        <v>11</v>
      </c>
      <c r="D1651" s="8">
        <v>2.7</v>
      </c>
      <c r="E1651" s="4">
        <v>11</v>
      </c>
      <c r="F1651" s="8">
        <v>5.07</v>
      </c>
      <c r="G1651" s="4">
        <v>0</v>
      </c>
      <c r="H1651" s="8">
        <v>0</v>
      </c>
      <c r="I1651" s="4">
        <v>0</v>
      </c>
    </row>
    <row r="1652" spans="1:9" x14ac:dyDescent="0.2">
      <c r="A1652" s="2">
        <v>13</v>
      </c>
      <c r="B1652" s="1" t="s">
        <v>126</v>
      </c>
      <c r="C1652" s="4">
        <v>10</v>
      </c>
      <c r="D1652" s="8">
        <v>2.46</v>
      </c>
      <c r="E1652" s="4">
        <v>4</v>
      </c>
      <c r="F1652" s="8">
        <v>1.84</v>
      </c>
      <c r="G1652" s="4">
        <v>6</v>
      </c>
      <c r="H1652" s="8">
        <v>3.24</v>
      </c>
      <c r="I1652" s="4">
        <v>0</v>
      </c>
    </row>
    <row r="1653" spans="1:9" x14ac:dyDescent="0.2">
      <c r="A1653" s="2">
        <v>13</v>
      </c>
      <c r="B1653" s="1" t="s">
        <v>108</v>
      </c>
      <c r="C1653" s="4">
        <v>10</v>
      </c>
      <c r="D1653" s="8">
        <v>2.46</v>
      </c>
      <c r="E1653" s="4">
        <v>8</v>
      </c>
      <c r="F1653" s="8">
        <v>3.69</v>
      </c>
      <c r="G1653" s="4">
        <v>2</v>
      </c>
      <c r="H1653" s="8">
        <v>1.08</v>
      </c>
      <c r="I1653" s="4">
        <v>0</v>
      </c>
    </row>
    <row r="1654" spans="1:9" x14ac:dyDescent="0.2">
      <c r="A1654" s="2">
        <v>13</v>
      </c>
      <c r="B1654" s="1" t="s">
        <v>111</v>
      </c>
      <c r="C1654" s="4">
        <v>10</v>
      </c>
      <c r="D1654" s="8">
        <v>2.46</v>
      </c>
      <c r="E1654" s="4">
        <v>6</v>
      </c>
      <c r="F1654" s="8">
        <v>2.76</v>
      </c>
      <c r="G1654" s="4">
        <v>4</v>
      </c>
      <c r="H1654" s="8">
        <v>2.16</v>
      </c>
      <c r="I1654" s="4">
        <v>0</v>
      </c>
    </row>
    <row r="1655" spans="1:9" x14ac:dyDescent="0.2">
      <c r="A1655" s="2">
        <v>16</v>
      </c>
      <c r="B1655" s="1" t="s">
        <v>107</v>
      </c>
      <c r="C1655" s="4">
        <v>9</v>
      </c>
      <c r="D1655" s="8">
        <v>2.21</v>
      </c>
      <c r="E1655" s="4">
        <v>6</v>
      </c>
      <c r="F1655" s="8">
        <v>2.76</v>
      </c>
      <c r="G1655" s="4">
        <v>3</v>
      </c>
      <c r="H1655" s="8">
        <v>1.62</v>
      </c>
      <c r="I1655" s="4">
        <v>0</v>
      </c>
    </row>
    <row r="1656" spans="1:9" x14ac:dyDescent="0.2">
      <c r="A1656" s="2">
        <v>16</v>
      </c>
      <c r="B1656" s="1" t="s">
        <v>112</v>
      </c>
      <c r="C1656" s="4">
        <v>9</v>
      </c>
      <c r="D1656" s="8">
        <v>2.21</v>
      </c>
      <c r="E1656" s="4">
        <v>7</v>
      </c>
      <c r="F1656" s="8">
        <v>3.23</v>
      </c>
      <c r="G1656" s="4">
        <v>2</v>
      </c>
      <c r="H1656" s="8">
        <v>1.08</v>
      </c>
      <c r="I1656" s="4">
        <v>0</v>
      </c>
    </row>
    <row r="1657" spans="1:9" x14ac:dyDescent="0.2">
      <c r="A1657" s="2">
        <v>16</v>
      </c>
      <c r="B1657" s="1" t="s">
        <v>113</v>
      </c>
      <c r="C1657" s="4">
        <v>9</v>
      </c>
      <c r="D1657" s="8">
        <v>2.21</v>
      </c>
      <c r="E1657" s="4">
        <v>5</v>
      </c>
      <c r="F1657" s="8">
        <v>2.2999999999999998</v>
      </c>
      <c r="G1657" s="4">
        <v>4</v>
      </c>
      <c r="H1657" s="8">
        <v>2.16</v>
      </c>
      <c r="I1657" s="4">
        <v>0</v>
      </c>
    </row>
    <row r="1658" spans="1:9" x14ac:dyDescent="0.2">
      <c r="A1658" s="2">
        <v>19</v>
      </c>
      <c r="B1658" s="1" t="s">
        <v>152</v>
      </c>
      <c r="C1658" s="4">
        <v>7</v>
      </c>
      <c r="D1658" s="8">
        <v>1.72</v>
      </c>
      <c r="E1658" s="4">
        <v>1</v>
      </c>
      <c r="F1658" s="8">
        <v>0.46</v>
      </c>
      <c r="G1658" s="4">
        <v>6</v>
      </c>
      <c r="H1658" s="8">
        <v>3.24</v>
      </c>
      <c r="I1658" s="4">
        <v>0</v>
      </c>
    </row>
    <row r="1659" spans="1:9" x14ac:dyDescent="0.2">
      <c r="A1659" s="2">
        <v>20</v>
      </c>
      <c r="B1659" s="1" t="s">
        <v>136</v>
      </c>
      <c r="C1659" s="4">
        <v>6</v>
      </c>
      <c r="D1659" s="8">
        <v>1.47</v>
      </c>
      <c r="E1659" s="4">
        <v>4</v>
      </c>
      <c r="F1659" s="8">
        <v>1.84</v>
      </c>
      <c r="G1659" s="4">
        <v>2</v>
      </c>
      <c r="H1659" s="8">
        <v>1.08</v>
      </c>
      <c r="I1659" s="4">
        <v>0</v>
      </c>
    </row>
    <row r="1660" spans="1:9" x14ac:dyDescent="0.2">
      <c r="A1660" s="2">
        <v>20</v>
      </c>
      <c r="B1660" s="1" t="s">
        <v>129</v>
      </c>
      <c r="C1660" s="4">
        <v>6</v>
      </c>
      <c r="D1660" s="8">
        <v>1.47</v>
      </c>
      <c r="E1660" s="4">
        <v>3</v>
      </c>
      <c r="F1660" s="8">
        <v>1.38</v>
      </c>
      <c r="G1660" s="4">
        <v>2</v>
      </c>
      <c r="H1660" s="8">
        <v>1.08</v>
      </c>
      <c r="I1660" s="4">
        <v>0</v>
      </c>
    </row>
    <row r="1661" spans="1:9" x14ac:dyDescent="0.2">
      <c r="A1661" s="1"/>
      <c r="C1661" s="4"/>
      <c r="D1661" s="8"/>
      <c r="E1661" s="4"/>
      <c r="F1661" s="8"/>
      <c r="G1661" s="4"/>
      <c r="H1661" s="8"/>
      <c r="I1661" s="4"/>
    </row>
    <row r="1662" spans="1:9" x14ac:dyDescent="0.2">
      <c r="A1662" s="1" t="s">
        <v>69</v>
      </c>
      <c r="C1662" s="4"/>
      <c r="D1662" s="8"/>
      <c r="E1662" s="4"/>
      <c r="F1662" s="8"/>
      <c r="G1662" s="4"/>
      <c r="H1662" s="8"/>
      <c r="I1662" s="4"/>
    </row>
    <row r="1663" spans="1:9" x14ac:dyDescent="0.2">
      <c r="A1663" s="2">
        <v>1</v>
      </c>
      <c r="B1663" s="1" t="s">
        <v>115</v>
      </c>
      <c r="C1663" s="4">
        <v>33</v>
      </c>
      <c r="D1663" s="8">
        <v>10.68</v>
      </c>
      <c r="E1663" s="4">
        <v>30</v>
      </c>
      <c r="F1663" s="8">
        <v>16.04</v>
      </c>
      <c r="G1663" s="4">
        <v>3</v>
      </c>
      <c r="H1663" s="8">
        <v>2.59</v>
      </c>
      <c r="I1663" s="4">
        <v>0</v>
      </c>
    </row>
    <row r="1664" spans="1:9" x14ac:dyDescent="0.2">
      <c r="A1664" s="2">
        <v>2</v>
      </c>
      <c r="B1664" s="1" t="s">
        <v>101</v>
      </c>
      <c r="C1664" s="4">
        <v>29</v>
      </c>
      <c r="D1664" s="8">
        <v>9.39</v>
      </c>
      <c r="E1664" s="4">
        <v>17</v>
      </c>
      <c r="F1664" s="8">
        <v>9.09</v>
      </c>
      <c r="G1664" s="4">
        <v>12</v>
      </c>
      <c r="H1664" s="8">
        <v>10.34</v>
      </c>
      <c r="I1664" s="4">
        <v>0</v>
      </c>
    </row>
    <row r="1665" spans="1:9" x14ac:dyDescent="0.2">
      <c r="A1665" s="2">
        <v>3</v>
      </c>
      <c r="B1665" s="1" t="s">
        <v>116</v>
      </c>
      <c r="C1665" s="4">
        <v>28</v>
      </c>
      <c r="D1665" s="8">
        <v>9.06</v>
      </c>
      <c r="E1665" s="4">
        <v>24</v>
      </c>
      <c r="F1665" s="8">
        <v>12.83</v>
      </c>
      <c r="G1665" s="4">
        <v>4</v>
      </c>
      <c r="H1665" s="8">
        <v>3.45</v>
      </c>
      <c r="I1665" s="4">
        <v>0</v>
      </c>
    </row>
    <row r="1666" spans="1:9" x14ac:dyDescent="0.2">
      <c r="A1666" s="2">
        <v>4</v>
      </c>
      <c r="B1666" s="1" t="s">
        <v>108</v>
      </c>
      <c r="C1666" s="4">
        <v>25</v>
      </c>
      <c r="D1666" s="8">
        <v>8.09</v>
      </c>
      <c r="E1666" s="4">
        <v>12</v>
      </c>
      <c r="F1666" s="8">
        <v>6.42</v>
      </c>
      <c r="G1666" s="4">
        <v>13</v>
      </c>
      <c r="H1666" s="8">
        <v>11.21</v>
      </c>
      <c r="I1666" s="4">
        <v>0</v>
      </c>
    </row>
    <row r="1667" spans="1:9" x14ac:dyDescent="0.2">
      <c r="A1667" s="2">
        <v>5</v>
      </c>
      <c r="B1667" s="1" t="s">
        <v>110</v>
      </c>
      <c r="C1667" s="4">
        <v>19</v>
      </c>
      <c r="D1667" s="8">
        <v>6.15</v>
      </c>
      <c r="E1667" s="4">
        <v>11</v>
      </c>
      <c r="F1667" s="8">
        <v>5.88</v>
      </c>
      <c r="G1667" s="4">
        <v>8</v>
      </c>
      <c r="H1667" s="8">
        <v>6.9</v>
      </c>
      <c r="I1667" s="4">
        <v>0</v>
      </c>
    </row>
    <row r="1668" spans="1:9" x14ac:dyDescent="0.2">
      <c r="A1668" s="2">
        <v>6</v>
      </c>
      <c r="B1668" s="1" t="s">
        <v>102</v>
      </c>
      <c r="C1668" s="4">
        <v>18</v>
      </c>
      <c r="D1668" s="8">
        <v>5.83</v>
      </c>
      <c r="E1668" s="4">
        <v>16</v>
      </c>
      <c r="F1668" s="8">
        <v>8.56</v>
      </c>
      <c r="G1668" s="4">
        <v>2</v>
      </c>
      <c r="H1668" s="8">
        <v>1.72</v>
      </c>
      <c r="I1668" s="4">
        <v>0</v>
      </c>
    </row>
    <row r="1669" spans="1:9" x14ac:dyDescent="0.2">
      <c r="A1669" s="2">
        <v>7</v>
      </c>
      <c r="B1669" s="1" t="s">
        <v>109</v>
      </c>
      <c r="C1669" s="4">
        <v>14</v>
      </c>
      <c r="D1669" s="8">
        <v>4.53</v>
      </c>
      <c r="E1669" s="4">
        <v>9</v>
      </c>
      <c r="F1669" s="8">
        <v>4.8099999999999996</v>
      </c>
      <c r="G1669" s="4">
        <v>5</v>
      </c>
      <c r="H1669" s="8">
        <v>4.3099999999999996</v>
      </c>
      <c r="I1669" s="4">
        <v>0</v>
      </c>
    </row>
    <row r="1670" spans="1:9" x14ac:dyDescent="0.2">
      <c r="A1670" s="2">
        <v>8</v>
      </c>
      <c r="B1670" s="1" t="s">
        <v>118</v>
      </c>
      <c r="C1670" s="4">
        <v>11</v>
      </c>
      <c r="D1670" s="8">
        <v>3.56</v>
      </c>
      <c r="E1670" s="4">
        <v>10</v>
      </c>
      <c r="F1670" s="8">
        <v>5.35</v>
      </c>
      <c r="G1670" s="4">
        <v>1</v>
      </c>
      <c r="H1670" s="8">
        <v>0.86</v>
      </c>
      <c r="I1670" s="4">
        <v>0</v>
      </c>
    </row>
    <row r="1671" spans="1:9" x14ac:dyDescent="0.2">
      <c r="A1671" s="2">
        <v>9</v>
      </c>
      <c r="B1671" s="1" t="s">
        <v>103</v>
      </c>
      <c r="C1671" s="4">
        <v>9</v>
      </c>
      <c r="D1671" s="8">
        <v>2.91</v>
      </c>
      <c r="E1671" s="4">
        <v>5</v>
      </c>
      <c r="F1671" s="8">
        <v>2.67</v>
      </c>
      <c r="G1671" s="4">
        <v>4</v>
      </c>
      <c r="H1671" s="8">
        <v>3.45</v>
      </c>
      <c r="I1671" s="4">
        <v>0</v>
      </c>
    </row>
    <row r="1672" spans="1:9" x14ac:dyDescent="0.2">
      <c r="A1672" s="2">
        <v>9</v>
      </c>
      <c r="B1672" s="1" t="s">
        <v>127</v>
      </c>
      <c r="C1672" s="4">
        <v>9</v>
      </c>
      <c r="D1672" s="8">
        <v>2.91</v>
      </c>
      <c r="E1672" s="4">
        <v>2</v>
      </c>
      <c r="F1672" s="8">
        <v>1.07</v>
      </c>
      <c r="G1672" s="4">
        <v>7</v>
      </c>
      <c r="H1672" s="8">
        <v>6.03</v>
      </c>
      <c r="I1672" s="4">
        <v>0</v>
      </c>
    </row>
    <row r="1673" spans="1:9" x14ac:dyDescent="0.2">
      <c r="A1673" s="2">
        <v>9</v>
      </c>
      <c r="B1673" s="1" t="s">
        <v>107</v>
      </c>
      <c r="C1673" s="4">
        <v>9</v>
      </c>
      <c r="D1673" s="8">
        <v>2.91</v>
      </c>
      <c r="E1673" s="4">
        <v>7</v>
      </c>
      <c r="F1673" s="8">
        <v>3.74</v>
      </c>
      <c r="G1673" s="4">
        <v>2</v>
      </c>
      <c r="H1673" s="8">
        <v>1.72</v>
      </c>
      <c r="I1673" s="4">
        <v>0</v>
      </c>
    </row>
    <row r="1674" spans="1:9" x14ac:dyDescent="0.2">
      <c r="A1674" s="2">
        <v>9</v>
      </c>
      <c r="B1674" s="1" t="s">
        <v>111</v>
      </c>
      <c r="C1674" s="4">
        <v>9</v>
      </c>
      <c r="D1674" s="8">
        <v>2.91</v>
      </c>
      <c r="E1674" s="4">
        <v>5</v>
      </c>
      <c r="F1674" s="8">
        <v>2.67</v>
      </c>
      <c r="G1674" s="4">
        <v>4</v>
      </c>
      <c r="H1674" s="8">
        <v>3.45</v>
      </c>
      <c r="I1674" s="4">
        <v>0</v>
      </c>
    </row>
    <row r="1675" spans="1:9" x14ac:dyDescent="0.2">
      <c r="A1675" s="2">
        <v>9</v>
      </c>
      <c r="B1675" s="1" t="s">
        <v>117</v>
      </c>
      <c r="C1675" s="4">
        <v>9</v>
      </c>
      <c r="D1675" s="8">
        <v>2.91</v>
      </c>
      <c r="E1675" s="4">
        <v>4</v>
      </c>
      <c r="F1675" s="8">
        <v>2.14</v>
      </c>
      <c r="G1675" s="4">
        <v>2</v>
      </c>
      <c r="H1675" s="8">
        <v>1.72</v>
      </c>
      <c r="I1675" s="4">
        <v>0</v>
      </c>
    </row>
    <row r="1676" spans="1:9" x14ac:dyDescent="0.2">
      <c r="A1676" s="2">
        <v>14</v>
      </c>
      <c r="B1676" s="1" t="s">
        <v>112</v>
      </c>
      <c r="C1676" s="4">
        <v>8</v>
      </c>
      <c r="D1676" s="8">
        <v>2.59</v>
      </c>
      <c r="E1676" s="4">
        <v>6</v>
      </c>
      <c r="F1676" s="8">
        <v>3.21</v>
      </c>
      <c r="G1676" s="4">
        <v>2</v>
      </c>
      <c r="H1676" s="8">
        <v>1.72</v>
      </c>
      <c r="I1676" s="4">
        <v>0</v>
      </c>
    </row>
    <row r="1677" spans="1:9" x14ac:dyDescent="0.2">
      <c r="A1677" s="2">
        <v>15</v>
      </c>
      <c r="B1677" s="1" t="s">
        <v>130</v>
      </c>
      <c r="C1677" s="4">
        <v>7</v>
      </c>
      <c r="D1677" s="8">
        <v>2.27</v>
      </c>
      <c r="E1677" s="4">
        <v>4</v>
      </c>
      <c r="F1677" s="8">
        <v>2.14</v>
      </c>
      <c r="G1677" s="4">
        <v>3</v>
      </c>
      <c r="H1677" s="8">
        <v>2.59</v>
      </c>
      <c r="I1677" s="4">
        <v>0</v>
      </c>
    </row>
    <row r="1678" spans="1:9" x14ac:dyDescent="0.2">
      <c r="A1678" s="2">
        <v>16</v>
      </c>
      <c r="B1678" s="1" t="s">
        <v>155</v>
      </c>
      <c r="C1678" s="4">
        <v>5</v>
      </c>
      <c r="D1678" s="8">
        <v>1.62</v>
      </c>
      <c r="E1678" s="4">
        <v>5</v>
      </c>
      <c r="F1678" s="8">
        <v>2.67</v>
      </c>
      <c r="G1678" s="4">
        <v>0</v>
      </c>
      <c r="H1678" s="8">
        <v>0</v>
      </c>
      <c r="I1678" s="4">
        <v>0</v>
      </c>
    </row>
    <row r="1679" spans="1:9" x14ac:dyDescent="0.2">
      <c r="A1679" s="2">
        <v>16</v>
      </c>
      <c r="B1679" s="1" t="s">
        <v>119</v>
      </c>
      <c r="C1679" s="4">
        <v>5</v>
      </c>
      <c r="D1679" s="8">
        <v>1.62</v>
      </c>
      <c r="E1679" s="4">
        <v>0</v>
      </c>
      <c r="F1679" s="8">
        <v>0</v>
      </c>
      <c r="G1679" s="4">
        <v>4</v>
      </c>
      <c r="H1679" s="8">
        <v>3.45</v>
      </c>
      <c r="I1679" s="4">
        <v>0</v>
      </c>
    </row>
    <row r="1680" spans="1:9" x14ac:dyDescent="0.2">
      <c r="A1680" s="2">
        <v>18</v>
      </c>
      <c r="B1680" s="1" t="s">
        <v>105</v>
      </c>
      <c r="C1680" s="4">
        <v>4</v>
      </c>
      <c r="D1680" s="8">
        <v>1.29</v>
      </c>
      <c r="E1680" s="4">
        <v>1</v>
      </c>
      <c r="F1680" s="8">
        <v>0.53</v>
      </c>
      <c r="G1680" s="4">
        <v>3</v>
      </c>
      <c r="H1680" s="8">
        <v>2.59</v>
      </c>
      <c r="I1680" s="4">
        <v>0</v>
      </c>
    </row>
    <row r="1681" spans="1:9" x14ac:dyDescent="0.2">
      <c r="A1681" s="2">
        <v>18</v>
      </c>
      <c r="B1681" s="1" t="s">
        <v>106</v>
      </c>
      <c r="C1681" s="4">
        <v>4</v>
      </c>
      <c r="D1681" s="8">
        <v>1.29</v>
      </c>
      <c r="E1681" s="4">
        <v>0</v>
      </c>
      <c r="F1681" s="8">
        <v>0</v>
      </c>
      <c r="G1681" s="4">
        <v>4</v>
      </c>
      <c r="H1681" s="8">
        <v>3.45</v>
      </c>
      <c r="I1681" s="4">
        <v>0</v>
      </c>
    </row>
    <row r="1682" spans="1:9" x14ac:dyDescent="0.2">
      <c r="A1682" s="2">
        <v>20</v>
      </c>
      <c r="B1682" s="1" t="s">
        <v>143</v>
      </c>
      <c r="C1682" s="4">
        <v>3</v>
      </c>
      <c r="D1682" s="8">
        <v>0.97</v>
      </c>
      <c r="E1682" s="4">
        <v>1</v>
      </c>
      <c r="F1682" s="8">
        <v>0.53</v>
      </c>
      <c r="G1682" s="4">
        <v>2</v>
      </c>
      <c r="H1682" s="8">
        <v>1.72</v>
      </c>
      <c r="I1682" s="4">
        <v>0</v>
      </c>
    </row>
    <row r="1683" spans="1:9" x14ac:dyDescent="0.2">
      <c r="A1683" s="2">
        <v>20</v>
      </c>
      <c r="B1683" s="1" t="s">
        <v>104</v>
      </c>
      <c r="C1683" s="4">
        <v>3</v>
      </c>
      <c r="D1683" s="8">
        <v>0.97</v>
      </c>
      <c r="E1683" s="4">
        <v>2</v>
      </c>
      <c r="F1683" s="8">
        <v>1.07</v>
      </c>
      <c r="G1683" s="4">
        <v>1</v>
      </c>
      <c r="H1683" s="8">
        <v>0.86</v>
      </c>
      <c r="I1683" s="4">
        <v>0</v>
      </c>
    </row>
    <row r="1684" spans="1:9" x14ac:dyDescent="0.2">
      <c r="A1684" s="2">
        <v>20</v>
      </c>
      <c r="B1684" s="1" t="s">
        <v>135</v>
      </c>
      <c r="C1684" s="4">
        <v>3</v>
      </c>
      <c r="D1684" s="8">
        <v>0.97</v>
      </c>
      <c r="E1684" s="4">
        <v>1</v>
      </c>
      <c r="F1684" s="8">
        <v>0.53</v>
      </c>
      <c r="G1684" s="4">
        <v>2</v>
      </c>
      <c r="H1684" s="8">
        <v>1.72</v>
      </c>
      <c r="I1684" s="4">
        <v>0</v>
      </c>
    </row>
    <row r="1685" spans="1:9" x14ac:dyDescent="0.2">
      <c r="A1685" s="2">
        <v>20</v>
      </c>
      <c r="B1685" s="1" t="s">
        <v>125</v>
      </c>
      <c r="C1685" s="4">
        <v>3</v>
      </c>
      <c r="D1685" s="8">
        <v>0.97</v>
      </c>
      <c r="E1685" s="4">
        <v>1</v>
      </c>
      <c r="F1685" s="8">
        <v>0.53</v>
      </c>
      <c r="G1685" s="4">
        <v>2</v>
      </c>
      <c r="H1685" s="8">
        <v>1.72</v>
      </c>
      <c r="I1685" s="4">
        <v>0</v>
      </c>
    </row>
    <row r="1686" spans="1:9" x14ac:dyDescent="0.2">
      <c r="A1686" s="2">
        <v>20</v>
      </c>
      <c r="B1686" s="1" t="s">
        <v>122</v>
      </c>
      <c r="C1686" s="4">
        <v>3</v>
      </c>
      <c r="D1686" s="8">
        <v>0.97</v>
      </c>
      <c r="E1686" s="4">
        <v>0</v>
      </c>
      <c r="F1686" s="8">
        <v>0</v>
      </c>
      <c r="G1686" s="4">
        <v>3</v>
      </c>
      <c r="H1686" s="8">
        <v>2.59</v>
      </c>
      <c r="I1686" s="4">
        <v>0</v>
      </c>
    </row>
    <row r="1687" spans="1:9" x14ac:dyDescent="0.2">
      <c r="A1687" s="2">
        <v>20</v>
      </c>
      <c r="B1687" s="1" t="s">
        <v>113</v>
      </c>
      <c r="C1687" s="4">
        <v>3</v>
      </c>
      <c r="D1687" s="8">
        <v>0.97</v>
      </c>
      <c r="E1687" s="4">
        <v>1</v>
      </c>
      <c r="F1687" s="8">
        <v>0.53</v>
      </c>
      <c r="G1687" s="4">
        <v>2</v>
      </c>
      <c r="H1687" s="8">
        <v>1.72</v>
      </c>
      <c r="I1687" s="4">
        <v>0</v>
      </c>
    </row>
    <row r="1688" spans="1:9" x14ac:dyDescent="0.2">
      <c r="A1688" s="2">
        <v>20</v>
      </c>
      <c r="B1688" s="1" t="s">
        <v>114</v>
      </c>
      <c r="C1688" s="4">
        <v>3</v>
      </c>
      <c r="D1688" s="8">
        <v>0.97</v>
      </c>
      <c r="E1688" s="4">
        <v>1</v>
      </c>
      <c r="F1688" s="8">
        <v>0.53</v>
      </c>
      <c r="G1688" s="4">
        <v>2</v>
      </c>
      <c r="H1688" s="8">
        <v>1.72</v>
      </c>
      <c r="I1688" s="4">
        <v>0</v>
      </c>
    </row>
    <row r="1689" spans="1:9" x14ac:dyDescent="0.2">
      <c r="A1689" s="1"/>
      <c r="C1689" s="4"/>
      <c r="D1689" s="8"/>
      <c r="E1689" s="4"/>
      <c r="F1689" s="8"/>
      <c r="G1689" s="4"/>
      <c r="H1689" s="8"/>
      <c r="I1689" s="4"/>
    </row>
    <row r="1690" spans="1:9" x14ac:dyDescent="0.2">
      <c r="A1690" s="1" t="s">
        <v>70</v>
      </c>
      <c r="C1690" s="4"/>
      <c r="D1690" s="8"/>
      <c r="E1690" s="4"/>
      <c r="F1690" s="8"/>
      <c r="G1690" s="4"/>
      <c r="H1690" s="8"/>
      <c r="I1690" s="4"/>
    </row>
    <row r="1691" spans="1:9" x14ac:dyDescent="0.2">
      <c r="A1691" s="2">
        <v>1</v>
      </c>
      <c r="B1691" s="1" t="s">
        <v>101</v>
      </c>
      <c r="C1691" s="4">
        <v>21</v>
      </c>
      <c r="D1691" s="8">
        <v>10.77</v>
      </c>
      <c r="E1691" s="4">
        <v>7</v>
      </c>
      <c r="F1691" s="8">
        <v>6.48</v>
      </c>
      <c r="G1691" s="4">
        <v>14</v>
      </c>
      <c r="H1691" s="8">
        <v>17.72</v>
      </c>
      <c r="I1691" s="4">
        <v>0</v>
      </c>
    </row>
    <row r="1692" spans="1:9" x14ac:dyDescent="0.2">
      <c r="A1692" s="2">
        <v>2</v>
      </c>
      <c r="B1692" s="1" t="s">
        <v>102</v>
      </c>
      <c r="C1692" s="4">
        <v>20</v>
      </c>
      <c r="D1692" s="8">
        <v>10.26</v>
      </c>
      <c r="E1692" s="4">
        <v>16</v>
      </c>
      <c r="F1692" s="8">
        <v>14.81</v>
      </c>
      <c r="G1692" s="4">
        <v>4</v>
      </c>
      <c r="H1692" s="8">
        <v>5.0599999999999996</v>
      </c>
      <c r="I1692" s="4">
        <v>0</v>
      </c>
    </row>
    <row r="1693" spans="1:9" x14ac:dyDescent="0.2">
      <c r="A1693" s="2">
        <v>3</v>
      </c>
      <c r="B1693" s="1" t="s">
        <v>116</v>
      </c>
      <c r="C1693" s="4">
        <v>15</v>
      </c>
      <c r="D1693" s="8">
        <v>7.69</v>
      </c>
      <c r="E1693" s="4">
        <v>14</v>
      </c>
      <c r="F1693" s="8">
        <v>12.96</v>
      </c>
      <c r="G1693" s="4">
        <v>1</v>
      </c>
      <c r="H1693" s="8">
        <v>1.27</v>
      </c>
      <c r="I1693" s="4">
        <v>0</v>
      </c>
    </row>
    <row r="1694" spans="1:9" x14ac:dyDescent="0.2">
      <c r="A1694" s="2">
        <v>4</v>
      </c>
      <c r="B1694" s="1" t="s">
        <v>103</v>
      </c>
      <c r="C1694" s="4">
        <v>13</v>
      </c>
      <c r="D1694" s="8">
        <v>6.67</v>
      </c>
      <c r="E1694" s="4">
        <v>8</v>
      </c>
      <c r="F1694" s="8">
        <v>7.41</v>
      </c>
      <c r="G1694" s="4">
        <v>5</v>
      </c>
      <c r="H1694" s="8">
        <v>6.33</v>
      </c>
      <c r="I1694" s="4">
        <v>0</v>
      </c>
    </row>
    <row r="1695" spans="1:9" x14ac:dyDescent="0.2">
      <c r="A1695" s="2">
        <v>4</v>
      </c>
      <c r="B1695" s="1" t="s">
        <v>114</v>
      </c>
      <c r="C1695" s="4">
        <v>13</v>
      </c>
      <c r="D1695" s="8">
        <v>6.67</v>
      </c>
      <c r="E1695" s="4">
        <v>4</v>
      </c>
      <c r="F1695" s="8">
        <v>3.7</v>
      </c>
      <c r="G1695" s="4">
        <v>9</v>
      </c>
      <c r="H1695" s="8">
        <v>11.39</v>
      </c>
      <c r="I1695" s="4">
        <v>0</v>
      </c>
    </row>
    <row r="1696" spans="1:9" x14ac:dyDescent="0.2">
      <c r="A1696" s="2">
        <v>6</v>
      </c>
      <c r="B1696" s="1" t="s">
        <v>108</v>
      </c>
      <c r="C1696" s="4">
        <v>12</v>
      </c>
      <c r="D1696" s="8">
        <v>6.15</v>
      </c>
      <c r="E1696" s="4">
        <v>4</v>
      </c>
      <c r="F1696" s="8">
        <v>3.7</v>
      </c>
      <c r="G1696" s="4">
        <v>6</v>
      </c>
      <c r="H1696" s="8">
        <v>7.59</v>
      </c>
      <c r="I1696" s="4">
        <v>2</v>
      </c>
    </row>
    <row r="1697" spans="1:9" x14ac:dyDescent="0.2">
      <c r="A1697" s="2">
        <v>7</v>
      </c>
      <c r="B1697" s="1" t="s">
        <v>104</v>
      </c>
      <c r="C1697" s="4">
        <v>10</v>
      </c>
      <c r="D1697" s="8">
        <v>5.13</v>
      </c>
      <c r="E1697" s="4">
        <v>5</v>
      </c>
      <c r="F1697" s="8">
        <v>4.63</v>
      </c>
      <c r="G1697" s="4">
        <v>5</v>
      </c>
      <c r="H1697" s="8">
        <v>6.33</v>
      </c>
      <c r="I1697" s="4">
        <v>0</v>
      </c>
    </row>
    <row r="1698" spans="1:9" x14ac:dyDescent="0.2">
      <c r="A1698" s="2">
        <v>8</v>
      </c>
      <c r="B1698" s="1" t="s">
        <v>109</v>
      </c>
      <c r="C1698" s="4">
        <v>9</v>
      </c>
      <c r="D1698" s="8">
        <v>4.62</v>
      </c>
      <c r="E1698" s="4">
        <v>6</v>
      </c>
      <c r="F1698" s="8">
        <v>5.56</v>
      </c>
      <c r="G1698" s="4">
        <v>3</v>
      </c>
      <c r="H1698" s="8">
        <v>3.8</v>
      </c>
      <c r="I1698" s="4">
        <v>0</v>
      </c>
    </row>
    <row r="1699" spans="1:9" x14ac:dyDescent="0.2">
      <c r="A1699" s="2">
        <v>9</v>
      </c>
      <c r="B1699" s="1" t="s">
        <v>115</v>
      </c>
      <c r="C1699" s="4">
        <v>8</v>
      </c>
      <c r="D1699" s="8">
        <v>4.0999999999999996</v>
      </c>
      <c r="E1699" s="4">
        <v>8</v>
      </c>
      <c r="F1699" s="8">
        <v>7.41</v>
      </c>
      <c r="G1699" s="4">
        <v>0</v>
      </c>
      <c r="H1699" s="8">
        <v>0</v>
      </c>
      <c r="I1699" s="4">
        <v>0</v>
      </c>
    </row>
    <row r="1700" spans="1:9" x14ac:dyDescent="0.2">
      <c r="A1700" s="2">
        <v>10</v>
      </c>
      <c r="B1700" s="1" t="s">
        <v>105</v>
      </c>
      <c r="C1700" s="4">
        <v>7</v>
      </c>
      <c r="D1700" s="8">
        <v>3.59</v>
      </c>
      <c r="E1700" s="4">
        <v>4</v>
      </c>
      <c r="F1700" s="8">
        <v>3.7</v>
      </c>
      <c r="G1700" s="4">
        <v>3</v>
      </c>
      <c r="H1700" s="8">
        <v>3.8</v>
      </c>
      <c r="I1700" s="4">
        <v>0</v>
      </c>
    </row>
    <row r="1701" spans="1:9" x14ac:dyDescent="0.2">
      <c r="A1701" s="2">
        <v>11</v>
      </c>
      <c r="B1701" s="1" t="s">
        <v>117</v>
      </c>
      <c r="C1701" s="4">
        <v>6</v>
      </c>
      <c r="D1701" s="8">
        <v>3.08</v>
      </c>
      <c r="E1701" s="4">
        <v>5</v>
      </c>
      <c r="F1701" s="8">
        <v>4.63</v>
      </c>
      <c r="G1701" s="4">
        <v>0</v>
      </c>
      <c r="H1701" s="8">
        <v>0</v>
      </c>
      <c r="I1701" s="4">
        <v>0</v>
      </c>
    </row>
    <row r="1702" spans="1:9" x14ac:dyDescent="0.2">
      <c r="A1702" s="2">
        <v>12</v>
      </c>
      <c r="B1702" s="1" t="s">
        <v>127</v>
      </c>
      <c r="C1702" s="4">
        <v>4</v>
      </c>
      <c r="D1702" s="8">
        <v>2.0499999999999998</v>
      </c>
      <c r="E1702" s="4">
        <v>2</v>
      </c>
      <c r="F1702" s="8">
        <v>1.85</v>
      </c>
      <c r="G1702" s="4">
        <v>2</v>
      </c>
      <c r="H1702" s="8">
        <v>2.5299999999999998</v>
      </c>
      <c r="I1702" s="4">
        <v>0</v>
      </c>
    </row>
    <row r="1703" spans="1:9" x14ac:dyDescent="0.2">
      <c r="A1703" s="2">
        <v>12</v>
      </c>
      <c r="B1703" s="1" t="s">
        <v>130</v>
      </c>
      <c r="C1703" s="4">
        <v>4</v>
      </c>
      <c r="D1703" s="8">
        <v>2.0499999999999998</v>
      </c>
      <c r="E1703" s="4">
        <v>4</v>
      </c>
      <c r="F1703" s="8">
        <v>3.7</v>
      </c>
      <c r="G1703" s="4">
        <v>0</v>
      </c>
      <c r="H1703" s="8">
        <v>0</v>
      </c>
      <c r="I1703" s="4">
        <v>0</v>
      </c>
    </row>
    <row r="1704" spans="1:9" x14ac:dyDescent="0.2">
      <c r="A1704" s="2">
        <v>12</v>
      </c>
      <c r="B1704" s="1" t="s">
        <v>158</v>
      </c>
      <c r="C1704" s="4">
        <v>4</v>
      </c>
      <c r="D1704" s="8">
        <v>2.0499999999999998</v>
      </c>
      <c r="E1704" s="4">
        <v>1</v>
      </c>
      <c r="F1704" s="8">
        <v>0.93</v>
      </c>
      <c r="G1704" s="4">
        <v>3</v>
      </c>
      <c r="H1704" s="8">
        <v>3.8</v>
      </c>
      <c r="I1704" s="4">
        <v>0</v>
      </c>
    </row>
    <row r="1705" spans="1:9" x14ac:dyDescent="0.2">
      <c r="A1705" s="2">
        <v>12</v>
      </c>
      <c r="B1705" s="1" t="s">
        <v>113</v>
      </c>
      <c r="C1705" s="4">
        <v>4</v>
      </c>
      <c r="D1705" s="8">
        <v>2.0499999999999998</v>
      </c>
      <c r="E1705" s="4">
        <v>3</v>
      </c>
      <c r="F1705" s="8">
        <v>2.78</v>
      </c>
      <c r="G1705" s="4">
        <v>1</v>
      </c>
      <c r="H1705" s="8">
        <v>1.27</v>
      </c>
      <c r="I1705" s="4">
        <v>0</v>
      </c>
    </row>
    <row r="1706" spans="1:9" x14ac:dyDescent="0.2">
      <c r="A1706" s="2">
        <v>16</v>
      </c>
      <c r="B1706" s="1" t="s">
        <v>156</v>
      </c>
      <c r="C1706" s="4">
        <v>3</v>
      </c>
      <c r="D1706" s="8">
        <v>1.54</v>
      </c>
      <c r="E1706" s="4">
        <v>1</v>
      </c>
      <c r="F1706" s="8">
        <v>0.93</v>
      </c>
      <c r="G1706" s="4">
        <v>2</v>
      </c>
      <c r="H1706" s="8">
        <v>2.5299999999999998</v>
      </c>
      <c r="I1706" s="4">
        <v>0</v>
      </c>
    </row>
    <row r="1707" spans="1:9" x14ac:dyDescent="0.2">
      <c r="A1707" s="2">
        <v>16</v>
      </c>
      <c r="B1707" s="1" t="s">
        <v>126</v>
      </c>
      <c r="C1707" s="4">
        <v>3</v>
      </c>
      <c r="D1707" s="8">
        <v>1.54</v>
      </c>
      <c r="E1707" s="4">
        <v>1</v>
      </c>
      <c r="F1707" s="8">
        <v>0.93</v>
      </c>
      <c r="G1707" s="4">
        <v>2</v>
      </c>
      <c r="H1707" s="8">
        <v>2.5299999999999998</v>
      </c>
      <c r="I1707" s="4">
        <v>0</v>
      </c>
    </row>
    <row r="1708" spans="1:9" x14ac:dyDescent="0.2">
      <c r="A1708" s="2">
        <v>16</v>
      </c>
      <c r="B1708" s="1" t="s">
        <v>110</v>
      </c>
      <c r="C1708" s="4">
        <v>3</v>
      </c>
      <c r="D1708" s="8">
        <v>1.54</v>
      </c>
      <c r="E1708" s="4">
        <v>1</v>
      </c>
      <c r="F1708" s="8">
        <v>0.93</v>
      </c>
      <c r="G1708" s="4">
        <v>2</v>
      </c>
      <c r="H1708" s="8">
        <v>2.5299999999999998</v>
      </c>
      <c r="I1708" s="4">
        <v>0</v>
      </c>
    </row>
    <row r="1709" spans="1:9" x14ac:dyDescent="0.2">
      <c r="A1709" s="2">
        <v>16</v>
      </c>
      <c r="B1709" s="1" t="s">
        <v>119</v>
      </c>
      <c r="C1709" s="4">
        <v>3</v>
      </c>
      <c r="D1709" s="8">
        <v>1.54</v>
      </c>
      <c r="E1709" s="4">
        <v>0</v>
      </c>
      <c r="F1709" s="8">
        <v>0</v>
      </c>
      <c r="G1709" s="4">
        <v>1</v>
      </c>
      <c r="H1709" s="8">
        <v>1.27</v>
      </c>
      <c r="I1709" s="4">
        <v>0</v>
      </c>
    </row>
    <row r="1710" spans="1:9" x14ac:dyDescent="0.2">
      <c r="A1710" s="2">
        <v>20</v>
      </c>
      <c r="B1710" s="1" t="s">
        <v>142</v>
      </c>
      <c r="C1710" s="4">
        <v>2</v>
      </c>
      <c r="D1710" s="8">
        <v>1.03</v>
      </c>
      <c r="E1710" s="4">
        <v>0</v>
      </c>
      <c r="F1710" s="8">
        <v>0</v>
      </c>
      <c r="G1710" s="4">
        <v>1</v>
      </c>
      <c r="H1710" s="8">
        <v>1.27</v>
      </c>
      <c r="I1710" s="4">
        <v>0</v>
      </c>
    </row>
    <row r="1711" spans="1:9" x14ac:dyDescent="0.2">
      <c r="A1711" s="2">
        <v>20</v>
      </c>
      <c r="B1711" s="1" t="s">
        <v>128</v>
      </c>
      <c r="C1711" s="4">
        <v>2</v>
      </c>
      <c r="D1711" s="8">
        <v>1.03</v>
      </c>
      <c r="E1711" s="4">
        <v>2</v>
      </c>
      <c r="F1711" s="8">
        <v>1.85</v>
      </c>
      <c r="G1711" s="4">
        <v>0</v>
      </c>
      <c r="H1711" s="8">
        <v>0</v>
      </c>
      <c r="I1711" s="4">
        <v>0</v>
      </c>
    </row>
    <row r="1712" spans="1:9" x14ac:dyDescent="0.2">
      <c r="A1712" s="2">
        <v>20</v>
      </c>
      <c r="B1712" s="1" t="s">
        <v>168</v>
      </c>
      <c r="C1712" s="4">
        <v>2</v>
      </c>
      <c r="D1712" s="8">
        <v>1.03</v>
      </c>
      <c r="E1712" s="4">
        <v>1</v>
      </c>
      <c r="F1712" s="8">
        <v>0.93</v>
      </c>
      <c r="G1712" s="4">
        <v>1</v>
      </c>
      <c r="H1712" s="8">
        <v>1.27</v>
      </c>
      <c r="I1712" s="4">
        <v>0</v>
      </c>
    </row>
    <row r="1713" spans="1:9" x14ac:dyDescent="0.2">
      <c r="A1713" s="2">
        <v>20</v>
      </c>
      <c r="B1713" s="1" t="s">
        <v>143</v>
      </c>
      <c r="C1713" s="4">
        <v>2</v>
      </c>
      <c r="D1713" s="8">
        <v>1.03</v>
      </c>
      <c r="E1713" s="4">
        <v>0</v>
      </c>
      <c r="F1713" s="8">
        <v>0</v>
      </c>
      <c r="G1713" s="4">
        <v>2</v>
      </c>
      <c r="H1713" s="8">
        <v>2.5299999999999998</v>
      </c>
      <c r="I1713" s="4">
        <v>0</v>
      </c>
    </row>
    <row r="1714" spans="1:9" x14ac:dyDescent="0.2">
      <c r="A1714" s="2">
        <v>20</v>
      </c>
      <c r="B1714" s="1" t="s">
        <v>136</v>
      </c>
      <c r="C1714" s="4">
        <v>2</v>
      </c>
      <c r="D1714" s="8">
        <v>1.03</v>
      </c>
      <c r="E1714" s="4">
        <v>1</v>
      </c>
      <c r="F1714" s="8">
        <v>0.93</v>
      </c>
      <c r="G1714" s="4">
        <v>1</v>
      </c>
      <c r="H1714" s="8">
        <v>1.27</v>
      </c>
      <c r="I1714" s="4">
        <v>0</v>
      </c>
    </row>
    <row r="1715" spans="1:9" x14ac:dyDescent="0.2">
      <c r="A1715" s="2">
        <v>20</v>
      </c>
      <c r="B1715" s="1" t="s">
        <v>145</v>
      </c>
      <c r="C1715" s="4">
        <v>2</v>
      </c>
      <c r="D1715" s="8">
        <v>1.03</v>
      </c>
      <c r="E1715" s="4">
        <v>1</v>
      </c>
      <c r="F1715" s="8">
        <v>0.93</v>
      </c>
      <c r="G1715" s="4">
        <v>1</v>
      </c>
      <c r="H1715" s="8">
        <v>1.27</v>
      </c>
      <c r="I1715" s="4">
        <v>0</v>
      </c>
    </row>
    <row r="1716" spans="1:9" x14ac:dyDescent="0.2">
      <c r="A1716" s="2">
        <v>20</v>
      </c>
      <c r="B1716" s="1" t="s">
        <v>118</v>
      </c>
      <c r="C1716" s="4">
        <v>2</v>
      </c>
      <c r="D1716" s="8">
        <v>1.03</v>
      </c>
      <c r="E1716" s="4">
        <v>2</v>
      </c>
      <c r="F1716" s="8">
        <v>1.85</v>
      </c>
      <c r="G1716" s="4">
        <v>0</v>
      </c>
      <c r="H1716" s="8">
        <v>0</v>
      </c>
      <c r="I1716" s="4">
        <v>0</v>
      </c>
    </row>
    <row r="1717" spans="1:9" x14ac:dyDescent="0.2">
      <c r="A1717" s="2">
        <v>20</v>
      </c>
      <c r="B1717" s="1" t="s">
        <v>120</v>
      </c>
      <c r="C1717" s="4">
        <v>2</v>
      </c>
      <c r="D1717" s="8">
        <v>1.03</v>
      </c>
      <c r="E1717" s="4">
        <v>1</v>
      </c>
      <c r="F1717" s="8">
        <v>0.93</v>
      </c>
      <c r="G1717" s="4">
        <v>1</v>
      </c>
      <c r="H1717" s="8">
        <v>1.27</v>
      </c>
      <c r="I1717" s="4">
        <v>0</v>
      </c>
    </row>
    <row r="1718" spans="1:9" x14ac:dyDescent="0.2">
      <c r="A1718" s="1"/>
      <c r="C1718" s="4"/>
      <c r="D1718" s="8"/>
      <c r="E1718" s="4"/>
      <c r="F1718" s="8"/>
      <c r="G1718" s="4"/>
      <c r="H1718" s="8"/>
      <c r="I1718" s="4"/>
    </row>
    <row r="1719" spans="1:9" x14ac:dyDescent="0.2">
      <c r="A1719" s="1" t="s">
        <v>71</v>
      </c>
      <c r="C1719" s="4"/>
      <c r="D1719" s="8"/>
      <c r="E1719" s="4"/>
      <c r="F1719" s="8"/>
      <c r="G1719" s="4"/>
      <c r="H1719" s="8"/>
      <c r="I1719" s="4"/>
    </row>
    <row r="1720" spans="1:9" x14ac:dyDescent="0.2">
      <c r="A1720" s="2">
        <v>1</v>
      </c>
      <c r="B1720" s="1" t="s">
        <v>114</v>
      </c>
      <c r="C1720" s="4">
        <v>101</v>
      </c>
      <c r="D1720" s="8">
        <v>22.75</v>
      </c>
      <c r="E1720" s="4">
        <v>22</v>
      </c>
      <c r="F1720" s="8">
        <v>10.050000000000001</v>
      </c>
      <c r="G1720" s="4">
        <v>78</v>
      </c>
      <c r="H1720" s="8">
        <v>36.97</v>
      </c>
      <c r="I1720" s="4">
        <v>1</v>
      </c>
    </row>
    <row r="1721" spans="1:9" x14ac:dyDescent="0.2">
      <c r="A1721" s="2">
        <v>2</v>
      </c>
      <c r="B1721" s="1" t="s">
        <v>115</v>
      </c>
      <c r="C1721" s="4">
        <v>47</v>
      </c>
      <c r="D1721" s="8">
        <v>10.59</v>
      </c>
      <c r="E1721" s="4">
        <v>44</v>
      </c>
      <c r="F1721" s="8">
        <v>20.09</v>
      </c>
      <c r="G1721" s="4">
        <v>3</v>
      </c>
      <c r="H1721" s="8">
        <v>1.42</v>
      </c>
      <c r="I1721" s="4">
        <v>0</v>
      </c>
    </row>
    <row r="1722" spans="1:9" x14ac:dyDescent="0.2">
      <c r="A1722" s="2">
        <v>3</v>
      </c>
      <c r="B1722" s="1" t="s">
        <v>108</v>
      </c>
      <c r="C1722" s="4">
        <v>38</v>
      </c>
      <c r="D1722" s="8">
        <v>8.56</v>
      </c>
      <c r="E1722" s="4">
        <v>20</v>
      </c>
      <c r="F1722" s="8">
        <v>9.1300000000000008</v>
      </c>
      <c r="G1722" s="4">
        <v>18</v>
      </c>
      <c r="H1722" s="8">
        <v>8.5299999999999994</v>
      </c>
      <c r="I1722" s="4">
        <v>0</v>
      </c>
    </row>
    <row r="1723" spans="1:9" x14ac:dyDescent="0.2">
      <c r="A1723" s="2">
        <v>3</v>
      </c>
      <c r="B1723" s="1" t="s">
        <v>116</v>
      </c>
      <c r="C1723" s="4">
        <v>38</v>
      </c>
      <c r="D1723" s="8">
        <v>8.56</v>
      </c>
      <c r="E1723" s="4">
        <v>32</v>
      </c>
      <c r="F1723" s="8">
        <v>14.61</v>
      </c>
      <c r="G1723" s="4">
        <v>6</v>
      </c>
      <c r="H1723" s="8">
        <v>2.84</v>
      </c>
      <c r="I1723" s="4">
        <v>0</v>
      </c>
    </row>
    <row r="1724" spans="1:9" x14ac:dyDescent="0.2">
      <c r="A1724" s="2">
        <v>5</v>
      </c>
      <c r="B1724" s="1" t="s">
        <v>101</v>
      </c>
      <c r="C1724" s="4">
        <v>30</v>
      </c>
      <c r="D1724" s="8">
        <v>6.76</v>
      </c>
      <c r="E1724" s="4">
        <v>10</v>
      </c>
      <c r="F1724" s="8">
        <v>4.57</v>
      </c>
      <c r="G1724" s="4">
        <v>20</v>
      </c>
      <c r="H1724" s="8">
        <v>9.48</v>
      </c>
      <c r="I1724" s="4">
        <v>0</v>
      </c>
    </row>
    <row r="1725" spans="1:9" x14ac:dyDescent="0.2">
      <c r="A1725" s="2">
        <v>6</v>
      </c>
      <c r="B1725" s="1" t="s">
        <v>110</v>
      </c>
      <c r="C1725" s="4">
        <v>26</v>
      </c>
      <c r="D1725" s="8">
        <v>5.86</v>
      </c>
      <c r="E1725" s="4">
        <v>13</v>
      </c>
      <c r="F1725" s="8">
        <v>5.94</v>
      </c>
      <c r="G1725" s="4">
        <v>13</v>
      </c>
      <c r="H1725" s="8">
        <v>6.16</v>
      </c>
      <c r="I1725" s="4">
        <v>0</v>
      </c>
    </row>
    <row r="1726" spans="1:9" x14ac:dyDescent="0.2">
      <c r="A1726" s="2">
        <v>7</v>
      </c>
      <c r="B1726" s="1" t="s">
        <v>102</v>
      </c>
      <c r="C1726" s="4">
        <v>23</v>
      </c>
      <c r="D1726" s="8">
        <v>5.18</v>
      </c>
      <c r="E1726" s="4">
        <v>18</v>
      </c>
      <c r="F1726" s="8">
        <v>8.2200000000000006</v>
      </c>
      <c r="G1726" s="4">
        <v>5</v>
      </c>
      <c r="H1726" s="8">
        <v>2.37</v>
      </c>
      <c r="I1726" s="4">
        <v>0</v>
      </c>
    </row>
    <row r="1727" spans="1:9" x14ac:dyDescent="0.2">
      <c r="A1727" s="2">
        <v>8</v>
      </c>
      <c r="B1727" s="1" t="s">
        <v>103</v>
      </c>
      <c r="C1727" s="4">
        <v>22</v>
      </c>
      <c r="D1727" s="8">
        <v>4.95</v>
      </c>
      <c r="E1727" s="4">
        <v>9</v>
      </c>
      <c r="F1727" s="8">
        <v>4.1100000000000003</v>
      </c>
      <c r="G1727" s="4">
        <v>13</v>
      </c>
      <c r="H1727" s="8">
        <v>6.16</v>
      </c>
      <c r="I1727" s="4">
        <v>0</v>
      </c>
    </row>
    <row r="1728" spans="1:9" x14ac:dyDescent="0.2">
      <c r="A1728" s="2">
        <v>9</v>
      </c>
      <c r="B1728" s="1" t="s">
        <v>111</v>
      </c>
      <c r="C1728" s="4">
        <v>17</v>
      </c>
      <c r="D1728" s="8">
        <v>3.83</v>
      </c>
      <c r="E1728" s="4">
        <v>10</v>
      </c>
      <c r="F1728" s="8">
        <v>4.57</v>
      </c>
      <c r="G1728" s="4">
        <v>6</v>
      </c>
      <c r="H1728" s="8">
        <v>2.84</v>
      </c>
      <c r="I1728" s="4">
        <v>1</v>
      </c>
    </row>
    <row r="1729" spans="1:9" x14ac:dyDescent="0.2">
      <c r="A1729" s="2">
        <v>10</v>
      </c>
      <c r="B1729" s="1" t="s">
        <v>117</v>
      </c>
      <c r="C1729" s="4">
        <v>11</v>
      </c>
      <c r="D1729" s="8">
        <v>2.48</v>
      </c>
      <c r="E1729" s="4">
        <v>2</v>
      </c>
      <c r="F1729" s="8">
        <v>0.91</v>
      </c>
      <c r="G1729" s="4">
        <v>3</v>
      </c>
      <c r="H1729" s="8">
        <v>1.42</v>
      </c>
      <c r="I1729" s="4">
        <v>0</v>
      </c>
    </row>
    <row r="1730" spans="1:9" x14ac:dyDescent="0.2">
      <c r="A1730" s="2">
        <v>11</v>
      </c>
      <c r="B1730" s="1" t="s">
        <v>132</v>
      </c>
      <c r="C1730" s="4">
        <v>7</v>
      </c>
      <c r="D1730" s="8">
        <v>1.58</v>
      </c>
      <c r="E1730" s="4">
        <v>2</v>
      </c>
      <c r="F1730" s="8">
        <v>0.91</v>
      </c>
      <c r="G1730" s="4">
        <v>4</v>
      </c>
      <c r="H1730" s="8">
        <v>1.9</v>
      </c>
      <c r="I1730" s="4">
        <v>0</v>
      </c>
    </row>
    <row r="1731" spans="1:9" x14ac:dyDescent="0.2">
      <c r="A1731" s="2">
        <v>12</v>
      </c>
      <c r="B1731" s="1" t="s">
        <v>107</v>
      </c>
      <c r="C1731" s="4">
        <v>6</v>
      </c>
      <c r="D1731" s="8">
        <v>1.35</v>
      </c>
      <c r="E1731" s="4">
        <v>5</v>
      </c>
      <c r="F1731" s="8">
        <v>2.2799999999999998</v>
      </c>
      <c r="G1731" s="4">
        <v>1</v>
      </c>
      <c r="H1731" s="8">
        <v>0.47</v>
      </c>
      <c r="I1731" s="4">
        <v>0</v>
      </c>
    </row>
    <row r="1732" spans="1:9" x14ac:dyDescent="0.2">
      <c r="A1732" s="2">
        <v>13</v>
      </c>
      <c r="B1732" s="1" t="s">
        <v>129</v>
      </c>
      <c r="C1732" s="4">
        <v>5</v>
      </c>
      <c r="D1732" s="8">
        <v>1.1299999999999999</v>
      </c>
      <c r="E1732" s="4">
        <v>4</v>
      </c>
      <c r="F1732" s="8">
        <v>1.83</v>
      </c>
      <c r="G1732" s="4">
        <v>1</v>
      </c>
      <c r="H1732" s="8">
        <v>0.47</v>
      </c>
      <c r="I1732" s="4">
        <v>0</v>
      </c>
    </row>
    <row r="1733" spans="1:9" x14ac:dyDescent="0.2">
      <c r="A1733" s="2">
        <v>13</v>
      </c>
      <c r="B1733" s="1" t="s">
        <v>118</v>
      </c>
      <c r="C1733" s="4">
        <v>5</v>
      </c>
      <c r="D1733" s="8">
        <v>1.1299999999999999</v>
      </c>
      <c r="E1733" s="4">
        <v>5</v>
      </c>
      <c r="F1733" s="8">
        <v>2.2799999999999998</v>
      </c>
      <c r="G1733" s="4">
        <v>0</v>
      </c>
      <c r="H1733" s="8">
        <v>0</v>
      </c>
      <c r="I1733" s="4">
        <v>0</v>
      </c>
    </row>
    <row r="1734" spans="1:9" x14ac:dyDescent="0.2">
      <c r="A1734" s="2">
        <v>13</v>
      </c>
      <c r="B1734" s="1" t="s">
        <v>124</v>
      </c>
      <c r="C1734" s="4">
        <v>5</v>
      </c>
      <c r="D1734" s="8">
        <v>1.1299999999999999</v>
      </c>
      <c r="E1734" s="4">
        <v>1</v>
      </c>
      <c r="F1734" s="8">
        <v>0.46</v>
      </c>
      <c r="G1734" s="4">
        <v>4</v>
      </c>
      <c r="H1734" s="8">
        <v>1.9</v>
      </c>
      <c r="I1734" s="4">
        <v>0</v>
      </c>
    </row>
    <row r="1735" spans="1:9" x14ac:dyDescent="0.2">
      <c r="A1735" s="2">
        <v>16</v>
      </c>
      <c r="B1735" s="1" t="s">
        <v>125</v>
      </c>
      <c r="C1735" s="4">
        <v>4</v>
      </c>
      <c r="D1735" s="8">
        <v>0.9</v>
      </c>
      <c r="E1735" s="4">
        <v>1</v>
      </c>
      <c r="F1735" s="8">
        <v>0.46</v>
      </c>
      <c r="G1735" s="4">
        <v>3</v>
      </c>
      <c r="H1735" s="8">
        <v>1.42</v>
      </c>
      <c r="I1735" s="4">
        <v>0</v>
      </c>
    </row>
    <row r="1736" spans="1:9" x14ac:dyDescent="0.2">
      <c r="A1736" s="2">
        <v>16</v>
      </c>
      <c r="B1736" s="1" t="s">
        <v>109</v>
      </c>
      <c r="C1736" s="4">
        <v>4</v>
      </c>
      <c r="D1736" s="8">
        <v>0.9</v>
      </c>
      <c r="E1736" s="4">
        <v>3</v>
      </c>
      <c r="F1736" s="8">
        <v>1.37</v>
      </c>
      <c r="G1736" s="4">
        <v>1</v>
      </c>
      <c r="H1736" s="8">
        <v>0.47</v>
      </c>
      <c r="I1736" s="4">
        <v>0</v>
      </c>
    </row>
    <row r="1737" spans="1:9" x14ac:dyDescent="0.2">
      <c r="A1737" s="2">
        <v>16</v>
      </c>
      <c r="B1737" s="1" t="s">
        <v>112</v>
      </c>
      <c r="C1737" s="4">
        <v>4</v>
      </c>
      <c r="D1737" s="8">
        <v>0.9</v>
      </c>
      <c r="E1737" s="4">
        <v>3</v>
      </c>
      <c r="F1737" s="8">
        <v>1.37</v>
      </c>
      <c r="G1737" s="4">
        <v>1</v>
      </c>
      <c r="H1737" s="8">
        <v>0.47</v>
      </c>
      <c r="I1737" s="4">
        <v>0</v>
      </c>
    </row>
    <row r="1738" spans="1:9" x14ac:dyDescent="0.2">
      <c r="A1738" s="2">
        <v>16</v>
      </c>
      <c r="B1738" s="1" t="s">
        <v>119</v>
      </c>
      <c r="C1738" s="4">
        <v>4</v>
      </c>
      <c r="D1738" s="8">
        <v>0.9</v>
      </c>
      <c r="E1738" s="4">
        <v>0</v>
      </c>
      <c r="F1738" s="8">
        <v>0</v>
      </c>
      <c r="G1738" s="4">
        <v>2</v>
      </c>
      <c r="H1738" s="8">
        <v>0.95</v>
      </c>
      <c r="I1738" s="4">
        <v>0</v>
      </c>
    </row>
    <row r="1739" spans="1:9" x14ac:dyDescent="0.2">
      <c r="A1739" s="2">
        <v>20</v>
      </c>
      <c r="B1739" s="1" t="s">
        <v>130</v>
      </c>
      <c r="C1739" s="4">
        <v>3</v>
      </c>
      <c r="D1739" s="8">
        <v>0.68</v>
      </c>
      <c r="E1739" s="4">
        <v>2</v>
      </c>
      <c r="F1739" s="8">
        <v>0.91</v>
      </c>
      <c r="G1739" s="4">
        <v>1</v>
      </c>
      <c r="H1739" s="8">
        <v>0.47</v>
      </c>
      <c r="I1739" s="4">
        <v>0</v>
      </c>
    </row>
    <row r="1740" spans="1:9" x14ac:dyDescent="0.2">
      <c r="A1740" s="2">
        <v>20</v>
      </c>
      <c r="B1740" s="1" t="s">
        <v>139</v>
      </c>
      <c r="C1740" s="4">
        <v>3</v>
      </c>
      <c r="D1740" s="8">
        <v>0.68</v>
      </c>
      <c r="E1740" s="4">
        <v>0</v>
      </c>
      <c r="F1740" s="8">
        <v>0</v>
      </c>
      <c r="G1740" s="4">
        <v>3</v>
      </c>
      <c r="H1740" s="8">
        <v>1.42</v>
      </c>
      <c r="I1740" s="4">
        <v>0</v>
      </c>
    </row>
    <row r="1741" spans="1:9" x14ac:dyDescent="0.2">
      <c r="A1741" s="2">
        <v>20</v>
      </c>
      <c r="B1741" s="1" t="s">
        <v>140</v>
      </c>
      <c r="C1741" s="4">
        <v>3</v>
      </c>
      <c r="D1741" s="8">
        <v>0.68</v>
      </c>
      <c r="E1741" s="4">
        <v>0</v>
      </c>
      <c r="F1741" s="8">
        <v>0</v>
      </c>
      <c r="G1741" s="4">
        <v>3</v>
      </c>
      <c r="H1741" s="8">
        <v>1.42</v>
      </c>
      <c r="I1741" s="4">
        <v>0</v>
      </c>
    </row>
    <row r="1742" spans="1:9" x14ac:dyDescent="0.2">
      <c r="A1742" s="2">
        <v>20</v>
      </c>
      <c r="B1742" s="1" t="s">
        <v>133</v>
      </c>
      <c r="C1742" s="4">
        <v>3</v>
      </c>
      <c r="D1742" s="8">
        <v>0.68</v>
      </c>
      <c r="E1742" s="4">
        <v>0</v>
      </c>
      <c r="F1742" s="8">
        <v>0</v>
      </c>
      <c r="G1742" s="4">
        <v>3</v>
      </c>
      <c r="H1742" s="8">
        <v>1.42</v>
      </c>
      <c r="I1742" s="4">
        <v>0</v>
      </c>
    </row>
    <row r="1743" spans="1:9" x14ac:dyDescent="0.2">
      <c r="A1743" s="2">
        <v>20</v>
      </c>
      <c r="B1743" s="1" t="s">
        <v>153</v>
      </c>
      <c r="C1743" s="4">
        <v>3</v>
      </c>
      <c r="D1743" s="8">
        <v>0.68</v>
      </c>
      <c r="E1743" s="4">
        <v>0</v>
      </c>
      <c r="F1743" s="8">
        <v>0</v>
      </c>
      <c r="G1743" s="4">
        <v>3</v>
      </c>
      <c r="H1743" s="8">
        <v>1.42</v>
      </c>
      <c r="I1743" s="4">
        <v>0</v>
      </c>
    </row>
    <row r="1744" spans="1:9" x14ac:dyDescent="0.2">
      <c r="A1744" s="2">
        <v>20</v>
      </c>
      <c r="B1744" s="1" t="s">
        <v>113</v>
      </c>
      <c r="C1744" s="4">
        <v>3</v>
      </c>
      <c r="D1744" s="8">
        <v>0.68</v>
      </c>
      <c r="E1744" s="4">
        <v>2</v>
      </c>
      <c r="F1744" s="8">
        <v>0.91</v>
      </c>
      <c r="G1744" s="4">
        <v>1</v>
      </c>
      <c r="H1744" s="8">
        <v>0.47</v>
      </c>
      <c r="I1744" s="4">
        <v>0</v>
      </c>
    </row>
    <row r="1745" spans="1:9" x14ac:dyDescent="0.2">
      <c r="A1745" s="2">
        <v>20</v>
      </c>
      <c r="B1745" s="1" t="s">
        <v>131</v>
      </c>
      <c r="C1745" s="4">
        <v>3</v>
      </c>
      <c r="D1745" s="8">
        <v>0.68</v>
      </c>
      <c r="E1745" s="4">
        <v>0</v>
      </c>
      <c r="F1745" s="8">
        <v>0</v>
      </c>
      <c r="G1745" s="4">
        <v>2</v>
      </c>
      <c r="H1745" s="8">
        <v>0.95</v>
      </c>
      <c r="I1745" s="4">
        <v>1</v>
      </c>
    </row>
    <row r="1746" spans="1:9" x14ac:dyDescent="0.2">
      <c r="A1746" s="1"/>
      <c r="C1746" s="4"/>
      <c r="D1746" s="8"/>
      <c r="E1746" s="4"/>
      <c r="F1746" s="8"/>
      <c r="G1746" s="4"/>
      <c r="H1746" s="8"/>
      <c r="I1746" s="4"/>
    </row>
    <row r="1747" spans="1:9" x14ac:dyDescent="0.2">
      <c r="A1747" s="1" t="s">
        <v>72</v>
      </c>
      <c r="C1747" s="4"/>
      <c r="D1747" s="8"/>
      <c r="E1747" s="4"/>
      <c r="F1747" s="8"/>
      <c r="G1747" s="4"/>
      <c r="H1747" s="8"/>
      <c r="I1747" s="4"/>
    </row>
    <row r="1748" spans="1:9" x14ac:dyDescent="0.2">
      <c r="A1748" s="2">
        <v>1</v>
      </c>
      <c r="B1748" s="1" t="s">
        <v>114</v>
      </c>
      <c r="C1748" s="4">
        <v>23</v>
      </c>
      <c r="D1748" s="8">
        <v>17.16</v>
      </c>
      <c r="E1748" s="4">
        <v>20</v>
      </c>
      <c r="F1748" s="8">
        <v>26.32</v>
      </c>
      <c r="G1748" s="4">
        <v>3</v>
      </c>
      <c r="H1748" s="8">
        <v>5.66</v>
      </c>
      <c r="I1748" s="4">
        <v>0</v>
      </c>
    </row>
    <row r="1749" spans="1:9" x14ac:dyDescent="0.2">
      <c r="A1749" s="2">
        <v>2</v>
      </c>
      <c r="B1749" s="1" t="s">
        <v>101</v>
      </c>
      <c r="C1749" s="4">
        <v>17</v>
      </c>
      <c r="D1749" s="8">
        <v>12.69</v>
      </c>
      <c r="E1749" s="4">
        <v>5</v>
      </c>
      <c r="F1749" s="8">
        <v>6.58</v>
      </c>
      <c r="G1749" s="4">
        <v>12</v>
      </c>
      <c r="H1749" s="8">
        <v>22.64</v>
      </c>
      <c r="I1749" s="4">
        <v>0</v>
      </c>
    </row>
    <row r="1750" spans="1:9" x14ac:dyDescent="0.2">
      <c r="A1750" s="2">
        <v>3</v>
      </c>
      <c r="B1750" s="1" t="s">
        <v>108</v>
      </c>
      <c r="C1750" s="4">
        <v>13</v>
      </c>
      <c r="D1750" s="8">
        <v>9.6999999999999993</v>
      </c>
      <c r="E1750" s="4">
        <v>8</v>
      </c>
      <c r="F1750" s="8">
        <v>10.53</v>
      </c>
      <c r="G1750" s="4">
        <v>4</v>
      </c>
      <c r="H1750" s="8">
        <v>7.55</v>
      </c>
      <c r="I1750" s="4">
        <v>0</v>
      </c>
    </row>
    <row r="1751" spans="1:9" x14ac:dyDescent="0.2">
      <c r="A1751" s="2">
        <v>4</v>
      </c>
      <c r="B1751" s="1" t="s">
        <v>110</v>
      </c>
      <c r="C1751" s="4">
        <v>12</v>
      </c>
      <c r="D1751" s="8">
        <v>8.9600000000000009</v>
      </c>
      <c r="E1751" s="4">
        <v>7</v>
      </c>
      <c r="F1751" s="8">
        <v>9.2100000000000009</v>
      </c>
      <c r="G1751" s="4">
        <v>4</v>
      </c>
      <c r="H1751" s="8">
        <v>7.55</v>
      </c>
      <c r="I1751" s="4">
        <v>1</v>
      </c>
    </row>
    <row r="1752" spans="1:9" x14ac:dyDescent="0.2">
      <c r="A1752" s="2">
        <v>4</v>
      </c>
      <c r="B1752" s="1" t="s">
        <v>115</v>
      </c>
      <c r="C1752" s="4">
        <v>12</v>
      </c>
      <c r="D1752" s="8">
        <v>8.9600000000000009</v>
      </c>
      <c r="E1752" s="4">
        <v>9</v>
      </c>
      <c r="F1752" s="8">
        <v>11.84</v>
      </c>
      <c r="G1752" s="4">
        <v>3</v>
      </c>
      <c r="H1752" s="8">
        <v>5.66</v>
      </c>
      <c r="I1752" s="4">
        <v>0</v>
      </c>
    </row>
    <row r="1753" spans="1:9" x14ac:dyDescent="0.2">
      <c r="A1753" s="2">
        <v>6</v>
      </c>
      <c r="B1753" s="1" t="s">
        <v>116</v>
      </c>
      <c r="C1753" s="4">
        <v>11</v>
      </c>
      <c r="D1753" s="8">
        <v>8.2100000000000009</v>
      </c>
      <c r="E1753" s="4">
        <v>11</v>
      </c>
      <c r="F1753" s="8">
        <v>14.47</v>
      </c>
      <c r="G1753" s="4">
        <v>0</v>
      </c>
      <c r="H1753" s="8">
        <v>0</v>
      </c>
      <c r="I1753" s="4">
        <v>0</v>
      </c>
    </row>
    <row r="1754" spans="1:9" x14ac:dyDescent="0.2">
      <c r="A1754" s="2">
        <v>7</v>
      </c>
      <c r="B1754" s="1" t="s">
        <v>103</v>
      </c>
      <c r="C1754" s="4">
        <v>9</v>
      </c>
      <c r="D1754" s="8">
        <v>6.72</v>
      </c>
      <c r="E1754" s="4">
        <v>2</v>
      </c>
      <c r="F1754" s="8">
        <v>2.63</v>
      </c>
      <c r="G1754" s="4">
        <v>7</v>
      </c>
      <c r="H1754" s="8">
        <v>13.21</v>
      </c>
      <c r="I1754" s="4">
        <v>0</v>
      </c>
    </row>
    <row r="1755" spans="1:9" x14ac:dyDescent="0.2">
      <c r="A1755" s="2">
        <v>8</v>
      </c>
      <c r="B1755" s="1" t="s">
        <v>102</v>
      </c>
      <c r="C1755" s="4">
        <v>6</v>
      </c>
      <c r="D1755" s="8">
        <v>4.4800000000000004</v>
      </c>
      <c r="E1755" s="4">
        <v>4</v>
      </c>
      <c r="F1755" s="8">
        <v>5.26</v>
      </c>
      <c r="G1755" s="4">
        <v>2</v>
      </c>
      <c r="H1755" s="8">
        <v>3.77</v>
      </c>
      <c r="I1755" s="4">
        <v>0</v>
      </c>
    </row>
    <row r="1756" spans="1:9" x14ac:dyDescent="0.2">
      <c r="A1756" s="2">
        <v>8</v>
      </c>
      <c r="B1756" s="1" t="s">
        <v>109</v>
      </c>
      <c r="C1756" s="4">
        <v>6</v>
      </c>
      <c r="D1756" s="8">
        <v>4.4800000000000004</v>
      </c>
      <c r="E1756" s="4">
        <v>3</v>
      </c>
      <c r="F1756" s="8">
        <v>3.95</v>
      </c>
      <c r="G1756" s="4">
        <v>3</v>
      </c>
      <c r="H1756" s="8">
        <v>5.66</v>
      </c>
      <c r="I1756" s="4">
        <v>0</v>
      </c>
    </row>
    <row r="1757" spans="1:9" x14ac:dyDescent="0.2">
      <c r="A1757" s="2">
        <v>10</v>
      </c>
      <c r="B1757" s="1" t="s">
        <v>117</v>
      </c>
      <c r="C1757" s="4">
        <v>3</v>
      </c>
      <c r="D1757" s="8">
        <v>2.2400000000000002</v>
      </c>
      <c r="E1757" s="4">
        <v>1</v>
      </c>
      <c r="F1757" s="8">
        <v>1.32</v>
      </c>
      <c r="G1757" s="4">
        <v>1</v>
      </c>
      <c r="H1757" s="8">
        <v>1.89</v>
      </c>
      <c r="I1757" s="4">
        <v>0</v>
      </c>
    </row>
    <row r="1758" spans="1:9" x14ac:dyDescent="0.2">
      <c r="A1758" s="2">
        <v>11</v>
      </c>
      <c r="B1758" s="1" t="s">
        <v>142</v>
      </c>
      <c r="C1758" s="4">
        <v>2</v>
      </c>
      <c r="D1758" s="8">
        <v>1.49</v>
      </c>
      <c r="E1758" s="4">
        <v>0</v>
      </c>
      <c r="F1758" s="8">
        <v>0</v>
      </c>
      <c r="G1758" s="4">
        <v>2</v>
      </c>
      <c r="H1758" s="8">
        <v>3.77</v>
      </c>
      <c r="I1758" s="4">
        <v>0</v>
      </c>
    </row>
    <row r="1759" spans="1:9" x14ac:dyDescent="0.2">
      <c r="A1759" s="2">
        <v>11</v>
      </c>
      <c r="B1759" s="1" t="s">
        <v>139</v>
      </c>
      <c r="C1759" s="4">
        <v>2</v>
      </c>
      <c r="D1759" s="8">
        <v>1.49</v>
      </c>
      <c r="E1759" s="4">
        <v>0</v>
      </c>
      <c r="F1759" s="8">
        <v>0</v>
      </c>
      <c r="G1759" s="4">
        <v>0</v>
      </c>
      <c r="H1759" s="8">
        <v>0</v>
      </c>
      <c r="I1759" s="4">
        <v>0</v>
      </c>
    </row>
    <row r="1760" spans="1:9" x14ac:dyDescent="0.2">
      <c r="A1760" s="2">
        <v>11</v>
      </c>
      <c r="B1760" s="1" t="s">
        <v>111</v>
      </c>
      <c r="C1760" s="4">
        <v>2</v>
      </c>
      <c r="D1760" s="8">
        <v>1.49</v>
      </c>
      <c r="E1760" s="4">
        <v>1</v>
      </c>
      <c r="F1760" s="8">
        <v>1.32</v>
      </c>
      <c r="G1760" s="4">
        <v>1</v>
      </c>
      <c r="H1760" s="8">
        <v>1.89</v>
      </c>
      <c r="I1760" s="4">
        <v>0</v>
      </c>
    </row>
    <row r="1761" spans="1:9" x14ac:dyDescent="0.2">
      <c r="A1761" s="2">
        <v>11</v>
      </c>
      <c r="B1761" s="1" t="s">
        <v>112</v>
      </c>
      <c r="C1761" s="4">
        <v>2</v>
      </c>
      <c r="D1761" s="8">
        <v>1.49</v>
      </c>
      <c r="E1761" s="4">
        <v>1</v>
      </c>
      <c r="F1761" s="8">
        <v>1.32</v>
      </c>
      <c r="G1761" s="4">
        <v>1</v>
      </c>
      <c r="H1761" s="8">
        <v>1.89</v>
      </c>
      <c r="I1761" s="4">
        <v>0</v>
      </c>
    </row>
    <row r="1762" spans="1:9" x14ac:dyDescent="0.2">
      <c r="A1762" s="2">
        <v>11</v>
      </c>
      <c r="B1762" s="1" t="s">
        <v>113</v>
      </c>
      <c r="C1762" s="4">
        <v>2</v>
      </c>
      <c r="D1762" s="8">
        <v>1.49</v>
      </c>
      <c r="E1762" s="4">
        <v>2</v>
      </c>
      <c r="F1762" s="8">
        <v>2.63</v>
      </c>
      <c r="G1762" s="4">
        <v>0</v>
      </c>
      <c r="H1762" s="8">
        <v>0</v>
      </c>
      <c r="I1762" s="4">
        <v>0</v>
      </c>
    </row>
    <row r="1763" spans="1:9" x14ac:dyDescent="0.2">
      <c r="A1763" s="2">
        <v>16</v>
      </c>
      <c r="B1763" s="1" t="s">
        <v>127</v>
      </c>
      <c r="C1763" s="4">
        <v>1</v>
      </c>
      <c r="D1763" s="8">
        <v>0.75</v>
      </c>
      <c r="E1763" s="4">
        <v>0</v>
      </c>
      <c r="F1763" s="8">
        <v>0</v>
      </c>
      <c r="G1763" s="4">
        <v>1</v>
      </c>
      <c r="H1763" s="8">
        <v>1.89</v>
      </c>
      <c r="I1763" s="4">
        <v>0</v>
      </c>
    </row>
    <row r="1764" spans="1:9" x14ac:dyDescent="0.2">
      <c r="A1764" s="2">
        <v>16</v>
      </c>
      <c r="B1764" s="1" t="s">
        <v>137</v>
      </c>
      <c r="C1764" s="4">
        <v>1</v>
      </c>
      <c r="D1764" s="8">
        <v>0.75</v>
      </c>
      <c r="E1764" s="4">
        <v>0</v>
      </c>
      <c r="F1764" s="8">
        <v>0</v>
      </c>
      <c r="G1764" s="4">
        <v>1</v>
      </c>
      <c r="H1764" s="8">
        <v>1.89</v>
      </c>
      <c r="I1764" s="4">
        <v>0</v>
      </c>
    </row>
    <row r="1765" spans="1:9" x14ac:dyDescent="0.2">
      <c r="A1765" s="2">
        <v>16</v>
      </c>
      <c r="B1765" s="1" t="s">
        <v>161</v>
      </c>
      <c r="C1765" s="4">
        <v>1</v>
      </c>
      <c r="D1765" s="8">
        <v>0.75</v>
      </c>
      <c r="E1765" s="4">
        <v>0</v>
      </c>
      <c r="F1765" s="8">
        <v>0</v>
      </c>
      <c r="G1765" s="4">
        <v>1</v>
      </c>
      <c r="H1765" s="8">
        <v>1.89</v>
      </c>
      <c r="I1765" s="4">
        <v>0</v>
      </c>
    </row>
    <row r="1766" spans="1:9" x14ac:dyDescent="0.2">
      <c r="A1766" s="2">
        <v>16</v>
      </c>
      <c r="B1766" s="1" t="s">
        <v>135</v>
      </c>
      <c r="C1766" s="4">
        <v>1</v>
      </c>
      <c r="D1766" s="8">
        <v>0.75</v>
      </c>
      <c r="E1766" s="4">
        <v>0</v>
      </c>
      <c r="F1766" s="8">
        <v>0</v>
      </c>
      <c r="G1766" s="4">
        <v>1</v>
      </c>
      <c r="H1766" s="8">
        <v>1.89</v>
      </c>
      <c r="I1766" s="4">
        <v>0</v>
      </c>
    </row>
    <row r="1767" spans="1:9" x14ac:dyDescent="0.2">
      <c r="A1767" s="2">
        <v>16</v>
      </c>
      <c r="B1767" s="1" t="s">
        <v>146</v>
      </c>
      <c r="C1767" s="4">
        <v>1</v>
      </c>
      <c r="D1767" s="8">
        <v>0.75</v>
      </c>
      <c r="E1767" s="4">
        <v>0</v>
      </c>
      <c r="F1767" s="8">
        <v>0</v>
      </c>
      <c r="G1767" s="4">
        <v>1</v>
      </c>
      <c r="H1767" s="8">
        <v>1.89</v>
      </c>
      <c r="I1767" s="4">
        <v>0</v>
      </c>
    </row>
    <row r="1768" spans="1:9" x14ac:dyDescent="0.2">
      <c r="A1768" s="2">
        <v>16</v>
      </c>
      <c r="B1768" s="1" t="s">
        <v>171</v>
      </c>
      <c r="C1768" s="4">
        <v>1</v>
      </c>
      <c r="D1768" s="8">
        <v>0.75</v>
      </c>
      <c r="E1768" s="4">
        <v>0</v>
      </c>
      <c r="F1768" s="8">
        <v>0</v>
      </c>
      <c r="G1768" s="4">
        <v>1</v>
      </c>
      <c r="H1768" s="8">
        <v>1.89</v>
      </c>
      <c r="I1768" s="4">
        <v>0</v>
      </c>
    </row>
    <row r="1769" spans="1:9" x14ac:dyDescent="0.2">
      <c r="A1769" s="2">
        <v>16</v>
      </c>
      <c r="B1769" s="1" t="s">
        <v>125</v>
      </c>
      <c r="C1769" s="4">
        <v>1</v>
      </c>
      <c r="D1769" s="8">
        <v>0.75</v>
      </c>
      <c r="E1769" s="4">
        <v>0</v>
      </c>
      <c r="F1769" s="8">
        <v>0</v>
      </c>
      <c r="G1769" s="4">
        <v>1</v>
      </c>
      <c r="H1769" s="8">
        <v>1.89</v>
      </c>
      <c r="I1769" s="4">
        <v>0</v>
      </c>
    </row>
    <row r="1770" spans="1:9" x14ac:dyDescent="0.2">
      <c r="A1770" s="2">
        <v>16</v>
      </c>
      <c r="B1770" s="1" t="s">
        <v>122</v>
      </c>
      <c r="C1770" s="4">
        <v>1</v>
      </c>
      <c r="D1770" s="8">
        <v>0.75</v>
      </c>
      <c r="E1770" s="4">
        <v>0</v>
      </c>
      <c r="F1770" s="8">
        <v>0</v>
      </c>
      <c r="G1770" s="4">
        <v>1</v>
      </c>
      <c r="H1770" s="8">
        <v>1.89</v>
      </c>
      <c r="I1770" s="4">
        <v>0</v>
      </c>
    </row>
    <row r="1771" spans="1:9" x14ac:dyDescent="0.2">
      <c r="A1771" s="2">
        <v>16</v>
      </c>
      <c r="B1771" s="1" t="s">
        <v>133</v>
      </c>
      <c r="C1771" s="4">
        <v>1</v>
      </c>
      <c r="D1771" s="8">
        <v>0.75</v>
      </c>
      <c r="E1771" s="4">
        <v>1</v>
      </c>
      <c r="F1771" s="8">
        <v>1.32</v>
      </c>
      <c r="G1771" s="4">
        <v>0</v>
      </c>
      <c r="H1771" s="8">
        <v>0</v>
      </c>
      <c r="I1771" s="4">
        <v>0</v>
      </c>
    </row>
    <row r="1772" spans="1:9" x14ac:dyDescent="0.2">
      <c r="A1772" s="2">
        <v>16</v>
      </c>
      <c r="B1772" s="1" t="s">
        <v>123</v>
      </c>
      <c r="C1772" s="4">
        <v>1</v>
      </c>
      <c r="D1772" s="8">
        <v>0.75</v>
      </c>
      <c r="E1772" s="4">
        <v>0</v>
      </c>
      <c r="F1772" s="8">
        <v>0</v>
      </c>
      <c r="G1772" s="4">
        <v>1</v>
      </c>
      <c r="H1772" s="8">
        <v>1.89</v>
      </c>
      <c r="I1772" s="4">
        <v>0</v>
      </c>
    </row>
    <row r="1773" spans="1:9" x14ac:dyDescent="0.2">
      <c r="A1773" s="2">
        <v>16</v>
      </c>
      <c r="B1773" s="1" t="s">
        <v>118</v>
      </c>
      <c r="C1773" s="4">
        <v>1</v>
      </c>
      <c r="D1773" s="8">
        <v>0.75</v>
      </c>
      <c r="E1773" s="4">
        <v>1</v>
      </c>
      <c r="F1773" s="8">
        <v>1.32</v>
      </c>
      <c r="G1773" s="4">
        <v>0</v>
      </c>
      <c r="H1773" s="8">
        <v>0</v>
      </c>
      <c r="I1773" s="4">
        <v>0</v>
      </c>
    </row>
    <row r="1774" spans="1:9" x14ac:dyDescent="0.2">
      <c r="A1774" s="2">
        <v>16</v>
      </c>
      <c r="B1774" s="1" t="s">
        <v>120</v>
      </c>
      <c r="C1774" s="4">
        <v>1</v>
      </c>
      <c r="D1774" s="8">
        <v>0.75</v>
      </c>
      <c r="E1774" s="4">
        <v>0</v>
      </c>
      <c r="F1774" s="8">
        <v>0</v>
      </c>
      <c r="G1774" s="4">
        <v>1</v>
      </c>
      <c r="H1774" s="8">
        <v>1.89</v>
      </c>
      <c r="I1774" s="4">
        <v>0</v>
      </c>
    </row>
    <row r="1775" spans="1:9" x14ac:dyDescent="0.2">
      <c r="A1775" s="1"/>
      <c r="C1775" s="4"/>
      <c r="D1775" s="8"/>
      <c r="E1775" s="4"/>
      <c r="F1775" s="8"/>
      <c r="G1775" s="4"/>
      <c r="H1775" s="8"/>
      <c r="I1775" s="4"/>
    </row>
    <row r="1776" spans="1:9" x14ac:dyDescent="0.2">
      <c r="A1776" s="1" t="s">
        <v>73</v>
      </c>
      <c r="C1776" s="4"/>
      <c r="D1776" s="8"/>
      <c r="E1776" s="4"/>
      <c r="F1776" s="8"/>
      <c r="G1776" s="4"/>
      <c r="H1776" s="8"/>
      <c r="I1776" s="4"/>
    </row>
    <row r="1777" spans="1:9" x14ac:dyDescent="0.2">
      <c r="A1777" s="2">
        <v>1</v>
      </c>
      <c r="B1777" s="1" t="s">
        <v>114</v>
      </c>
      <c r="C1777" s="4">
        <v>163</v>
      </c>
      <c r="D1777" s="8">
        <v>50.62</v>
      </c>
      <c r="E1777" s="4">
        <v>138</v>
      </c>
      <c r="F1777" s="8">
        <v>62.44</v>
      </c>
      <c r="G1777" s="4">
        <v>25</v>
      </c>
      <c r="H1777" s="8">
        <v>27.47</v>
      </c>
      <c r="I1777" s="4">
        <v>0</v>
      </c>
    </row>
    <row r="1778" spans="1:9" x14ac:dyDescent="0.2">
      <c r="A1778" s="2">
        <v>2</v>
      </c>
      <c r="B1778" s="1" t="s">
        <v>115</v>
      </c>
      <c r="C1778" s="4">
        <v>41</v>
      </c>
      <c r="D1778" s="8">
        <v>12.73</v>
      </c>
      <c r="E1778" s="4">
        <v>34</v>
      </c>
      <c r="F1778" s="8">
        <v>15.38</v>
      </c>
      <c r="G1778" s="4">
        <v>6</v>
      </c>
      <c r="H1778" s="8">
        <v>6.59</v>
      </c>
      <c r="I1778" s="4">
        <v>0</v>
      </c>
    </row>
    <row r="1779" spans="1:9" x14ac:dyDescent="0.2">
      <c r="A1779" s="2">
        <v>3</v>
      </c>
      <c r="B1779" s="1" t="s">
        <v>110</v>
      </c>
      <c r="C1779" s="4">
        <v>23</v>
      </c>
      <c r="D1779" s="8">
        <v>7.14</v>
      </c>
      <c r="E1779" s="4">
        <v>8</v>
      </c>
      <c r="F1779" s="8">
        <v>3.62</v>
      </c>
      <c r="G1779" s="4">
        <v>15</v>
      </c>
      <c r="H1779" s="8">
        <v>16.48</v>
      </c>
      <c r="I1779" s="4">
        <v>0</v>
      </c>
    </row>
    <row r="1780" spans="1:9" x14ac:dyDescent="0.2">
      <c r="A1780" s="2">
        <v>4</v>
      </c>
      <c r="B1780" s="1" t="s">
        <v>108</v>
      </c>
      <c r="C1780" s="4">
        <v>11</v>
      </c>
      <c r="D1780" s="8">
        <v>3.42</v>
      </c>
      <c r="E1780" s="4">
        <v>4</v>
      </c>
      <c r="F1780" s="8">
        <v>1.81</v>
      </c>
      <c r="G1780" s="4">
        <v>6</v>
      </c>
      <c r="H1780" s="8">
        <v>6.59</v>
      </c>
      <c r="I1780" s="4">
        <v>1</v>
      </c>
    </row>
    <row r="1781" spans="1:9" x14ac:dyDescent="0.2">
      <c r="A1781" s="2">
        <v>5</v>
      </c>
      <c r="B1781" s="1" t="s">
        <v>101</v>
      </c>
      <c r="C1781" s="4">
        <v>9</v>
      </c>
      <c r="D1781" s="8">
        <v>2.8</v>
      </c>
      <c r="E1781" s="4">
        <v>3</v>
      </c>
      <c r="F1781" s="8">
        <v>1.36</v>
      </c>
      <c r="G1781" s="4">
        <v>6</v>
      </c>
      <c r="H1781" s="8">
        <v>6.59</v>
      </c>
      <c r="I1781" s="4">
        <v>0</v>
      </c>
    </row>
    <row r="1782" spans="1:9" x14ac:dyDescent="0.2">
      <c r="A1782" s="2">
        <v>5</v>
      </c>
      <c r="B1782" s="1" t="s">
        <v>116</v>
      </c>
      <c r="C1782" s="4">
        <v>9</v>
      </c>
      <c r="D1782" s="8">
        <v>2.8</v>
      </c>
      <c r="E1782" s="4">
        <v>9</v>
      </c>
      <c r="F1782" s="8">
        <v>4.07</v>
      </c>
      <c r="G1782" s="4">
        <v>0</v>
      </c>
      <c r="H1782" s="8">
        <v>0</v>
      </c>
      <c r="I1782" s="4">
        <v>0</v>
      </c>
    </row>
    <row r="1783" spans="1:9" x14ac:dyDescent="0.2">
      <c r="A1783" s="2">
        <v>7</v>
      </c>
      <c r="B1783" s="1" t="s">
        <v>102</v>
      </c>
      <c r="C1783" s="4">
        <v>8</v>
      </c>
      <c r="D1783" s="8">
        <v>2.48</v>
      </c>
      <c r="E1783" s="4">
        <v>5</v>
      </c>
      <c r="F1783" s="8">
        <v>2.2599999999999998</v>
      </c>
      <c r="G1783" s="4">
        <v>3</v>
      </c>
      <c r="H1783" s="8">
        <v>3.3</v>
      </c>
      <c r="I1783" s="4">
        <v>0</v>
      </c>
    </row>
    <row r="1784" spans="1:9" x14ac:dyDescent="0.2">
      <c r="A1784" s="2">
        <v>8</v>
      </c>
      <c r="B1784" s="1" t="s">
        <v>117</v>
      </c>
      <c r="C1784" s="4">
        <v>6</v>
      </c>
      <c r="D1784" s="8">
        <v>1.86</v>
      </c>
      <c r="E1784" s="4">
        <v>2</v>
      </c>
      <c r="F1784" s="8">
        <v>0.9</v>
      </c>
      <c r="G1784" s="4">
        <v>2</v>
      </c>
      <c r="H1784" s="8">
        <v>2.2000000000000002</v>
      </c>
      <c r="I1784" s="4">
        <v>0</v>
      </c>
    </row>
    <row r="1785" spans="1:9" x14ac:dyDescent="0.2">
      <c r="A1785" s="2">
        <v>9</v>
      </c>
      <c r="B1785" s="1" t="s">
        <v>125</v>
      </c>
      <c r="C1785" s="4">
        <v>5</v>
      </c>
      <c r="D1785" s="8">
        <v>1.55</v>
      </c>
      <c r="E1785" s="4">
        <v>1</v>
      </c>
      <c r="F1785" s="8">
        <v>0.45</v>
      </c>
      <c r="G1785" s="4">
        <v>4</v>
      </c>
      <c r="H1785" s="8">
        <v>4.4000000000000004</v>
      </c>
      <c r="I1785" s="4">
        <v>0</v>
      </c>
    </row>
    <row r="1786" spans="1:9" x14ac:dyDescent="0.2">
      <c r="A1786" s="2">
        <v>10</v>
      </c>
      <c r="B1786" s="1" t="s">
        <v>103</v>
      </c>
      <c r="C1786" s="4">
        <v>4</v>
      </c>
      <c r="D1786" s="8">
        <v>1.24</v>
      </c>
      <c r="E1786" s="4">
        <v>1</v>
      </c>
      <c r="F1786" s="8">
        <v>0.45</v>
      </c>
      <c r="G1786" s="4">
        <v>3</v>
      </c>
      <c r="H1786" s="8">
        <v>3.3</v>
      </c>
      <c r="I1786" s="4">
        <v>0</v>
      </c>
    </row>
    <row r="1787" spans="1:9" x14ac:dyDescent="0.2">
      <c r="A1787" s="2">
        <v>10</v>
      </c>
      <c r="B1787" s="1" t="s">
        <v>107</v>
      </c>
      <c r="C1787" s="4">
        <v>4</v>
      </c>
      <c r="D1787" s="8">
        <v>1.24</v>
      </c>
      <c r="E1787" s="4">
        <v>3</v>
      </c>
      <c r="F1787" s="8">
        <v>1.36</v>
      </c>
      <c r="G1787" s="4">
        <v>1</v>
      </c>
      <c r="H1787" s="8">
        <v>1.1000000000000001</v>
      </c>
      <c r="I1787" s="4">
        <v>0</v>
      </c>
    </row>
    <row r="1788" spans="1:9" x14ac:dyDescent="0.2">
      <c r="A1788" s="2">
        <v>10</v>
      </c>
      <c r="B1788" s="1" t="s">
        <v>153</v>
      </c>
      <c r="C1788" s="4">
        <v>4</v>
      </c>
      <c r="D1788" s="8">
        <v>1.24</v>
      </c>
      <c r="E1788" s="4">
        <v>1</v>
      </c>
      <c r="F1788" s="8">
        <v>0.45</v>
      </c>
      <c r="G1788" s="4">
        <v>3</v>
      </c>
      <c r="H1788" s="8">
        <v>3.3</v>
      </c>
      <c r="I1788" s="4">
        <v>0</v>
      </c>
    </row>
    <row r="1789" spans="1:9" x14ac:dyDescent="0.2">
      <c r="A1789" s="2">
        <v>13</v>
      </c>
      <c r="B1789" s="1" t="s">
        <v>127</v>
      </c>
      <c r="C1789" s="4">
        <v>3</v>
      </c>
      <c r="D1789" s="8">
        <v>0.93</v>
      </c>
      <c r="E1789" s="4">
        <v>0</v>
      </c>
      <c r="F1789" s="8">
        <v>0</v>
      </c>
      <c r="G1789" s="4">
        <v>2</v>
      </c>
      <c r="H1789" s="8">
        <v>2.2000000000000002</v>
      </c>
      <c r="I1789" s="4">
        <v>1</v>
      </c>
    </row>
    <row r="1790" spans="1:9" x14ac:dyDescent="0.2">
      <c r="A1790" s="2">
        <v>13</v>
      </c>
      <c r="B1790" s="1" t="s">
        <v>111</v>
      </c>
      <c r="C1790" s="4">
        <v>3</v>
      </c>
      <c r="D1790" s="8">
        <v>0.93</v>
      </c>
      <c r="E1790" s="4">
        <v>0</v>
      </c>
      <c r="F1790" s="8">
        <v>0</v>
      </c>
      <c r="G1790" s="4">
        <v>2</v>
      </c>
      <c r="H1790" s="8">
        <v>2.2000000000000002</v>
      </c>
      <c r="I1790" s="4">
        <v>0</v>
      </c>
    </row>
    <row r="1791" spans="1:9" x14ac:dyDescent="0.2">
      <c r="A1791" s="2">
        <v>13</v>
      </c>
      <c r="B1791" s="1" t="s">
        <v>113</v>
      </c>
      <c r="C1791" s="4">
        <v>3</v>
      </c>
      <c r="D1791" s="8">
        <v>0.93</v>
      </c>
      <c r="E1791" s="4">
        <v>2</v>
      </c>
      <c r="F1791" s="8">
        <v>0.9</v>
      </c>
      <c r="G1791" s="4">
        <v>1</v>
      </c>
      <c r="H1791" s="8">
        <v>1.1000000000000001</v>
      </c>
      <c r="I1791" s="4">
        <v>0</v>
      </c>
    </row>
    <row r="1792" spans="1:9" x14ac:dyDescent="0.2">
      <c r="A1792" s="2">
        <v>13</v>
      </c>
      <c r="B1792" s="1" t="s">
        <v>132</v>
      </c>
      <c r="C1792" s="4">
        <v>3</v>
      </c>
      <c r="D1792" s="8">
        <v>0.93</v>
      </c>
      <c r="E1792" s="4">
        <v>2</v>
      </c>
      <c r="F1792" s="8">
        <v>0.9</v>
      </c>
      <c r="G1792" s="4">
        <v>1</v>
      </c>
      <c r="H1792" s="8">
        <v>1.1000000000000001</v>
      </c>
      <c r="I1792" s="4">
        <v>0</v>
      </c>
    </row>
    <row r="1793" spans="1:9" x14ac:dyDescent="0.2">
      <c r="A1793" s="2">
        <v>13</v>
      </c>
      <c r="B1793" s="1" t="s">
        <v>119</v>
      </c>
      <c r="C1793" s="4">
        <v>3</v>
      </c>
      <c r="D1793" s="8">
        <v>0.93</v>
      </c>
      <c r="E1793" s="4">
        <v>0</v>
      </c>
      <c r="F1793" s="8">
        <v>0</v>
      </c>
      <c r="G1793" s="4">
        <v>2</v>
      </c>
      <c r="H1793" s="8">
        <v>2.2000000000000002</v>
      </c>
      <c r="I1793" s="4">
        <v>0</v>
      </c>
    </row>
    <row r="1794" spans="1:9" x14ac:dyDescent="0.2">
      <c r="A1794" s="2">
        <v>18</v>
      </c>
      <c r="B1794" s="1" t="s">
        <v>137</v>
      </c>
      <c r="C1794" s="4">
        <v>2</v>
      </c>
      <c r="D1794" s="8">
        <v>0.62</v>
      </c>
      <c r="E1794" s="4">
        <v>2</v>
      </c>
      <c r="F1794" s="8">
        <v>0.9</v>
      </c>
      <c r="G1794" s="4">
        <v>0</v>
      </c>
      <c r="H1794" s="8">
        <v>0</v>
      </c>
      <c r="I1794" s="4">
        <v>0</v>
      </c>
    </row>
    <row r="1795" spans="1:9" x14ac:dyDescent="0.2">
      <c r="A1795" s="2">
        <v>18</v>
      </c>
      <c r="B1795" s="1" t="s">
        <v>156</v>
      </c>
      <c r="C1795" s="4">
        <v>2</v>
      </c>
      <c r="D1795" s="8">
        <v>0.62</v>
      </c>
      <c r="E1795" s="4">
        <v>0</v>
      </c>
      <c r="F1795" s="8">
        <v>0</v>
      </c>
      <c r="G1795" s="4">
        <v>2</v>
      </c>
      <c r="H1795" s="8">
        <v>2.2000000000000002</v>
      </c>
      <c r="I1795" s="4">
        <v>0</v>
      </c>
    </row>
    <row r="1796" spans="1:9" x14ac:dyDescent="0.2">
      <c r="A1796" s="2">
        <v>18</v>
      </c>
      <c r="B1796" s="1" t="s">
        <v>139</v>
      </c>
      <c r="C1796" s="4">
        <v>2</v>
      </c>
      <c r="D1796" s="8">
        <v>0.62</v>
      </c>
      <c r="E1796" s="4">
        <v>0</v>
      </c>
      <c r="F1796" s="8">
        <v>0</v>
      </c>
      <c r="G1796" s="4">
        <v>0</v>
      </c>
      <c r="H1796" s="8">
        <v>0</v>
      </c>
      <c r="I1796" s="4">
        <v>0</v>
      </c>
    </row>
    <row r="1797" spans="1:9" x14ac:dyDescent="0.2">
      <c r="A1797" s="2">
        <v>18</v>
      </c>
      <c r="B1797" s="1" t="s">
        <v>140</v>
      </c>
      <c r="C1797" s="4">
        <v>2</v>
      </c>
      <c r="D1797" s="8">
        <v>0.62</v>
      </c>
      <c r="E1797" s="4">
        <v>0</v>
      </c>
      <c r="F1797" s="8">
        <v>0</v>
      </c>
      <c r="G1797" s="4">
        <v>2</v>
      </c>
      <c r="H1797" s="8">
        <v>2.2000000000000002</v>
      </c>
      <c r="I1797" s="4">
        <v>0</v>
      </c>
    </row>
    <row r="1798" spans="1:9" x14ac:dyDescent="0.2">
      <c r="A1798" s="2">
        <v>18</v>
      </c>
      <c r="B1798" s="1" t="s">
        <v>109</v>
      </c>
      <c r="C1798" s="4">
        <v>2</v>
      </c>
      <c r="D1798" s="8">
        <v>0.62</v>
      </c>
      <c r="E1798" s="4">
        <v>2</v>
      </c>
      <c r="F1798" s="8">
        <v>0.9</v>
      </c>
      <c r="G1798" s="4">
        <v>0</v>
      </c>
      <c r="H1798" s="8">
        <v>0</v>
      </c>
      <c r="I1798" s="4">
        <v>0</v>
      </c>
    </row>
    <row r="1799" spans="1:9" x14ac:dyDescent="0.2">
      <c r="A1799" s="2">
        <v>18</v>
      </c>
      <c r="B1799" s="1" t="s">
        <v>129</v>
      </c>
      <c r="C1799" s="4">
        <v>2</v>
      </c>
      <c r="D1799" s="8">
        <v>0.62</v>
      </c>
      <c r="E1799" s="4">
        <v>1</v>
      </c>
      <c r="F1799" s="8">
        <v>0.45</v>
      </c>
      <c r="G1799" s="4">
        <v>1</v>
      </c>
      <c r="H1799" s="8">
        <v>1.1000000000000001</v>
      </c>
      <c r="I1799" s="4">
        <v>0</v>
      </c>
    </row>
    <row r="1800" spans="1:9" x14ac:dyDescent="0.2">
      <c r="A1800" s="1"/>
      <c r="C1800" s="4"/>
      <c r="D1800" s="8"/>
      <c r="E1800" s="4"/>
      <c r="F1800" s="8"/>
      <c r="G1800" s="4"/>
      <c r="H1800" s="8"/>
      <c r="I1800" s="4"/>
    </row>
    <row r="1801" spans="1:9" x14ac:dyDescent="0.2">
      <c r="A1801" s="1" t="s">
        <v>74</v>
      </c>
      <c r="C1801" s="4"/>
      <c r="D1801" s="8"/>
      <c r="E1801" s="4"/>
      <c r="F1801" s="8"/>
      <c r="G1801" s="4"/>
      <c r="H1801" s="8"/>
      <c r="I1801" s="4"/>
    </row>
    <row r="1802" spans="1:9" x14ac:dyDescent="0.2">
      <c r="A1802" s="2">
        <v>1</v>
      </c>
      <c r="B1802" s="1" t="s">
        <v>114</v>
      </c>
      <c r="C1802" s="4">
        <v>45</v>
      </c>
      <c r="D1802" s="8">
        <v>16.48</v>
      </c>
      <c r="E1802" s="4">
        <v>36</v>
      </c>
      <c r="F1802" s="8">
        <v>22.5</v>
      </c>
      <c r="G1802" s="4">
        <v>9</v>
      </c>
      <c r="H1802" s="8">
        <v>8.49</v>
      </c>
      <c r="I1802" s="4">
        <v>0</v>
      </c>
    </row>
    <row r="1803" spans="1:9" x14ac:dyDescent="0.2">
      <c r="A1803" s="2">
        <v>2</v>
      </c>
      <c r="B1803" s="1" t="s">
        <v>115</v>
      </c>
      <c r="C1803" s="4">
        <v>32</v>
      </c>
      <c r="D1803" s="8">
        <v>11.72</v>
      </c>
      <c r="E1803" s="4">
        <v>24</v>
      </c>
      <c r="F1803" s="8">
        <v>15</v>
      </c>
      <c r="G1803" s="4">
        <v>8</v>
      </c>
      <c r="H1803" s="8">
        <v>7.55</v>
      </c>
      <c r="I1803" s="4">
        <v>0</v>
      </c>
    </row>
    <row r="1804" spans="1:9" x14ac:dyDescent="0.2">
      <c r="A1804" s="2">
        <v>3</v>
      </c>
      <c r="B1804" s="1" t="s">
        <v>101</v>
      </c>
      <c r="C1804" s="4">
        <v>28</v>
      </c>
      <c r="D1804" s="8">
        <v>10.26</v>
      </c>
      <c r="E1804" s="4">
        <v>5</v>
      </c>
      <c r="F1804" s="8">
        <v>3.13</v>
      </c>
      <c r="G1804" s="4">
        <v>23</v>
      </c>
      <c r="H1804" s="8">
        <v>21.7</v>
      </c>
      <c r="I1804" s="4">
        <v>0</v>
      </c>
    </row>
    <row r="1805" spans="1:9" x14ac:dyDescent="0.2">
      <c r="A1805" s="2">
        <v>4</v>
      </c>
      <c r="B1805" s="1" t="s">
        <v>110</v>
      </c>
      <c r="C1805" s="4">
        <v>19</v>
      </c>
      <c r="D1805" s="8">
        <v>6.96</v>
      </c>
      <c r="E1805" s="4">
        <v>14</v>
      </c>
      <c r="F1805" s="8">
        <v>8.75</v>
      </c>
      <c r="G1805" s="4">
        <v>5</v>
      </c>
      <c r="H1805" s="8">
        <v>4.72</v>
      </c>
      <c r="I1805" s="4">
        <v>0</v>
      </c>
    </row>
    <row r="1806" spans="1:9" x14ac:dyDescent="0.2">
      <c r="A1806" s="2">
        <v>5</v>
      </c>
      <c r="B1806" s="1" t="s">
        <v>116</v>
      </c>
      <c r="C1806" s="4">
        <v>18</v>
      </c>
      <c r="D1806" s="8">
        <v>6.59</v>
      </c>
      <c r="E1806" s="4">
        <v>14</v>
      </c>
      <c r="F1806" s="8">
        <v>8.75</v>
      </c>
      <c r="G1806" s="4">
        <v>4</v>
      </c>
      <c r="H1806" s="8">
        <v>3.77</v>
      </c>
      <c r="I1806" s="4">
        <v>0</v>
      </c>
    </row>
    <row r="1807" spans="1:9" x14ac:dyDescent="0.2">
      <c r="A1807" s="2">
        <v>6</v>
      </c>
      <c r="B1807" s="1" t="s">
        <v>108</v>
      </c>
      <c r="C1807" s="4">
        <v>14</v>
      </c>
      <c r="D1807" s="8">
        <v>5.13</v>
      </c>
      <c r="E1807" s="4">
        <v>10</v>
      </c>
      <c r="F1807" s="8">
        <v>6.25</v>
      </c>
      <c r="G1807" s="4">
        <v>4</v>
      </c>
      <c r="H1807" s="8">
        <v>3.77</v>
      </c>
      <c r="I1807" s="4">
        <v>0</v>
      </c>
    </row>
    <row r="1808" spans="1:9" x14ac:dyDescent="0.2">
      <c r="A1808" s="2">
        <v>7</v>
      </c>
      <c r="B1808" s="1" t="s">
        <v>102</v>
      </c>
      <c r="C1808" s="4">
        <v>13</v>
      </c>
      <c r="D1808" s="8">
        <v>4.76</v>
      </c>
      <c r="E1808" s="4">
        <v>11</v>
      </c>
      <c r="F1808" s="8">
        <v>6.88</v>
      </c>
      <c r="G1808" s="4">
        <v>2</v>
      </c>
      <c r="H1808" s="8">
        <v>1.89</v>
      </c>
      <c r="I1808" s="4">
        <v>0</v>
      </c>
    </row>
    <row r="1809" spans="1:9" x14ac:dyDescent="0.2">
      <c r="A1809" s="2">
        <v>8</v>
      </c>
      <c r="B1809" s="1" t="s">
        <v>104</v>
      </c>
      <c r="C1809" s="4">
        <v>9</v>
      </c>
      <c r="D1809" s="8">
        <v>3.3</v>
      </c>
      <c r="E1809" s="4">
        <v>7</v>
      </c>
      <c r="F1809" s="8">
        <v>4.38</v>
      </c>
      <c r="G1809" s="4">
        <v>2</v>
      </c>
      <c r="H1809" s="8">
        <v>1.89</v>
      </c>
      <c r="I1809" s="4">
        <v>0</v>
      </c>
    </row>
    <row r="1810" spans="1:9" x14ac:dyDescent="0.2">
      <c r="A1810" s="2">
        <v>8</v>
      </c>
      <c r="B1810" s="1" t="s">
        <v>109</v>
      </c>
      <c r="C1810" s="4">
        <v>9</v>
      </c>
      <c r="D1810" s="8">
        <v>3.3</v>
      </c>
      <c r="E1810" s="4">
        <v>6</v>
      </c>
      <c r="F1810" s="8">
        <v>3.75</v>
      </c>
      <c r="G1810" s="4">
        <v>3</v>
      </c>
      <c r="H1810" s="8">
        <v>2.83</v>
      </c>
      <c r="I1810" s="4">
        <v>0</v>
      </c>
    </row>
    <row r="1811" spans="1:9" x14ac:dyDescent="0.2">
      <c r="A1811" s="2">
        <v>8</v>
      </c>
      <c r="B1811" s="1" t="s">
        <v>117</v>
      </c>
      <c r="C1811" s="4">
        <v>9</v>
      </c>
      <c r="D1811" s="8">
        <v>3.3</v>
      </c>
      <c r="E1811" s="4">
        <v>4</v>
      </c>
      <c r="F1811" s="8">
        <v>2.5</v>
      </c>
      <c r="G1811" s="4">
        <v>2</v>
      </c>
      <c r="H1811" s="8">
        <v>1.89</v>
      </c>
      <c r="I1811" s="4">
        <v>0</v>
      </c>
    </row>
    <row r="1812" spans="1:9" x14ac:dyDescent="0.2">
      <c r="A1812" s="2">
        <v>11</v>
      </c>
      <c r="B1812" s="1" t="s">
        <v>103</v>
      </c>
      <c r="C1812" s="4">
        <v>8</v>
      </c>
      <c r="D1812" s="8">
        <v>2.93</v>
      </c>
      <c r="E1812" s="4">
        <v>3</v>
      </c>
      <c r="F1812" s="8">
        <v>1.88</v>
      </c>
      <c r="G1812" s="4">
        <v>5</v>
      </c>
      <c r="H1812" s="8">
        <v>4.72</v>
      </c>
      <c r="I1812" s="4">
        <v>0</v>
      </c>
    </row>
    <row r="1813" spans="1:9" x14ac:dyDescent="0.2">
      <c r="A1813" s="2">
        <v>11</v>
      </c>
      <c r="B1813" s="1" t="s">
        <v>113</v>
      </c>
      <c r="C1813" s="4">
        <v>8</v>
      </c>
      <c r="D1813" s="8">
        <v>2.93</v>
      </c>
      <c r="E1813" s="4">
        <v>3</v>
      </c>
      <c r="F1813" s="8">
        <v>1.88</v>
      </c>
      <c r="G1813" s="4">
        <v>5</v>
      </c>
      <c r="H1813" s="8">
        <v>4.72</v>
      </c>
      <c r="I1813" s="4">
        <v>0</v>
      </c>
    </row>
    <row r="1814" spans="1:9" x14ac:dyDescent="0.2">
      <c r="A1814" s="2">
        <v>13</v>
      </c>
      <c r="B1814" s="1" t="s">
        <v>107</v>
      </c>
      <c r="C1814" s="4">
        <v>7</v>
      </c>
      <c r="D1814" s="8">
        <v>2.56</v>
      </c>
      <c r="E1814" s="4">
        <v>5</v>
      </c>
      <c r="F1814" s="8">
        <v>3.13</v>
      </c>
      <c r="G1814" s="4">
        <v>2</v>
      </c>
      <c r="H1814" s="8">
        <v>1.89</v>
      </c>
      <c r="I1814" s="4">
        <v>0</v>
      </c>
    </row>
    <row r="1815" spans="1:9" x14ac:dyDescent="0.2">
      <c r="A1815" s="2">
        <v>14</v>
      </c>
      <c r="B1815" s="1" t="s">
        <v>112</v>
      </c>
      <c r="C1815" s="4">
        <v>6</v>
      </c>
      <c r="D1815" s="8">
        <v>2.2000000000000002</v>
      </c>
      <c r="E1815" s="4">
        <v>4</v>
      </c>
      <c r="F1815" s="8">
        <v>2.5</v>
      </c>
      <c r="G1815" s="4">
        <v>2</v>
      </c>
      <c r="H1815" s="8">
        <v>1.89</v>
      </c>
      <c r="I1815" s="4">
        <v>0</v>
      </c>
    </row>
    <row r="1816" spans="1:9" x14ac:dyDescent="0.2">
      <c r="A1816" s="2">
        <v>15</v>
      </c>
      <c r="B1816" s="1" t="s">
        <v>118</v>
      </c>
      <c r="C1816" s="4">
        <v>5</v>
      </c>
      <c r="D1816" s="8">
        <v>1.83</v>
      </c>
      <c r="E1816" s="4">
        <v>4</v>
      </c>
      <c r="F1816" s="8">
        <v>2.5</v>
      </c>
      <c r="G1816" s="4">
        <v>1</v>
      </c>
      <c r="H1816" s="8">
        <v>0.94</v>
      </c>
      <c r="I1816" s="4">
        <v>0</v>
      </c>
    </row>
    <row r="1817" spans="1:9" x14ac:dyDescent="0.2">
      <c r="A1817" s="2">
        <v>16</v>
      </c>
      <c r="B1817" s="1" t="s">
        <v>127</v>
      </c>
      <c r="C1817" s="4">
        <v>4</v>
      </c>
      <c r="D1817" s="8">
        <v>1.47</v>
      </c>
      <c r="E1817" s="4">
        <v>1</v>
      </c>
      <c r="F1817" s="8">
        <v>0.63</v>
      </c>
      <c r="G1817" s="4">
        <v>3</v>
      </c>
      <c r="H1817" s="8">
        <v>2.83</v>
      </c>
      <c r="I1817" s="4">
        <v>0</v>
      </c>
    </row>
    <row r="1818" spans="1:9" x14ac:dyDescent="0.2">
      <c r="A1818" s="2">
        <v>16</v>
      </c>
      <c r="B1818" s="1" t="s">
        <v>122</v>
      </c>
      <c r="C1818" s="4">
        <v>4</v>
      </c>
      <c r="D1818" s="8">
        <v>1.47</v>
      </c>
      <c r="E1818" s="4">
        <v>0</v>
      </c>
      <c r="F1818" s="8">
        <v>0</v>
      </c>
      <c r="G1818" s="4">
        <v>4</v>
      </c>
      <c r="H1818" s="8">
        <v>3.77</v>
      </c>
      <c r="I1818" s="4">
        <v>0</v>
      </c>
    </row>
    <row r="1819" spans="1:9" x14ac:dyDescent="0.2">
      <c r="A1819" s="2">
        <v>18</v>
      </c>
      <c r="B1819" s="1" t="s">
        <v>137</v>
      </c>
      <c r="C1819" s="4">
        <v>3</v>
      </c>
      <c r="D1819" s="8">
        <v>1.1000000000000001</v>
      </c>
      <c r="E1819" s="4">
        <v>1</v>
      </c>
      <c r="F1819" s="8">
        <v>0.63</v>
      </c>
      <c r="G1819" s="4">
        <v>2</v>
      </c>
      <c r="H1819" s="8">
        <v>1.89</v>
      </c>
      <c r="I1819" s="4">
        <v>0</v>
      </c>
    </row>
    <row r="1820" spans="1:9" x14ac:dyDescent="0.2">
      <c r="A1820" s="2">
        <v>18</v>
      </c>
      <c r="B1820" s="1" t="s">
        <v>111</v>
      </c>
      <c r="C1820" s="4">
        <v>3</v>
      </c>
      <c r="D1820" s="8">
        <v>1.1000000000000001</v>
      </c>
      <c r="E1820" s="4">
        <v>0</v>
      </c>
      <c r="F1820" s="8">
        <v>0</v>
      </c>
      <c r="G1820" s="4">
        <v>3</v>
      </c>
      <c r="H1820" s="8">
        <v>2.83</v>
      </c>
      <c r="I1820" s="4">
        <v>0</v>
      </c>
    </row>
    <row r="1821" spans="1:9" x14ac:dyDescent="0.2">
      <c r="A1821" s="2">
        <v>18</v>
      </c>
      <c r="B1821" s="1" t="s">
        <v>132</v>
      </c>
      <c r="C1821" s="4">
        <v>3</v>
      </c>
      <c r="D1821" s="8">
        <v>1.1000000000000001</v>
      </c>
      <c r="E1821" s="4">
        <v>2</v>
      </c>
      <c r="F1821" s="8">
        <v>1.25</v>
      </c>
      <c r="G1821" s="4">
        <v>1</v>
      </c>
      <c r="H1821" s="8">
        <v>0.94</v>
      </c>
      <c r="I1821" s="4">
        <v>0</v>
      </c>
    </row>
    <row r="1822" spans="1:9" x14ac:dyDescent="0.2">
      <c r="A1822" s="2">
        <v>18</v>
      </c>
      <c r="B1822" s="1" t="s">
        <v>119</v>
      </c>
      <c r="C1822" s="4">
        <v>3</v>
      </c>
      <c r="D1822" s="8">
        <v>1.1000000000000001</v>
      </c>
      <c r="E1822" s="4">
        <v>0</v>
      </c>
      <c r="F1822" s="8">
        <v>0</v>
      </c>
      <c r="G1822" s="4">
        <v>1</v>
      </c>
      <c r="H1822" s="8">
        <v>0.94</v>
      </c>
      <c r="I1822" s="4">
        <v>0</v>
      </c>
    </row>
    <row r="1823" spans="1:9" x14ac:dyDescent="0.2">
      <c r="A1823" s="2">
        <v>18</v>
      </c>
      <c r="B1823" s="1" t="s">
        <v>120</v>
      </c>
      <c r="C1823" s="4">
        <v>3</v>
      </c>
      <c r="D1823" s="8">
        <v>1.1000000000000001</v>
      </c>
      <c r="E1823" s="4">
        <v>2</v>
      </c>
      <c r="F1823" s="8">
        <v>1.25</v>
      </c>
      <c r="G1823" s="4">
        <v>1</v>
      </c>
      <c r="H1823" s="8">
        <v>0.94</v>
      </c>
      <c r="I1823" s="4">
        <v>0</v>
      </c>
    </row>
    <row r="1824" spans="1:9" x14ac:dyDescent="0.2">
      <c r="A1824" s="1"/>
      <c r="C1824" s="4"/>
      <c r="D1824" s="8"/>
      <c r="E1824" s="4"/>
      <c r="F1824" s="8"/>
      <c r="G1824" s="4"/>
      <c r="H1824" s="8"/>
      <c r="I1824" s="4"/>
    </row>
    <row r="1825" spans="1:9" x14ac:dyDescent="0.2">
      <c r="A1825" s="1" t="s">
        <v>75</v>
      </c>
      <c r="C1825" s="4"/>
      <c r="D1825" s="8"/>
      <c r="E1825" s="4"/>
      <c r="F1825" s="8"/>
      <c r="G1825" s="4"/>
      <c r="H1825" s="8"/>
      <c r="I1825" s="4"/>
    </row>
    <row r="1826" spans="1:9" x14ac:dyDescent="0.2">
      <c r="A1826" s="2">
        <v>1</v>
      </c>
      <c r="B1826" s="1" t="s">
        <v>101</v>
      </c>
      <c r="C1826" s="4">
        <v>14</v>
      </c>
      <c r="D1826" s="8">
        <v>15.56</v>
      </c>
      <c r="E1826" s="4">
        <v>3</v>
      </c>
      <c r="F1826" s="8">
        <v>5.36</v>
      </c>
      <c r="G1826" s="4">
        <v>11</v>
      </c>
      <c r="H1826" s="8">
        <v>39.29</v>
      </c>
      <c r="I1826" s="4">
        <v>0</v>
      </c>
    </row>
    <row r="1827" spans="1:9" x14ac:dyDescent="0.2">
      <c r="A1827" s="2">
        <v>2</v>
      </c>
      <c r="B1827" s="1" t="s">
        <v>110</v>
      </c>
      <c r="C1827" s="4">
        <v>11</v>
      </c>
      <c r="D1827" s="8">
        <v>12.22</v>
      </c>
      <c r="E1827" s="4">
        <v>8</v>
      </c>
      <c r="F1827" s="8">
        <v>14.29</v>
      </c>
      <c r="G1827" s="4">
        <v>3</v>
      </c>
      <c r="H1827" s="8">
        <v>10.71</v>
      </c>
      <c r="I1827" s="4">
        <v>0</v>
      </c>
    </row>
    <row r="1828" spans="1:9" x14ac:dyDescent="0.2">
      <c r="A1828" s="2">
        <v>3</v>
      </c>
      <c r="B1828" s="1" t="s">
        <v>102</v>
      </c>
      <c r="C1828" s="4">
        <v>9</v>
      </c>
      <c r="D1828" s="8">
        <v>10</v>
      </c>
      <c r="E1828" s="4">
        <v>8</v>
      </c>
      <c r="F1828" s="8">
        <v>14.29</v>
      </c>
      <c r="G1828" s="4">
        <v>1</v>
      </c>
      <c r="H1828" s="8">
        <v>3.57</v>
      </c>
      <c r="I1828" s="4">
        <v>0</v>
      </c>
    </row>
    <row r="1829" spans="1:9" x14ac:dyDescent="0.2">
      <c r="A1829" s="2">
        <v>3</v>
      </c>
      <c r="B1829" s="1" t="s">
        <v>108</v>
      </c>
      <c r="C1829" s="4">
        <v>9</v>
      </c>
      <c r="D1829" s="8">
        <v>10</v>
      </c>
      <c r="E1829" s="4">
        <v>7</v>
      </c>
      <c r="F1829" s="8">
        <v>12.5</v>
      </c>
      <c r="G1829" s="4">
        <v>2</v>
      </c>
      <c r="H1829" s="8">
        <v>7.14</v>
      </c>
      <c r="I1829" s="4">
        <v>0</v>
      </c>
    </row>
    <row r="1830" spans="1:9" x14ac:dyDescent="0.2">
      <c r="A1830" s="2">
        <v>5</v>
      </c>
      <c r="B1830" s="1" t="s">
        <v>116</v>
      </c>
      <c r="C1830" s="4">
        <v>8</v>
      </c>
      <c r="D1830" s="8">
        <v>8.89</v>
      </c>
      <c r="E1830" s="4">
        <v>8</v>
      </c>
      <c r="F1830" s="8">
        <v>14.29</v>
      </c>
      <c r="G1830" s="4">
        <v>0</v>
      </c>
      <c r="H1830" s="8">
        <v>0</v>
      </c>
      <c r="I1830" s="4">
        <v>0</v>
      </c>
    </row>
    <row r="1831" spans="1:9" x14ac:dyDescent="0.2">
      <c r="A1831" s="2">
        <v>6</v>
      </c>
      <c r="B1831" s="1" t="s">
        <v>114</v>
      </c>
      <c r="C1831" s="4">
        <v>5</v>
      </c>
      <c r="D1831" s="8">
        <v>5.56</v>
      </c>
      <c r="E1831" s="4">
        <v>3</v>
      </c>
      <c r="F1831" s="8">
        <v>5.36</v>
      </c>
      <c r="G1831" s="4">
        <v>1</v>
      </c>
      <c r="H1831" s="8">
        <v>3.57</v>
      </c>
      <c r="I1831" s="4">
        <v>0</v>
      </c>
    </row>
    <row r="1832" spans="1:9" x14ac:dyDescent="0.2">
      <c r="A1832" s="2">
        <v>7</v>
      </c>
      <c r="B1832" s="1" t="s">
        <v>107</v>
      </c>
      <c r="C1832" s="4">
        <v>3</v>
      </c>
      <c r="D1832" s="8">
        <v>3.33</v>
      </c>
      <c r="E1832" s="4">
        <v>1</v>
      </c>
      <c r="F1832" s="8">
        <v>1.79</v>
      </c>
      <c r="G1832" s="4">
        <v>2</v>
      </c>
      <c r="H1832" s="8">
        <v>7.14</v>
      </c>
      <c r="I1832" s="4">
        <v>0</v>
      </c>
    </row>
    <row r="1833" spans="1:9" x14ac:dyDescent="0.2">
      <c r="A1833" s="2">
        <v>7</v>
      </c>
      <c r="B1833" s="1" t="s">
        <v>113</v>
      </c>
      <c r="C1833" s="4">
        <v>3</v>
      </c>
      <c r="D1833" s="8">
        <v>3.33</v>
      </c>
      <c r="E1833" s="4">
        <v>3</v>
      </c>
      <c r="F1833" s="8">
        <v>5.36</v>
      </c>
      <c r="G1833" s="4">
        <v>0</v>
      </c>
      <c r="H1833" s="8">
        <v>0</v>
      </c>
      <c r="I1833" s="4">
        <v>0</v>
      </c>
    </row>
    <row r="1834" spans="1:9" x14ac:dyDescent="0.2">
      <c r="A1834" s="2">
        <v>7</v>
      </c>
      <c r="B1834" s="1" t="s">
        <v>119</v>
      </c>
      <c r="C1834" s="4">
        <v>3</v>
      </c>
      <c r="D1834" s="8">
        <v>3.33</v>
      </c>
      <c r="E1834" s="4">
        <v>0</v>
      </c>
      <c r="F1834" s="8">
        <v>0</v>
      </c>
      <c r="G1834" s="4">
        <v>0</v>
      </c>
      <c r="H1834" s="8">
        <v>0</v>
      </c>
      <c r="I1834" s="4">
        <v>0</v>
      </c>
    </row>
    <row r="1835" spans="1:9" x14ac:dyDescent="0.2">
      <c r="A1835" s="2">
        <v>10</v>
      </c>
      <c r="B1835" s="1" t="s">
        <v>103</v>
      </c>
      <c r="C1835" s="4">
        <v>2</v>
      </c>
      <c r="D1835" s="8">
        <v>2.2200000000000002</v>
      </c>
      <c r="E1835" s="4">
        <v>2</v>
      </c>
      <c r="F1835" s="8">
        <v>3.57</v>
      </c>
      <c r="G1835" s="4">
        <v>0</v>
      </c>
      <c r="H1835" s="8">
        <v>0</v>
      </c>
      <c r="I1835" s="4">
        <v>0</v>
      </c>
    </row>
    <row r="1836" spans="1:9" x14ac:dyDescent="0.2">
      <c r="A1836" s="2">
        <v>10</v>
      </c>
      <c r="B1836" s="1" t="s">
        <v>130</v>
      </c>
      <c r="C1836" s="4">
        <v>2</v>
      </c>
      <c r="D1836" s="8">
        <v>2.2200000000000002</v>
      </c>
      <c r="E1836" s="4">
        <v>2</v>
      </c>
      <c r="F1836" s="8">
        <v>3.57</v>
      </c>
      <c r="G1836" s="4">
        <v>0</v>
      </c>
      <c r="H1836" s="8">
        <v>0</v>
      </c>
      <c r="I1836" s="4">
        <v>0</v>
      </c>
    </row>
    <row r="1837" spans="1:9" x14ac:dyDescent="0.2">
      <c r="A1837" s="2">
        <v>10</v>
      </c>
      <c r="B1837" s="1" t="s">
        <v>115</v>
      </c>
      <c r="C1837" s="4">
        <v>2</v>
      </c>
      <c r="D1837" s="8">
        <v>2.2200000000000002</v>
      </c>
      <c r="E1837" s="4">
        <v>2</v>
      </c>
      <c r="F1837" s="8">
        <v>3.57</v>
      </c>
      <c r="G1837" s="4">
        <v>0</v>
      </c>
      <c r="H1837" s="8">
        <v>0</v>
      </c>
      <c r="I1837" s="4">
        <v>0</v>
      </c>
    </row>
    <row r="1838" spans="1:9" x14ac:dyDescent="0.2">
      <c r="A1838" s="2">
        <v>10</v>
      </c>
      <c r="B1838" s="1" t="s">
        <v>118</v>
      </c>
      <c r="C1838" s="4">
        <v>2</v>
      </c>
      <c r="D1838" s="8">
        <v>2.2200000000000002</v>
      </c>
      <c r="E1838" s="4">
        <v>2</v>
      </c>
      <c r="F1838" s="8">
        <v>3.57</v>
      </c>
      <c r="G1838" s="4">
        <v>0</v>
      </c>
      <c r="H1838" s="8">
        <v>0</v>
      </c>
      <c r="I1838" s="4">
        <v>0</v>
      </c>
    </row>
    <row r="1839" spans="1:9" x14ac:dyDescent="0.2">
      <c r="A1839" s="2">
        <v>14</v>
      </c>
      <c r="B1839" s="1" t="s">
        <v>127</v>
      </c>
      <c r="C1839" s="4">
        <v>1</v>
      </c>
      <c r="D1839" s="8">
        <v>1.1100000000000001</v>
      </c>
      <c r="E1839" s="4">
        <v>0</v>
      </c>
      <c r="F1839" s="8">
        <v>0</v>
      </c>
      <c r="G1839" s="4">
        <v>1</v>
      </c>
      <c r="H1839" s="8">
        <v>3.57</v>
      </c>
      <c r="I1839" s="4">
        <v>0</v>
      </c>
    </row>
    <row r="1840" spans="1:9" x14ac:dyDescent="0.2">
      <c r="A1840" s="2">
        <v>14</v>
      </c>
      <c r="B1840" s="1" t="s">
        <v>137</v>
      </c>
      <c r="C1840" s="4">
        <v>1</v>
      </c>
      <c r="D1840" s="8">
        <v>1.1100000000000001</v>
      </c>
      <c r="E1840" s="4">
        <v>0</v>
      </c>
      <c r="F1840" s="8">
        <v>0</v>
      </c>
      <c r="G1840" s="4">
        <v>1</v>
      </c>
      <c r="H1840" s="8">
        <v>3.57</v>
      </c>
      <c r="I1840" s="4">
        <v>0</v>
      </c>
    </row>
    <row r="1841" spans="1:9" x14ac:dyDescent="0.2">
      <c r="A1841" s="2">
        <v>14</v>
      </c>
      <c r="B1841" s="1" t="s">
        <v>155</v>
      </c>
      <c r="C1841" s="4">
        <v>1</v>
      </c>
      <c r="D1841" s="8">
        <v>1.1100000000000001</v>
      </c>
      <c r="E1841" s="4">
        <v>0</v>
      </c>
      <c r="F1841" s="8">
        <v>0</v>
      </c>
      <c r="G1841" s="4">
        <v>1</v>
      </c>
      <c r="H1841" s="8">
        <v>3.57</v>
      </c>
      <c r="I1841" s="4">
        <v>0</v>
      </c>
    </row>
    <row r="1842" spans="1:9" x14ac:dyDescent="0.2">
      <c r="A1842" s="2">
        <v>14</v>
      </c>
      <c r="B1842" s="1" t="s">
        <v>151</v>
      </c>
      <c r="C1842" s="4">
        <v>1</v>
      </c>
      <c r="D1842" s="8">
        <v>1.1100000000000001</v>
      </c>
      <c r="E1842" s="4">
        <v>1</v>
      </c>
      <c r="F1842" s="8">
        <v>1.79</v>
      </c>
      <c r="G1842" s="4">
        <v>0</v>
      </c>
      <c r="H1842" s="8">
        <v>0</v>
      </c>
      <c r="I1842" s="4">
        <v>0</v>
      </c>
    </row>
    <row r="1843" spans="1:9" x14ac:dyDescent="0.2">
      <c r="A1843" s="2">
        <v>14</v>
      </c>
      <c r="B1843" s="1" t="s">
        <v>136</v>
      </c>
      <c r="C1843" s="4">
        <v>1</v>
      </c>
      <c r="D1843" s="8">
        <v>1.1100000000000001</v>
      </c>
      <c r="E1843" s="4">
        <v>0</v>
      </c>
      <c r="F1843" s="8">
        <v>0</v>
      </c>
      <c r="G1843" s="4">
        <v>1</v>
      </c>
      <c r="H1843" s="8">
        <v>3.57</v>
      </c>
      <c r="I1843" s="4">
        <v>0</v>
      </c>
    </row>
    <row r="1844" spans="1:9" x14ac:dyDescent="0.2">
      <c r="A1844" s="2">
        <v>14</v>
      </c>
      <c r="B1844" s="1" t="s">
        <v>139</v>
      </c>
      <c r="C1844" s="4">
        <v>1</v>
      </c>
      <c r="D1844" s="8">
        <v>1.1100000000000001</v>
      </c>
      <c r="E1844" s="4">
        <v>0</v>
      </c>
      <c r="F1844" s="8">
        <v>0</v>
      </c>
      <c r="G1844" s="4">
        <v>0</v>
      </c>
      <c r="H1844" s="8">
        <v>0</v>
      </c>
      <c r="I1844" s="4">
        <v>0</v>
      </c>
    </row>
    <row r="1845" spans="1:9" x14ac:dyDescent="0.2">
      <c r="A1845" s="2">
        <v>14</v>
      </c>
      <c r="B1845" s="1" t="s">
        <v>146</v>
      </c>
      <c r="C1845" s="4">
        <v>1</v>
      </c>
      <c r="D1845" s="8">
        <v>1.1100000000000001</v>
      </c>
      <c r="E1845" s="4">
        <v>1</v>
      </c>
      <c r="F1845" s="8">
        <v>1.79</v>
      </c>
      <c r="G1845" s="4">
        <v>0</v>
      </c>
      <c r="H1845" s="8">
        <v>0</v>
      </c>
      <c r="I1845" s="4">
        <v>0</v>
      </c>
    </row>
    <row r="1846" spans="1:9" x14ac:dyDescent="0.2">
      <c r="A1846" s="2">
        <v>14</v>
      </c>
      <c r="B1846" s="1" t="s">
        <v>125</v>
      </c>
      <c r="C1846" s="4">
        <v>1</v>
      </c>
      <c r="D1846" s="8">
        <v>1.1100000000000001</v>
      </c>
      <c r="E1846" s="4">
        <v>0</v>
      </c>
      <c r="F1846" s="8">
        <v>0</v>
      </c>
      <c r="G1846" s="4">
        <v>1</v>
      </c>
      <c r="H1846" s="8">
        <v>3.57</v>
      </c>
      <c r="I1846" s="4">
        <v>0</v>
      </c>
    </row>
    <row r="1847" spans="1:9" x14ac:dyDescent="0.2">
      <c r="A1847" s="2">
        <v>14</v>
      </c>
      <c r="B1847" s="1" t="s">
        <v>121</v>
      </c>
      <c r="C1847" s="4">
        <v>1</v>
      </c>
      <c r="D1847" s="8">
        <v>1.1100000000000001</v>
      </c>
      <c r="E1847" s="4">
        <v>0</v>
      </c>
      <c r="F1847" s="8">
        <v>0</v>
      </c>
      <c r="G1847" s="4">
        <v>1</v>
      </c>
      <c r="H1847" s="8">
        <v>3.57</v>
      </c>
      <c r="I1847" s="4">
        <v>0</v>
      </c>
    </row>
    <row r="1848" spans="1:9" x14ac:dyDescent="0.2">
      <c r="A1848" s="2">
        <v>14</v>
      </c>
      <c r="B1848" s="1" t="s">
        <v>122</v>
      </c>
      <c r="C1848" s="4">
        <v>1</v>
      </c>
      <c r="D1848" s="8">
        <v>1.1100000000000001</v>
      </c>
      <c r="E1848" s="4">
        <v>1</v>
      </c>
      <c r="F1848" s="8">
        <v>1.79</v>
      </c>
      <c r="G1848" s="4">
        <v>0</v>
      </c>
      <c r="H1848" s="8">
        <v>0</v>
      </c>
      <c r="I1848" s="4">
        <v>0</v>
      </c>
    </row>
    <row r="1849" spans="1:9" x14ac:dyDescent="0.2">
      <c r="A1849" s="2">
        <v>14</v>
      </c>
      <c r="B1849" s="1" t="s">
        <v>109</v>
      </c>
      <c r="C1849" s="4">
        <v>1</v>
      </c>
      <c r="D1849" s="8">
        <v>1.1100000000000001</v>
      </c>
      <c r="E1849" s="4">
        <v>1</v>
      </c>
      <c r="F1849" s="8">
        <v>1.79</v>
      </c>
      <c r="G1849" s="4">
        <v>0</v>
      </c>
      <c r="H1849" s="8">
        <v>0</v>
      </c>
      <c r="I1849" s="4">
        <v>0</v>
      </c>
    </row>
    <row r="1850" spans="1:9" x14ac:dyDescent="0.2">
      <c r="A1850" s="2">
        <v>14</v>
      </c>
      <c r="B1850" s="1" t="s">
        <v>123</v>
      </c>
      <c r="C1850" s="4">
        <v>1</v>
      </c>
      <c r="D1850" s="8">
        <v>1.1100000000000001</v>
      </c>
      <c r="E1850" s="4">
        <v>0</v>
      </c>
      <c r="F1850" s="8">
        <v>0</v>
      </c>
      <c r="G1850" s="4">
        <v>1</v>
      </c>
      <c r="H1850" s="8">
        <v>3.57</v>
      </c>
      <c r="I1850" s="4">
        <v>0</v>
      </c>
    </row>
    <row r="1851" spans="1:9" x14ac:dyDescent="0.2">
      <c r="A1851" s="2">
        <v>14</v>
      </c>
      <c r="B1851" s="1" t="s">
        <v>153</v>
      </c>
      <c r="C1851" s="4">
        <v>1</v>
      </c>
      <c r="D1851" s="8">
        <v>1.1100000000000001</v>
      </c>
      <c r="E1851" s="4">
        <v>0</v>
      </c>
      <c r="F1851" s="8">
        <v>0</v>
      </c>
      <c r="G1851" s="4">
        <v>1</v>
      </c>
      <c r="H1851" s="8">
        <v>3.57</v>
      </c>
      <c r="I1851" s="4">
        <v>0</v>
      </c>
    </row>
    <row r="1852" spans="1:9" x14ac:dyDescent="0.2">
      <c r="A1852" s="2">
        <v>14</v>
      </c>
      <c r="B1852" s="1" t="s">
        <v>129</v>
      </c>
      <c r="C1852" s="4">
        <v>1</v>
      </c>
      <c r="D1852" s="8">
        <v>1.1100000000000001</v>
      </c>
      <c r="E1852" s="4">
        <v>1</v>
      </c>
      <c r="F1852" s="8">
        <v>1.79</v>
      </c>
      <c r="G1852" s="4">
        <v>0</v>
      </c>
      <c r="H1852" s="8">
        <v>0</v>
      </c>
      <c r="I1852" s="4">
        <v>0</v>
      </c>
    </row>
    <row r="1853" spans="1:9" x14ac:dyDescent="0.2">
      <c r="A1853" s="2">
        <v>14</v>
      </c>
      <c r="B1853" s="1" t="s">
        <v>117</v>
      </c>
      <c r="C1853" s="4">
        <v>1</v>
      </c>
      <c r="D1853" s="8">
        <v>1.1100000000000001</v>
      </c>
      <c r="E1853" s="4">
        <v>0</v>
      </c>
      <c r="F1853" s="8">
        <v>0</v>
      </c>
      <c r="G1853" s="4">
        <v>0</v>
      </c>
      <c r="H1853" s="8">
        <v>0</v>
      </c>
      <c r="I1853" s="4">
        <v>0</v>
      </c>
    </row>
    <row r="1854" spans="1:9" x14ac:dyDescent="0.2">
      <c r="A1854" s="2">
        <v>14</v>
      </c>
      <c r="B1854" s="1" t="s">
        <v>120</v>
      </c>
      <c r="C1854" s="4">
        <v>1</v>
      </c>
      <c r="D1854" s="8">
        <v>1.1100000000000001</v>
      </c>
      <c r="E1854" s="4">
        <v>1</v>
      </c>
      <c r="F1854" s="8">
        <v>1.79</v>
      </c>
      <c r="G1854" s="4">
        <v>0</v>
      </c>
      <c r="H1854" s="8">
        <v>0</v>
      </c>
      <c r="I1854" s="4">
        <v>0</v>
      </c>
    </row>
    <row r="1855" spans="1:9" x14ac:dyDescent="0.2">
      <c r="A1855" s="2">
        <v>14</v>
      </c>
      <c r="B1855" s="1" t="s">
        <v>124</v>
      </c>
      <c r="C1855" s="4">
        <v>1</v>
      </c>
      <c r="D1855" s="8">
        <v>1.1100000000000001</v>
      </c>
      <c r="E1855" s="4">
        <v>1</v>
      </c>
      <c r="F1855" s="8">
        <v>1.79</v>
      </c>
      <c r="G1855" s="4">
        <v>0</v>
      </c>
      <c r="H1855" s="8">
        <v>0</v>
      </c>
      <c r="I1855" s="4">
        <v>0</v>
      </c>
    </row>
    <row r="1856" spans="1:9" x14ac:dyDescent="0.2">
      <c r="A1856" s="1"/>
      <c r="C1856" s="4"/>
      <c r="D1856" s="8"/>
      <c r="E1856" s="4"/>
      <c r="F1856" s="8"/>
      <c r="G1856" s="4"/>
      <c r="H1856" s="8"/>
      <c r="I1856" s="4"/>
    </row>
    <row r="1857" spans="1:9" x14ac:dyDescent="0.2">
      <c r="A1857" s="1" t="s">
        <v>76</v>
      </c>
      <c r="C1857" s="4"/>
      <c r="D1857" s="8"/>
      <c r="E1857" s="4"/>
      <c r="F1857" s="8"/>
      <c r="G1857" s="4"/>
      <c r="H1857" s="8"/>
      <c r="I1857" s="4"/>
    </row>
    <row r="1858" spans="1:9" x14ac:dyDescent="0.2">
      <c r="A1858" s="2">
        <v>1</v>
      </c>
      <c r="B1858" s="1" t="s">
        <v>101</v>
      </c>
      <c r="C1858" s="4">
        <v>31</v>
      </c>
      <c r="D1858" s="8">
        <v>13.42</v>
      </c>
      <c r="E1858" s="4">
        <v>12</v>
      </c>
      <c r="F1858" s="8">
        <v>8.82</v>
      </c>
      <c r="G1858" s="4">
        <v>19</v>
      </c>
      <c r="H1858" s="8">
        <v>21.84</v>
      </c>
      <c r="I1858" s="4">
        <v>0</v>
      </c>
    </row>
    <row r="1859" spans="1:9" x14ac:dyDescent="0.2">
      <c r="A1859" s="2">
        <v>2</v>
      </c>
      <c r="B1859" s="1" t="s">
        <v>110</v>
      </c>
      <c r="C1859" s="4">
        <v>22</v>
      </c>
      <c r="D1859" s="8">
        <v>9.52</v>
      </c>
      <c r="E1859" s="4">
        <v>10</v>
      </c>
      <c r="F1859" s="8">
        <v>7.35</v>
      </c>
      <c r="G1859" s="4">
        <v>12</v>
      </c>
      <c r="H1859" s="8">
        <v>13.79</v>
      </c>
      <c r="I1859" s="4">
        <v>0</v>
      </c>
    </row>
    <row r="1860" spans="1:9" x14ac:dyDescent="0.2">
      <c r="A1860" s="2">
        <v>3</v>
      </c>
      <c r="B1860" s="1" t="s">
        <v>102</v>
      </c>
      <c r="C1860" s="4">
        <v>21</v>
      </c>
      <c r="D1860" s="8">
        <v>9.09</v>
      </c>
      <c r="E1860" s="4">
        <v>17</v>
      </c>
      <c r="F1860" s="8">
        <v>12.5</v>
      </c>
      <c r="G1860" s="4">
        <v>4</v>
      </c>
      <c r="H1860" s="8">
        <v>4.5999999999999996</v>
      </c>
      <c r="I1860" s="4">
        <v>0</v>
      </c>
    </row>
    <row r="1861" spans="1:9" x14ac:dyDescent="0.2">
      <c r="A1861" s="2">
        <v>3</v>
      </c>
      <c r="B1861" s="1" t="s">
        <v>116</v>
      </c>
      <c r="C1861" s="4">
        <v>21</v>
      </c>
      <c r="D1861" s="8">
        <v>9.09</v>
      </c>
      <c r="E1861" s="4">
        <v>20</v>
      </c>
      <c r="F1861" s="8">
        <v>14.71</v>
      </c>
      <c r="G1861" s="4">
        <v>1</v>
      </c>
      <c r="H1861" s="8">
        <v>1.1499999999999999</v>
      </c>
      <c r="I1861" s="4">
        <v>0</v>
      </c>
    </row>
    <row r="1862" spans="1:9" x14ac:dyDescent="0.2">
      <c r="A1862" s="2">
        <v>5</v>
      </c>
      <c r="B1862" s="1" t="s">
        <v>114</v>
      </c>
      <c r="C1862" s="4">
        <v>15</v>
      </c>
      <c r="D1862" s="8">
        <v>6.49</v>
      </c>
      <c r="E1862" s="4">
        <v>14</v>
      </c>
      <c r="F1862" s="8">
        <v>10.29</v>
      </c>
      <c r="G1862" s="4">
        <v>1</v>
      </c>
      <c r="H1862" s="8">
        <v>1.1499999999999999</v>
      </c>
      <c r="I1862" s="4">
        <v>0</v>
      </c>
    </row>
    <row r="1863" spans="1:9" x14ac:dyDescent="0.2">
      <c r="A1863" s="2">
        <v>6</v>
      </c>
      <c r="B1863" s="1" t="s">
        <v>115</v>
      </c>
      <c r="C1863" s="4">
        <v>14</v>
      </c>
      <c r="D1863" s="8">
        <v>6.06</v>
      </c>
      <c r="E1863" s="4">
        <v>11</v>
      </c>
      <c r="F1863" s="8">
        <v>8.09</v>
      </c>
      <c r="G1863" s="4">
        <v>3</v>
      </c>
      <c r="H1863" s="8">
        <v>3.45</v>
      </c>
      <c r="I1863" s="4">
        <v>0</v>
      </c>
    </row>
    <row r="1864" spans="1:9" x14ac:dyDescent="0.2">
      <c r="A1864" s="2">
        <v>7</v>
      </c>
      <c r="B1864" s="1" t="s">
        <v>108</v>
      </c>
      <c r="C1864" s="4">
        <v>11</v>
      </c>
      <c r="D1864" s="8">
        <v>4.76</v>
      </c>
      <c r="E1864" s="4">
        <v>8</v>
      </c>
      <c r="F1864" s="8">
        <v>5.88</v>
      </c>
      <c r="G1864" s="4">
        <v>3</v>
      </c>
      <c r="H1864" s="8">
        <v>3.45</v>
      </c>
      <c r="I1864" s="4">
        <v>0</v>
      </c>
    </row>
    <row r="1865" spans="1:9" x14ac:dyDescent="0.2">
      <c r="A1865" s="2">
        <v>7</v>
      </c>
      <c r="B1865" s="1" t="s">
        <v>117</v>
      </c>
      <c r="C1865" s="4">
        <v>11</v>
      </c>
      <c r="D1865" s="8">
        <v>4.76</v>
      </c>
      <c r="E1865" s="4">
        <v>9</v>
      </c>
      <c r="F1865" s="8">
        <v>6.62</v>
      </c>
      <c r="G1865" s="4">
        <v>0</v>
      </c>
      <c r="H1865" s="8">
        <v>0</v>
      </c>
      <c r="I1865" s="4">
        <v>0</v>
      </c>
    </row>
    <row r="1866" spans="1:9" x14ac:dyDescent="0.2">
      <c r="A1866" s="2">
        <v>9</v>
      </c>
      <c r="B1866" s="1" t="s">
        <v>113</v>
      </c>
      <c r="C1866" s="4">
        <v>8</v>
      </c>
      <c r="D1866" s="8">
        <v>3.46</v>
      </c>
      <c r="E1866" s="4">
        <v>2</v>
      </c>
      <c r="F1866" s="8">
        <v>1.47</v>
      </c>
      <c r="G1866" s="4">
        <v>6</v>
      </c>
      <c r="H1866" s="8">
        <v>6.9</v>
      </c>
      <c r="I1866" s="4">
        <v>0</v>
      </c>
    </row>
    <row r="1867" spans="1:9" x14ac:dyDescent="0.2">
      <c r="A1867" s="2">
        <v>10</v>
      </c>
      <c r="B1867" s="1" t="s">
        <v>118</v>
      </c>
      <c r="C1867" s="4">
        <v>7</v>
      </c>
      <c r="D1867" s="8">
        <v>3.03</v>
      </c>
      <c r="E1867" s="4">
        <v>6</v>
      </c>
      <c r="F1867" s="8">
        <v>4.41</v>
      </c>
      <c r="G1867" s="4">
        <v>1</v>
      </c>
      <c r="H1867" s="8">
        <v>1.1499999999999999</v>
      </c>
      <c r="I1867" s="4">
        <v>0</v>
      </c>
    </row>
    <row r="1868" spans="1:9" x14ac:dyDescent="0.2">
      <c r="A1868" s="2">
        <v>11</v>
      </c>
      <c r="B1868" s="1" t="s">
        <v>103</v>
      </c>
      <c r="C1868" s="4">
        <v>6</v>
      </c>
      <c r="D1868" s="8">
        <v>2.6</v>
      </c>
      <c r="E1868" s="4">
        <v>2</v>
      </c>
      <c r="F1868" s="8">
        <v>1.47</v>
      </c>
      <c r="G1868" s="4">
        <v>4</v>
      </c>
      <c r="H1868" s="8">
        <v>4.5999999999999996</v>
      </c>
      <c r="I1868" s="4">
        <v>0</v>
      </c>
    </row>
    <row r="1869" spans="1:9" x14ac:dyDescent="0.2">
      <c r="A1869" s="2">
        <v>11</v>
      </c>
      <c r="B1869" s="1" t="s">
        <v>119</v>
      </c>
      <c r="C1869" s="4">
        <v>6</v>
      </c>
      <c r="D1869" s="8">
        <v>2.6</v>
      </c>
      <c r="E1869" s="4">
        <v>0</v>
      </c>
      <c r="F1869" s="8">
        <v>0</v>
      </c>
      <c r="G1869" s="4">
        <v>4</v>
      </c>
      <c r="H1869" s="8">
        <v>4.5999999999999996</v>
      </c>
      <c r="I1869" s="4">
        <v>0</v>
      </c>
    </row>
    <row r="1870" spans="1:9" x14ac:dyDescent="0.2">
      <c r="A1870" s="2">
        <v>13</v>
      </c>
      <c r="B1870" s="1" t="s">
        <v>109</v>
      </c>
      <c r="C1870" s="4">
        <v>5</v>
      </c>
      <c r="D1870" s="8">
        <v>2.16</v>
      </c>
      <c r="E1870" s="4">
        <v>3</v>
      </c>
      <c r="F1870" s="8">
        <v>2.21</v>
      </c>
      <c r="G1870" s="4">
        <v>2</v>
      </c>
      <c r="H1870" s="8">
        <v>2.2999999999999998</v>
      </c>
      <c r="I1870" s="4">
        <v>0</v>
      </c>
    </row>
    <row r="1871" spans="1:9" x14ac:dyDescent="0.2">
      <c r="A1871" s="2">
        <v>13</v>
      </c>
      <c r="B1871" s="1" t="s">
        <v>112</v>
      </c>
      <c r="C1871" s="4">
        <v>5</v>
      </c>
      <c r="D1871" s="8">
        <v>2.16</v>
      </c>
      <c r="E1871" s="4">
        <v>3</v>
      </c>
      <c r="F1871" s="8">
        <v>2.21</v>
      </c>
      <c r="G1871" s="4">
        <v>2</v>
      </c>
      <c r="H1871" s="8">
        <v>2.2999999999999998</v>
      </c>
      <c r="I1871" s="4">
        <v>0</v>
      </c>
    </row>
    <row r="1872" spans="1:9" x14ac:dyDescent="0.2">
      <c r="A1872" s="2">
        <v>15</v>
      </c>
      <c r="B1872" s="1" t="s">
        <v>121</v>
      </c>
      <c r="C1872" s="4">
        <v>4</v>
      </c>
      <c r="D1872" s="8">
        <v>1.73</v>
      </c>
      <c r="E1872" s="4">
        <v>3</v>
      </c>
      <c r="F1872" s="8">
        <v>2.21</v>
      </c>
      <c r="G1872" s="4">
        <v>1</v>
      </c>
      <c r="H1872" s="8">
        <v>1.1499999999999999</v>
      </c>
      <c r="I1872" s="4">
        <v>0</v>
      </c>
    </row>
    <row r="1873" spans="1:9" x14ac:dyDescent="0.2">
      <c r="A1873" s="2">
        <v>16</v>
      </c>
      <c r="B1873" s="1" t="s">
        <v>104</v>
      </c>
      <c r="C1873" s="4">
        <v>3</v>
      </c>
      <c r="D1873" s="8">
        <v>1.3</v>
      </c>
      <c r="E1873" s="4">
        <v>1</v>
      </c>
      <c r="F1873" s="8">
        <v>0.74</v>
      </c>
      <c r="G1873" s="4">
        <v>2</v>
      </c>
      <c r="H1873" s="8">
        <v>2.2999999999999998</v>
      </c>
      <c r="I1873" s="4">
        <v>0</v>
      </c>
    </row>
    <row r="1874" spans="1:9" x14ac:dyDescent="0.2">
      <c r="A1874" s="2">
        <v>16</v>
      </c>
      <c r="B1874" s="1" t="s">
        <v>122</v>
      </c>
      <c r="C1874" s="4">
        <v>3</v>
      </c>
      <c r="D1874" s="8">
        <v>1.3</v>
      </c>
      <c r="E1874" s="4">
        <v>0</v>
      </c>
      <c r="F1874" s="8">
        <v>0</v>
      </c>
      <c r="G1874" s="4">
        <v>3</v>
      </c>
      <c r="H1874" s="8">
        <v>3.45</v>
      </c>
      <c r="I1874" s="4">
        <v>0</v>
      </c>
    </row>
    <row r="1875" spans="1:9" x14ac:dyDescent="0.2">
      <c r="A1875" s="2">
        <v>18</v>
      </c>
      <c r="B1875" s="1" t="s">
        <v>127</v>
      </c>
      <c r="C1875" s="4">
        <v>2</v>
      </c>
      <c r="D1875" s="8">
        <v>0.87</v>
      </c>
      <c r="E1875" s="4">
        <v>1</v>
      </c>
      <c r="F1875" s="8">
        <v>0.74</v>
      </c>
      <c r="G1875" s="4">
        <v>1</v>
      </c>
      <c r="H1875" s="8">
        <v>1.1499999999999999</v>
      </c>
      <c r="I1875" s="4">
        <v>0</v>
      </c>
    </row>
    <row r="1876" spans="1:9" x14ac:dyDescent="0.2">
      <c r="A1876" s="2">
        <v>18</v>
      </c>
      <c r="B1876" s="1" t="s">
        <v>142</v>
      </c>
      <c r="C1876" s="4">
        <v>2</v>
      </c>
      <c r="D1876" s="8">
        <v>0.87</v>
      </c>
      <c r="E1876" s="4">
        <v>0</v>
      </c>
      <c r="F1876" s="8">
        <v>0</v>
      </c>
      <c r="G1876" s="4">
        <v>2</v>
      </c>
      <c r="H1876" s="8">
        <v>2.2999999999999998</v>
      </c>
      <c r="I1876" s="4">
        <v>0</v>
      </c>
    </row>
    <row r="1877" spans="1:9" x14ac:dyDescent="0.2">
      <c r="A1877" s="2">
        <v>18</v>
      </c>
      <c r="B1877" s="1" t="s">
        <v>137</v>
      </c>
      <c r="C1877" s="4">
        <v>2</v>
      </c>
      <c r="D1877" s="8">
        <v>0.87</v>
      </c>
      <c r="E1877" s="4">
        <v>2</v>
      </c>
      <c r="F1877" s="8">
        <v>1.47</v>
      </c>
      <c r="G1877" s="4">
        <v>0</v>
      </c>
      <c r="H1877" s="8">
        <v>0</v>
      </c>
      <c r="I1877" s="4">
        <v>0</v>
      </c>
    </row>
    <row r="1878" spans="1:9" x14ac:dyDescent="0.2">
      <c r="A1878" s="2">
        <v>18</v>
      </c>
      <c r="B1878" s="1" t="s">
        <v>130</v>
      </c>
      <c r="C1878" s="4">
        <v>2</v>
      </c>
      <c r="D1878" s="8">
        <v>0.87</v>
      </c>
      <c r="E1878" s="4">
        <v>2</v>
      </c>
      <c r="F1878" s="8">
        <v>1.47</v>
      </c>
      <c r="G1878" s="4">
        <v>0</v>
      </c>
      <c r="H1878" s="8">
        <v>0</v>
      </c>
      <c r="I1878" s="4">
        <v>0</v>
      </c>
    </row>
    <row r="1879" spans="1:9" x14ac:dyDescent="0.2">
      <c r="A1879" s="2">
        <v>18</v>
      </c>
      <c r="B1879" s="1" t="s">
        <v>135</v>
      </c>
      <c r="C1879" s="4">
        <v>2</v>
      </c>
      <c r="D1879" s="8">
        <v>0.87</v>
      </c>
      <c r="E1879" s="4">
        <v>1</v>
      </c>
      <c r="F1879" s="8">
        <v>0.74</v>
      </c>
      <c r="G1879" s="4">
        <v>1</v>
      </c>
      <c r="H1879" s="8">
        <v>1.1499999999999999</v>
      </c>
      <c r="I1879" s="4">
        <v>0</v>
      </c>
    </row>
    <row r="1880" spans="1:9" x14ac:dyDescent="0.2">
      <c r="A1880" s="2">
        <v>18</v>
      </c>
      <c r="B1880" s="1" t="s">
        <v>139</v>
      </c>
      <c r="C1880" s="4">
        <v>2</v>
      </c>
      <c r="D1880" s="8">
        <v>0.87</v>
      </c>
      <c r="E1880" s="4">
        <v>0</v>
      </c>
      <c r="F1880" s="8">
        <v>0</v>
      </c>
      <c r="G1880" s="4">
        <v>0</v>
      </c>
      <c r="H1880" s="8">
        <v>0</v>
      </c>
      <c r="I1880" s="4">
        <v>0</v>
      </c>
    </row>
    <row r="1881" spans="1:9" x14ac:dyDescent="0.2">
      <c r="A1881" s="2">
        <v>18</v>
      </c>
      <c r="B1881" s="1" t="s">
        <v>159</v>
      </c>
      <c r="C1881" s="4">
        <v>2</v>
      </c>
      <c r="D1881" s="8">
        <v>0.87</v>
      </c>
      <c r="E1881" s="4">
        <v>0</v>
      </c>
      <c r="F1881" s="8">
        <v>0</v>
      </c>
      <c r="G1881" s="4">
        <v>2</v>
      </c>
      <c r="H1881" s="8">
        <v>2.2999999999999998</v>
      </c>
      <c r="I1881" s="4">
        <v>0</v>
      </c>
    </row>
    <row r="1882" spans="1:9" x14ac:dyDescent="0.2">
      <c r="A1882" s="2">
        <v>18</v>
      </c>
      <c r="B1882" s="1" t="s">
        <v>111</v>
      </c>
      <c r="C1882" s="4">
        <v>2</v>
      </c>
      <c r="D1882" s="8">
        <v>0.87</v>
      </c>
      <c r="E1882" s="4">
        <v>0</v>
      </c>
      <c r="F1882" s="8">
        <v>0</v>
      </c>
      <c r="G1882" s="4">
        <v>2</v>
      </c>
      <c r="H1882" s="8">
        <v>2.2999999999999998</v>
      </c>
      <c r="I1882" s="4">
        <v>0</v>
      </c>
    </row>
    <row r="1883" spans="1:9" x14ac:dyDescent="0.2">
      <c r="A1883" s="2">
        <v>18</v>
      </c>
      <c r="B1883" s="1" t="s">
        <v>124</v>
      </c>
      <c r="C1883" s="4">
        <v>2</v>
      </c>
      <c r="D1883" s="8">
        <v>0.87</v>
      </c>
      <c r="E1883" s="4">
        <v>0</v>
      </c>
      <c r="F1883" s="8">
        <v>0</v>
      </c>
      <c r="G1883" s="4">
        <v>2</v>
      </c>
      <c r="H1883" s="8">
        <v>2.2999999999999998</v>
      </c>
      <c r="I1883" s="4">
        <v>0</v>
      </c>
    </row>
    <row r="1884" spans="1:9" x14ac:dyDescent="0.2">
      <c r="A1884" s="1"/>
      <c r="C1884" s="4"/>
      <c r="D1884" s="8"/>
      <c r="E1884" s="4"/>
      <c r="F1884" s="8"/>
      <c r="G1884" s="4"/>
      <c r="H1884" s="8"/>
      <c r="I1884" s="4"/>
    </row>
    <row r="1885" spans="1:9" x14ac:dyDescent="0.2">
      <c r="A1885" s="1" t="s">
        <v>77</v>
      </c>
      <c r="C1885" s="4"/>
      <c r="D1885" s="8"/>
      <c r="E1885" s="4"/>
      <c r="F1885" s="8"/>
      <c r="G1885" s="4"/>
      <c r="H1885" s="8"/>
      <c r="I1885" s="4"/>
    </row>
    <row r="1886" spans="1:9" x14ac:dyDescent="0.2">
      <c r="A1886" s="2">
        <v>1</v>
      </c>
      <c r="B1886" s="1" t="s">
        <v>114</v>
      </c>
      <c r="C1886" s="4">
        <v>8</v>
      </c>
      <c r="D1886" s="8">
        <v>13.33</v>
      </c>
      <c r="E1886" s="4">
        <v>6</v>
      </c>
      <c r="F1886" s="8">
        <v>18.18</v>
      </c>
      <c r="G1886" s="4">
        <v>2</v>
      </c>
      <c r="H1886" s="8">
        <v>7.69</v>
      </c>
      <c r="I1886" s="4">
        <v>0</v>
      </c>
    </row>
    <row r="1887" spans="1:9" x14ac:dyDescent="0.2">
      <c r="A1887" s="2">
        <v>2</v>
      </c>
      <c r="B1887" s="1" t="s">
        <v>101</v>
      </c>
      <c r="C1887" s="4">
        <v>7</v>
      </c>
      <c r="D1887" s="8">
        <v>11.67</v>
      </c>
      <c r="E1887" s="4">
        <v>1</v>
      </c>
      <c r="F1887" s="8">
        <v>3.03</v>
      </c>
      <c r="G1887" s="4">
        <v>6</v>
      </c>
      <c r="H1887" s="8">
        <v>23.08</v>
      </c>
      <c r="I1887" s="4">
        <v>0</v>
      </c>
    </row>
    <row r="1888" spans="1:9" x14ac:dyDescent="0.2">
      <c r="A1888" s="2">
        <v>3</v>
      </c>
      <c r="B1888" s="1" t="s">
        <v>110</v>
      </c>
      <c r="C1888" s="4">
        <v>6</v>
      </c>
      <c r="D1888" s="8">
        <v>10</v>
      </c>
      <c r="E1888" s="4">
        <v>2</v>
      </c>
      <c r="F1888" s="8">
        <v>6.06</v>
      </c>
      <c r="G1888" s="4">
        <v>4</v>
      </c>
      <c r="H1888" s="8">
        <v>15.38</v>
      </c>
      <c r="I1888" s="4">
        <v>0</v>
      </c>
    </row>
    <row r="1889" spans="1:9" x14ac:dyDescent="0.2">
      <c r="A1889" s="2">
        <v>4</v>
      </c>
      <c r="B1889" s="1" t="s">
        <v>102</v>
      </c>
      <c r="C1889" s="4">
        <v>5</v>
      </c>
      <c r="D1889" s="8">
        <v>8.33</v>
      </c>
      <c r="E1889" s="4">
        <v>5</v>
      </c>
      <c r="F1889" s="8">
        <v>15.15</v>
      </c>
      <c r="G1889" s="4">
        <v>0</v>
      </c>
      <c r="H1889" s="8">
        <v>0</v>
      </c>
      <c r="I1889" s="4">
        <v>0</v>
      </c>
    </row>
    <row r="1890" spans="1:9" x14ac:dyDescent="0.2">
      <c r="A1890" s="2">
        <v>4</v>
      </c>
      <c r="B1890" s="1" t="s">
        <v>103</v>
      </c>
      <c r="C1890" s="4">
        <v>5</v>
      </c>
      <c r="D1890" s="8">
        <v>8.33</v>
      </c>
      <c r="E1890" s="4">
        <v>3</v>
      </c>
      <c r="F1890" s="8">
        <v>9.09</v>
      </c>
      <c r="G1890" s="4">
        <v>2</v>
      </c>
      <c r="H1890" s="8">
        <v>7.69</v>
      </c>
      <c r="I1890" s="4">
        <v>0</v>
      </c>
    </row>
    <row r="1891" spans="1:9" x14ac:dyDescent="0.2">
      <c r="A1891" s="2">
        <v>4</v>
      </c>
      <c r="B1891" s="1" t="s">
        <v>108</v>
      </c>
      <c r="C1891" s="4">
        <v>5</v>
      </c>
      <c r="D1891" s="8">
        <v>8.33</v>
      </c>
      <c r="E1891" s="4">
        <v>4</v>
      </c>
      <c r="F1891" s="8">
        <v>12.12</v>
      </c>
      <c r="G1891" s="4">
        <v>1</v>
      </c>
      <c r="H1891" s="8">
        <v>3.85</v>
      </c>
      <c r="I1891" s="4">
        <v>0</v>
      </c>
    </row>
    <row r="1892" spans="1:9" x14ac:dyDescent="0.2">
      <c r="A1892" s="2">
        <v>7</v>
      </c>
      <c r="B1892" s="1" t="s">
        <v>116</v>
      </c>
      <c r="C1892" s="4">
        <v>4</v>
      </c>
      <c r="D1892" s="8">
        <v>6.67</v>
      </c>
      <c r="E1892" s="4">
        <v>3</v>
      </c>
      <c r="F1892" s="8">
        <v>9.09</v>
      </c>
      <c r="G1892" s="4">
        <v>1</v>
      </c>
      <c r="H1892" s="8">
        <v>3.85</v>
      </c>
      <c r="I1892" s="4">
        <v>0</v>
      </c>
    </row>
    <row r="1893" spans="1:9" x14ac:dyDescent="0.2">
      <c r="A1893" s="2">
        <v>8</v>
      </c>
      <c r="B1893" s="1" t="s">
        <v>131</v>
      </c>
      <c r="C1893" s="4">
        <v>3</v>
      </c>
      <c r="D1893" s="8">
        <v>5</v>
      </c>
      <c r="E1893" s="4">
        <v>1</v>
      </c>
      <c r="F1893" s="8">
        <v>3.03</v>
      </c>
      <c r="G1893" s="4">
        <v>2</v>
      </c>
      <c r="H1893" s="8">
        <v>7.69</v>
      </c>
      <c r="I1893" s="4">
        <v>0</v>
      </c>
    </row>
    <row r="1894" spans="1:9" x14ac:dyDescent="0.2">
      <c r="A1894" s="2">
        <v>9</v>
      </c>
      <c r="B1894" s="1" t="s">
        <v>127</v>
      </c>
      <c r="C1894" s="4">
        <v>2</v>
      </c>
      <c r="D1894" s="8">
        <v>3.33</v>
      </c>
      <c r="E1894" s="4">
        <v>1</v>
      </c>
      <c r="F1894" s="8">
        <v>3.03</v>
      </c>
      <c r="G1894" s="4">
        <v>1</v>
      </c>
      <c r="H1894" s="8">
        <v>3.85</v>
      </c>
      <c r="I1894" s="4">
        <v>0</v>
      </c>
    </row>
    <row r="1895" spans="1:9" x14ac:dyDescent="0.2">
      <c r="A1895" s="2">
        <v>9</v>
      </c>
      <c r="B1895" s="1" t="s">
        <v>143</v>
      </c>
      <c r="C1895" s="4">
        <v>2</v>
      </c>
      <c r="D1895" s="8">
        <v>3.33</v>
      </c>
      <c r="E1895" s="4">
        <v>0</v>
      </c>
      <c r="F1895" s="8">
        <v>0</v>
      </c>
      <c r="G1895" s="4">
        <v>2</v>
      </c>
      <c r="H1895" s="8">
        <v>7.69</v>
      </c>
      <c r="I1895" s="4">
        <v>0</v>
      </c>
    </row>
    <row r="1896" spans="1:9" x14ac:dyDescent="0.2">
      <c r="A1896" s="2">
        <v>9</v>
      </c>
      <c r="B1896" s="1" t="s">
        <v>109</v>
      </c>
      <c r="C1896" s="4">
        <v>2</v>
      </c>
      <c r="D1896" s="8">
        <v>3.33</v>
      </c>
      <c r="E1896" s="4">
        <v>2</v>
      </c>
      <c r="F1896" s="8">
        <v>6.06</v>
      </c>
      <c r="G1896" s="4">
        <v>0</v>
      </c>
      <c r="H1896" s="8">
        <v>0</v>
      </c>
      <c r="I1896" s="4">
        <v>0</v>
      </c>
    </row>
    <row r="1897" spans="1:9" x14ac:dyDescent="0.2">
      <c r="A1897" s="2">
        <v>9</v>
      </c>
      <c r="B1897" s="1" t="s">
        <v>118</v>
      </c>
      <c r="C1897" s="4">
        <v>2</v>
      </c>
      <c r="D1897" s="8">
        <v>3.33</v>
      </c>
      <c r="E1897" s="4">
        <v>1</v>
      </c>
      <c r="F1897" s="8">
        <v>3.03</v>
      </c>
      <c r="G1897" s="4">
        <v>0</v>
      </c>
      <c r="H1897" s="8">
        <v>0</v>
      </c>
      <c r="I1897" s="4">
        <v>0</v>
      </c>
    </row>
    <row r="1898" spans="1:9" x14ac:dyDescent="0.2">
      <c r="A1898" s="2">
        <v>13</v>
      </c>
      <c r="B1898" s="1" t="s">
        <v>137</v>
      </c>
      <c r="C1898" s="4">
        <v>1</v>
      </c>
      <c r="D1898" s="8">
        <v>1.67</v>
      </c>
      <c r="E1898" s="4">
        <v>0</v>
      </c>
      <c r="F1898" s="8">
        <v>0</v>
      </c>
      <c r="G1898" s="4">
        <v>1</v>
      </c>
      <c r="H1898" s="8">
        <v>3.85</v>
      </c>
      <c r="I1898" s="4">
        <v>0</v>
      </c>
    </row>
    <row r="1899" spans="1:9" x14ac:dyDescent="0.2">
      <c r="A1899" s="2">
        <v>13</v>
      </c>
      <c r="B1899" s="1" t="s">
        <v>130</v>
      </c>
      <c r="C1899" s="4">
        <v>1</v>
      </c>
      <c r="D1899" s="8">
        <v>1.67</v>
      </c>
      <c r="E1899" s="4">
        <v>1</v>
      </c>
      <c r="F1899" s="8">
        <v>3.03</v>
      </c>
      <c r="G1899" s="4">
        <v>0</v>
      </c>
      <c r="H1899" s="8">
        <v>0</v>
      </c>
      <c r="I1899" s="4">
        <v>0</v>
      </c>
    </row>
    <row r="1900" spans="1:9" x14ac:dyDescent="0.2">
      <c r="A1900" s="2">
        <v>13</v>
      </c>
      <c r="B1900" s="1" t="s">
        <v>145</v>
      </c>
      <c r="C1900" s="4">
        <v>1</v>
      </c>
      <c r="D1900" s="8">
        <v>1.67</v>
      </c>
      <c r="E1900" s="4">
        <v>0</v>
      </c>
      <c r="F1900" s="8">
        <v>0</v>
      </c>
      <c r="G1900" s="4">
        <v>1</v>
      </c>
      <c r="H1900" s="8">
        <v>3.85</v>
      </c>
      <c r="I1900" s="4">
        <v>0</v>
      </c>
    </row>
    <row r="1901" spans="1:9" x14ac:dyDescent="0.2">
      <c r="A1901" s="2">
        <v>13</v>
      </c>
      <c r="B1901" s="1" t="s">
        <v>125</v>
      </c>
      <c r="C1901" s="4">
        <v>1</v>
      </c>
      <c r="D1901" s="8">
        <v>1.67</v>
      </c>
      <c r="E1901" s="4">
        <v>1</v>
      </c>
      <c r="F1901" s="8">
        <v>3.03</v>
      </c>
      <c r="G1901" s="4">
        <v>0</v>
      </c>
      <c r="H1901" s="8">
        <v>0</v>
      </c>
      <c r="I1901" s="4">
        <v>0</v>
      </c>
    </row>
    <row r="1902" spans="1:9" x14ac:dyDescent="0.2">
      <c r="A1902" s="2">
        <v>13</v>
      </c>
      <c r="B1902" s="1" t="s">
        <v>121</v>
      </c>
      <c r="C1902" s="4">
        <v>1</v>
      </c>
      <c r="D1902" s="8">
        <v>1.67</v>
      </c>
      <c r="E1902" s="4">
        <v>0</v>
      </c>
      <c r="F1902" s="8">
        <v>0</v>
      </c>
      <c r="G1902" s="4">
        <v>1</v>
      </c>
      <c r="H1902" s="8">
        <v>3.85</v>
      </c>
      <c r="I1902" s="4">
        <v>0</v>
      </c>
    </row>
    <row r="1903" spans="1:9" x14ac:dyDescent="0.2">
      <c r="A1903" s="2">
        <v>13</v>
      </c>
      <c r="B1903" s="1" t="s">
        <v>107</v>
      </c>
      <c r="C1903" s="4">
        <v>1</v>
      </c>
      <c r="D1903" s="8">
        <v>1.67</v>
      </c>
      <c r="E1903" s="4">
        <v>1</v>
      </c>
      <c r="F1903" s="8">
        <v>3.03</v>
      </c>
      <c r="G1903" s="4">
        <v>0</v>
      </c>
      <c r="H1903" s="8">
        <v>0</v>
      </c>
      <c r="I1903" s="4">
        <v>0</v>
      </c>
    </row>
    <row r="1904" spans="1:9" x14ac:dyDescent="0.2">
      <c r="A1904" s="2">
        <v>13</v>
      </c>
      <c r="B1904" s="1" t="s">
        <v>115</v>
      </c>
      <c r="C1904" s="4">
        <v>1</v>
      </c>
      <c r="D1904" s="8">
        <v>1.67</v>
      </c>
      <c r="E1904" s="4">
        <v>1</v>
      </c>
      <c r="F1904" s="8">
        <v>3.03</v>
      </c>
      <c r="G1904" s="4">
        <v>0</v>
      </c>
      <c r="H1904" s="8">
        <v>0</v>
      </c>
      <c r="I1904" s="4">
        <v>0</v>
      </c>
    </row>
    <row r="1905" spans="1:9" x14ac:dyDescent="0.2">
      <c r="A1905" s="2">
        <v>13</v>
      </c>
      <c r="B1905" s="1" t="s">
        <v>163</v>
      </c>
      <c r="C1905" s="4">
        <v>1</v>
      </c>
      <c r="D1905" s="8">
        <v>1.67</v>
      </c>
      <c r="E1905" s="4">
        <v>0</v>
      </c>
      <c r="F1905" s="8">
        <v>0</v>
      </c>
      <c r="G1905" s="4">
        <v>1</v>
      </c>
      <c r="H1905" s="8">
        <v>3.85</v>
      </c>
      <c r="I1905" s="4">
        <v>0</v>
      </c>
    </row>
    <row r="1906" spans="1:9" x14ac:dyDescent="0.2">
      <c r="A1906" s="2">
        <v>13</v>
      </c>
      <c r="B1906" s="1" t="s">
        <v>124</v>
      </c>
      <c r="C1906" s="4">
        <v>1</v>
      </c>
      <c r="D1906" s="8">
        <v>1.67</v>
      </c>
      <c r="E1906" s="4">
        <v>0</v>
      </c>
      <c r="F1906" s="8">
        <v>0</v>
      </c>
      <c r="G1906" s="4">
        <v>1</v>
      </c>
      <c r="H1906" s="8">
        <v>3.85</v>
      </c>
      <c r="I1906" s="4">
        <v>0</v>
      </c>
    </row>
    <row r="1907" spans="1:9" x14ac:dyDescent="0.2">
      <c r="A1907" s="1"/>
      <c r="C1907" s="4"/>
      <c r="D1907" s="8"/>
      <c r="E1907" s="4"/>
      <c r="F1907" s="8"/>
      <c r="G1907" s="4"/>
      <c r="H1907" s="8"/>
      <c r="I1907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C4BD1-0323-4C2F-8510-67FFA1879A5F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391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2</v>
      </c>
      <c r="D5" s="8">
        <v>0.64</v>
      </c>
      <c r="E5" s="12">
        <v>0</v>
      </c>
      <c r="F5" s="8">
        <v>0</v>
      </c>
      <c r="G5" s="12">
        <v>2</v>
      </c>
      <c r="H5" s="8">
        <v>1.79</v>
      </c>
      <c r="I5" s="12">
        <v>0</v>
      </c>
    </row>
    <row r="6" spans="2:9" ht="15" customHeight="1" x14ac:dyDescent="0.2">
      <c r="B6" t="s">
        <v>79</v>
      </c>
      <c r="C6" s="12">
        <v>80</v>
      </c>
      <c r="D6" s="8">
        <v>25.72</v>
      </c>
      <c r="E6" s="12">
        <v>48</v>
      </c>
      <c r="F6" s="8">
        <v>24.49</v>
      </c>
      <c r="G6" s="12">
        <v>32</v>
      </c>
      <c r="H6" s="8">
        <v>28.57</v>
      </c>
      <c r="I6" s="12">
        <v>0</v>
      </c>
    </row>
    <row r="7" spans="2:9" ht="15" customHeight="1" x14ac:dyDescent="0.2">
      <c r="B7" t="s">
        <v>80</v>
      </c>
      <c r="C7" s="12">
        <v>46</v>
      </c>
      <c r="D7" s="8">
        <v>14.79</v>
      </c>
      <c r="E7" s="12">
        <v>19</v>
      </c>
      <c r="F7" s="8">
        <v>9.69</v>
      </c>
      <c r="G7" s="12">
        <v>27</v>
      </c>
      <c r="H7" s="8">
        <v>24.11</v>
      </c>
      <c r="I7" s="12">
        <v>0</v>
      </c>
    </row>
    <row r="8" spans="2:9" ht="15" customHeight="1" x14ac:dyDescent="0.2">
      <c r="B8" t="s">
        <v>81</v>
      </c>
      <c r="C8" s="12">
        <v>2</v>
      </c>
      <c r="D8" s="8">
        <v>0.64</v>
      </c>
      <c r="E8" s="12">
        <v>0</v>
      </c>
      <c r="F8" s="8">
        <v>0</v>
      </c>
      <c r="G8" s="12">
        <v>2</v>
      </c>
      <c r="H8" s="8">
        <v>1.79</v>
      </c>
      <c r="I8" s="12">
        <v>0</v>
      </c>
    </row>
    <row r="9" spans="2:9" ht="15" customHeight="1" x14ac:dyDescent="0.2">
      <c r="B9" t="s">
        <v>82</v>
      </c>
      <c r="C9" s="12">
        <v>1</v>
      </c>
      <c r="D9" s="8">
        <v>0.32</v>
      </c>
      <c r="E9" s="12">
        <v>0</v>
      </c>
      <c r="F9" s="8">
        <v>0</v>
      </c>
      <c r="G9" s="12">
        <v>1</v>
      </c>
      <c r="H9" s="8">
        <v>0.89</v>
      </c>
      <c r="I9" s="12">
        <v>0</v>
      </c>
    </row>
    <row r="10" spans="2:9" ht="15" customHeight="1" x14ac:dyDescent="0.2">
      <c r="B10" t="s">
        <v>83</v>
      </c>
      <c r="C10" s="12">
        <v>3</v>
      </c>
      <c r="D10" s="8">
        <v>0.96</v>
      </c>
      <c r="E10" s="12">
        <v>2</v>
      </c>
      <c r="F10" s="8">
        <v>1.02</v>
      </c>
      <c r="G10" s="12">
        <v>1</v>
      </c>
      <c r="H10" s="8">
        <v>0.89</v>
      </c>
      <c r="I10" s="12">
        <v>0</v>
      </c>
    </row>
    <row r="11" spans="2:9" ht="15" customHeight="1" x14ac:dyDescent="0.2">
      <c r="B11" t="s">
        <v>84</v>
      </c>
      <c r="C11" s="12">
        <v>57</v>
      </c>
      <c r="D11" s="8">
        <v>18.329999999999998</v>
      </c>
      <c r="E11" s="12">
        <v>38</v>
      </c>
      <c r="F11" s="8">
        <v>19.39</v>
      </c>
      <c r="G11" s="12">
        <v>19</v>
      </c>
      <c r="H11" s="8">
        <v>16.96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9</v>
      </c>
      <c r="D13" s="8">
        <v>2.89</v>
      </c>
      <c r="E13" s="12">
        <v>1</v>
      </c>
      <c r="F13" s="8">
        <v>0.51</v>
      </c>
      <c r="G13" s="12">
        <v>7</v>
      </c>
      <c r="H13" s="8">
        <v>6.25</v>
      </c>
      <c r="I13" s="12">
        <v>0</v>
      </c>
    </row>
    <row r="14" spans="2:9" ht="15" customHeight="1" x14ac:dyDescent="0.2">
      <c r="B14" t="s">
        <v>87</v>
      </c>
      <c r="C14" s="12">
        <v>12</v>
      </c>
      <c r="D14" s="8">
        <v>3.86</v>
      </c>
      <c r="E14" s="12">
        <v>7</v>
      </c>
      <c r="F14" s="8">
        <v>3.57</v>
      </c>
      <c r="G14" s="12">
        <v>5</v>
      </c>
      <c r="H14" s="8">
        <v>4.46</v>
      </c>
      <c r="I14" s="12">
        <v>0</v>
      </c>
    </row>
    <row r="15" spans="2:9" ht="15" customHeight="1" x14ac:dyDescent="0.2">
      <c r="B15" t="s">
        <v>88</v>
      </c>
      <c r="C15" s="12">
        <v>33</v>
      </c>
      <c r="D15" s="8">
        <v>10.61</v>
      </c>
      <c r="E15" s="12">
        <v>27</v>
      </c>
      <c r="F15" s="8">
        <v>13.78</v>
      </c>
      <c r="G15" s="12">
        <v>6</v>
      </c>
      <c r="H15" s="8">
        <v>5.36</v>
      </c>
      <c r="I15" s="12">
        <v>0</v>
      </c>
    </row>
    <row r="16" spans="2:9" ht="15" customHeight="1" x14ac:dyDescent="0.2">
      <c r="B16" t="s">
        <v>89</v>
      </c>
      <c r="C16" s="12">
        <v>37</v>
      </c>
      <c r="D16" s="8">
        <v>11.9</v>
      </c>
      <c r="E16" s="12">
        <v>34</v>
      </c>
      <c r="F16" s="8">
        <v>17.350000000000001</v>
      </c>
      <c r="G16" s="12">
        <v>3</v>
      </c>
      <c r="H16" s="8">
        <v>2.68</v>
      </c>
      <c r="I16" s="12">
        <v>0</v>
      </c>
    </row>
    <row r="17" spans="2:9" ht="15" customHeight="1" x14ac:dyDescent="0.2">
      <c r="B17" t="s">
        <v>90</v>
      </c>
      <c r="C17" s="12">
        <v>3</v>
      </c>
      <c r="D17" s="8">
        <v>0.96</v>
      </c>
      <c r="E17" s="12">
        <v>2</v>
      </c>
      <c r="F17" s="8">
        <v>1.02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11</v>
      </c>
      <c r="D18" s="8">
        <v>3.54</v>
      </c>
      <c r="E18" s="12">
        <v>9</v>
      </c>
      <c r="F18" s="8">
        <v>4.59</v>
      </c>
      <c r="G18" s="12">
        <v>2</v>
      </c>
      <c r="H18" s="8">
        <v>1.79</v>
      </c>
      <c r="I18" s="12">
        <v>0</v>
      </c>
    </row>
    <row r="19" spans="2:9" ht="15" customHeight="1" x14ac:dyDescent="0.2">
      <c r="B19" t="s">
        <v>92</v>
      </c>
      <c r="C19" s="12">
        <v>15</v>
      </c>
      <c r="D19" s="8">
        <v>4.82</v>
      </c>
      <c r="E19" s="12">
        <v>9</v>
      </c>
      <c r="F19" s="8">
        <v>4.59</v>
      </c>
      <c r="G19" s="12">
        <v>5</v>
      </c>
      <c r="H19" s="8">
        <v>4.46</v>
      </c>
      <c r="I19" s="12">
        <v>0</v>
      </c>
    </row>
    <row r="20" spans="2:9" ht="15" customHeight="1" x14ac:dyDescent="0.2">
      <c r="B20" s="9" t="s">
        <v>363</v>
      </c>
      <c r="C20" s="12">
        <f>SUM(LTBL_20309[総数／事業所数])</f>
        <v>311</v>
      </c>
      <c r="E20" s="12">
        <f>SUBTOTAL(109,LTBL_20309[個人／事業所数])</f>
        <v>196</v>
      </c>
      <c r="G20" s="12">
        <f>SUBTOTAL(109,LTBL_20309[法人／事業所数])</f>
        <v>112</v>
      </c>
      <c r="I20" s="12">
        <f>SUBTOTAL(109,LTBL_20309[法人以外の団体／事業所数])</f>
        <v>0</v>
      </c>
    </row>
    <row r="21" spans="2:9" ht="15" customHeight="1" x14ac:dyDescent="0.2">
      <c r="E21" s="11">
        <f>LTBL_20309[[#Totals],[個人／事業所数]]/LTBL_20309[[#Totals],[総数／事業所数]]</f>
        <v>0.63022508038585212</v>
      </c>
      <c r="G21" s="11">
        <f>LTBL_20309[[#Totals],[法人／事業所数]]/LTBL_20309[[#Totals],[総数／事業所数]]</f>
        <v>0.36012861736334406</v>
      </c>
      <c r="I21" s="11">
        <f>LTBL_20309[[#Totals],[法人以外の団体／事業所数]]/LTBL_20309[[#Totals],[総数／事業所数]]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101</v>
      </c>
      <c r="C24" s="12">
        <v>42</v>
      </c>
      <c r="D24" s="8">
        <v>13.5</v>
      </c>
      <c r="E24" s="12">
        <v>21</v>
      </c>
      <c r="F24" s="8">
        <v>10.71</v>
      </c>
      <c r="G24" s="12">
        <v>21</v>
      </c>
      <c r="H24" s="8">
        <v>18.75</v>
      </c>
      <c r="I24" s="12">
        <v>0</v>
      </c>
    </row>
    <row r="25" spans="2:9" ht="15" customHeight="1" x14ac:dyDescent="0.2">
      <c r="B25" t="s">
        <v>116</v>
      </c>
      <c r="C25" s="12">
        <v>31</v>
      </c>
      <c r="D25" s="8">
        <v>9.9700000000000006</v>
      </c>
      <c r="E25" s="12">
        <v>29</v>
      </c>
      <c r="F25" s="8">
        <v>14.8</v>
      </c>
      <c r="G25" s="12">
        <v>2</v>
      </c>
      <c r="H25" s="8">
        <v>1.79</v>
      </c>
      <c r="I25" s="12">
        <v>0</v>
      </c>
    </row>
    <row r="26" spans="2:9" ht="15" customHeight="1" x14ac:dyDescent="0.2">
      <c r="B26" t="s">
        <v>102</v>
      </c>
      <c r="C26" s="12">
        <v>24</v>
      </c>
      <c r="D26" s="8">
        <v>7.72</v>
      </c>
      <c r="E26" s="12">
        <v>20</v>
      </c>
      <c r="F26" s="8">
        <v>10.199999999999999</v>
      </c>
      <c r="G26" s="12">
        <v>4</v>
      </c>
      <c r="H26" s="8">
        <v>3.57</v>
      </c>
      <c r="I26" s="12">
        <v>0</v>
      </c>
    </row>
    <row r="27" spans="2:9" ht="15" customHeight="1" x14ac:dyDescent="0.2">
      <c r="B27" t="s">
        <v>110</v>
      </c>
      <c r="C27" s="12">
        <v>21</v>
      </c>
      <c r="D27" s="8">
        <v>6.75</v>
      </c>
      <c r="E27" s="12">
        <v>17</v>
      </c>
      <c r="F27" s="8">
        <v>8.67</v>
      </c>
      <c r="G27" s="12">
        <v>4</v>
      </c>
      <c r="H27" s="8">
        <v>3.57</v>
      </c>
      <c r="I27" s="12">
        <v>0</v>
      </c>
    </row>
    <row r="28" spans="2:9" ht="15" customHeight="1" x14ac:dyDescent="0.2">
      <c r="B28" t="s">
        <v>115</v>
      </c>
      <c r="C28" s="12">
        <v>20</v>
      </c>
      <c r="D28" s="8">
        <v>6.43</v>
      </c>
      <c r="E28" s="12">
        <v>18</v>
      </c>
      <c r="F28" s="8">
        <v>9.18</v>
      </c>
      <c r="G28" s="12">
        <v>2</v>
      </c>
      <c r="H28" s="8">
        <v>1.79</v>
      </c>
      <c r="I28" s="12">
        <v>0</v>
      </c>
    </row>
    <row r="29" spans="2:9" ht="15" customHeight="1" x14ac:dyDescent="0.2">
      <c r="B29" t="s">
        <v>103</v>
      </c>
      <c r="C29" s="12">
        <v>14</v>
      </c>
      <c r="D29" s="8">
        <v>4.5</v>
      </c>
      <c r="E29" s="12">
        <v>7</v>
      </c>
      <c r="F29" s="8">
        <v>3.57</v>
      </c>
      <c r="G29" s="12">
        <v>7</v>
      </c>
      <c r="H29" s="8">
        <v>6.25</v>
      </c>
      <c r="I29" s="12">
        <v>0</v>
      </c>
    </row>
    <row r="30" spans="2:9" ht="15" customHeight="1" x14ac:dyDescent="0.2">
      <c r="B30" t="s">
        <v>108</v>
      </c>
      <c r="C30" s="12">
        <v>12</v>
      </c>
      <c r="D30" s="8">
        <v>3.86</v>
      </c>
      <c r="E30" s="12">
        <v>11</v>
      </c>
      <c r="F30" s="8">
        <v>5.61</v>
      </c>
      <c r="G30" s="12">
        <v>1</v>
      </c>
      <c r="H30" s="8">
        <v>0.89</v>
      </c>
      <c r="I30" s="12">
        <v>0</v>
      </c>
    </row>
    <row r="31" spans="2:9" ht="15" customHeight="1" x14ac:dyDescent="0.2">
      <c r="B31" t="s">
        <v>114</v>
      </c>
      <c r="C31" s="12">
        <v>11</v>
      </c>
      <c r="D31" s="8">
        <v>3.54</v>
      </c>
      <c r="E31" s="12">
        <v>8</v>
      </c>
      <c r="F31" s="8">
        <v>4.08</v>
      </c>
      <c r="G31" s="12">
        <v>3</v>
      </c>
      <c r="H31" s="8">
        <v>2.68</v>
      </c>
      <c r="I31" s="12">
        <v>0</v>
      </c>
    </row>
    <row r="32" spans="2:9" ht="15" customHeight="1" x14ac:dyDescent="0.2">
      <c r="B32" t="s">
        <v>109</v>
      </c>
      <c r="C32" s="12">
        <v>10</v>
      </c>
      <c r="D32" s="8">
        <v>3.22</v>
      </c>
      <c r="E32" s="12">
        <v>6</v>
      </c>
      <c r="F32" s="8">
        <v>3.06</v>
      </c>
      <c r="G32" s="12">
        <v>4</v>
      </c>
      <c r="H32" s="8">
        <v>3.57</v>
      </c>
      <c r="I32" s="12">
        <v>0</v>
      </c>
    </row>
    <row r="33" spans="2:9" ht="15" customHeight="1" x14ac:dyDescent="0.2">
      <c r="B33" t="s">
        <v>120</v>
      </c>
      <c r="C33" s="12">
        <v>10</v>
      </c>
      <c r="D33" s="8">
        <v>3.22</v>
      </c>
      <c r="E33" s="12">
        <v>8</v>
      </c>
      <c r="F33" s="8">
        <v>4.08</v>
      </c>
      <c r="G33" s="12">
        <v>2</v>
      </c>
      <c r="H33" s="8">
        <v>1.79</v>
      </c>
      <c r="I33" s="12">
        <v>0</v>
      </c>
    </row>
    <row r="34" spans="2:9" ht="15" customHeight="1" x14ac:dyDescent="0.2">
      <c r="B34" t="s">
        <v>118</v>
      </c>
      <c r="C34" s="12">
        <v>9</v>
      </c>
      <c r="D34" s="8">
        <v>2.89</v>
      </c>
      <c r="E34" s="12">
        <v>9</v>
      </c>
      <c r="F34" s="8">
        <v>4.59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127</v>
      </c>
      <c r="C35" s="12">
        <v>6</v>
      </c>
      <c r="D35" s="8">
        <v>1.93</v>
      </c>
      <c r="E35" s="12">
        <v>2</v>
      </c>
      <c r="F35" s="8">
        <v>1.02</v>
      </c>
      <c r="G35" s="12">
        <v>4</v>
      </c>
      <c r="H35" s="8">
        <v>3.57</v>
      </c>
      <c r="I35" s="12">
        <v>0</v>
      </c>
    </row>
    <row r="36" spans="2:9" ht="15" customHeight="1" x14ac:dyDescent="0.2">
      <c r="B36" t="s">
        <v>105</v>
      </c>
      <c r="C36" s="12">
        <v>6</v>
      </c>
      <c r="D36" s="8">
        <v>1.93</v>
      </c>
      <c r="E36" s="12">
        <v>2</v>
      </c>
      <c r="F36" s="8">
        <v>1.02</v>
      </c>
      <c r="G36" s="12">
        <v>4</v>
      </c>
      <c r="H36" s="8">
        <v>3.57</v>
      </c>
      <c r="I36" s="12">
        <v>0</v>
      </c>
    </row>
    <row r="37" spans="2:9" ht="15" customHeight="1" x14ac:dyDescent="0.2">
      <c r="B37" t="s">
        <v>111</v>
      </c>
      <c r="C37" s="12">
        <v>6</v>
      </c>
      <c r="D37" s="8">
        <v>1.93</v>
      </c>
      <c r="E37" s="12">
        <v>1</v>
      </c>
      <c r="F37" s="8">
        <v>0.51</v>
      </c>
      <c r="G37" s="12">
        <v>4</v>
      </c>
      <c r="H37" s="8">
        <v>3.57</v>
      </c>
      <c r="I37" s="12">
        <v>0</v>
      </c>
    </row>
    <row r="38" spans="2:9" ht="15" customHeight="1" x14ac:dyDescent="0.2">
      <c r="B38" t="s">
        <v>113</v>
      </c>
      <c r="C38" s="12">
        <v>6</v>
      </c>
      <c r="D38" s="8">
        <v>1.93</v>
      </c>
      <c r="E38" s="12">
        <v>3</v>
      </c>
      <c r="F38" s="8">
        <v>1.53</v>
      </c>
      <c r="G38" s="12">
        <v>3</v>
      </c>
      <c r="H38" s="8">
        <v>2.68</v>
      </c>
      <c r="I38" s="12">
        <v>0</v>
      </c>
    </row>
    <row r="39" spans="2:9" ht="15" customHeight="1" x14ac:dyDescent="0.2">
      <c r="B39" t="s">
        <v>152</v>
      </c>
      <c r="C39" s="12">
        <v>5</v>
      </c>
      <c r="D39" s="8">
        <v>1.61</v>
      </c>
      <c r="E39" s="12">
        <v>3</v>
      </c>
      <c r="F39" s="8">
        <v>1.53</v>
      </c>
      <c r="G39" s="12">
        <v>2</v>
      </c>
      <c r="H39" s="8">
        <v>1.79</v>
      </c>
      <c r="I39" s="12">
        <v>0</v>
      </c>
    </row>
    <row r="40" spans="2:9" ht="15" customHeight="1" x14ac:dyDescent="0.2">
      <c r="B40" t="s">
        <v>121</v>
      </c>
      <c r="C40" s="12">
        <v>5</v>
      </c>
      <c r="D40" s="8">
        <v>1.61</v>
      </c>
      <c r="E40" s="12">
        <v>0</v>
      </c>
      <c r="F40" s="8">
        <v>0</v>
      </c>
      <c r="G40" s="12">
        <v>5</v>
      </c>
      <c r="H40" s="8">
        <v>4.46</v>
      </c>
      <c r="I40" s="12">
        <v>0</v>
      </c>
    </row>
    <row r="41" spans="2:9" ht="15" customHeight="1" x14ac:dyDescent="0.2">
      <c r="B41" t="s">
        <v>107</v>
      </c>
      <c r="C41" s="12">
        <v>5</v>
      </c>
      <c r="D41" s="8">
        <v>1.61</v>
      </c>
      <c r="E41" s="12">
        <v>2</v>
      </c>
      <c r="F41" s="8">
        <v>1.02</v>
      </c>
      <c r="G41" s="12">
        <v>3</v>
      </c>
      <c r="H41" s="8">
        <v>2.68</v>
      </c>
      <c r="I41" s="12">
        <v>0</v>
      </c>
    </row>
    <row r="42" spans="2:9" ht="15" customHeight="1" x14ac:dyDescent="0.2">
      <c r="B42" t="s">
        <v>112</v>
      </c>
      <c r="C42" s="12">
        <v>5</v>
      </c>
      <c r="D42" s="8">
        <v>1.61</v>
      </c>
      <c r="E42" s="12">
        <v>4</v>
      </c>
      <c r="F42" s="8">
        <v>2.04</v>
      </c>
      <c r="G42" s="12">
        <v>1</v>
      </c>
      <c r="H42" s="8">
        <v>0.89</v>
      </c>
      <c r="I42" s="12">
        <v>0</v>
      </c>
    </row>
    <row r="43" spans="2:9" ht="15" customHeight="1" x14ac:dyDescent="0.2">
      <c r="B43" t="s">
        <v>137</v>
      </c>
      <c r="C43" s="12">
        <v>4</v>
      </c>
      <c r="D43" s="8">
        <v>1.29</v>
      </c>
      <c r="E43" s="12">
        <v>1</v>
      </c>
      <c r="F43" s="8">
        <v>0.51</v>
      </c>
      <c r="G43" s="12">
        <v>3</v>
      </c>
      <c r="H43" s="8">
        <v>2.68</v>
      </c>
      <c r="I43" s="12">
        <v>0</v>
      </c>
    </row>
    <row r="44" spans="2:9" ht="15" customHeight="1" x14ac:dyDescent="0.2">
      <c r="B44" t="s">
        <v>131</v>
      </c>
      <c r="C44" s="12">
        <v>4</v>
      </c>
      <c r="D44" s="8">
        <v>1.29</v>
      </c>
      <c r="E44" s="12">
        <v>4</v>
      </c>
      <c r="F44" s="8">
        <v>2.04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365</v>
      </c>
      <c r="C47" s="10" t="s">
        <v>94</v>
      </c>
      <c r="D47" s="10" t="s">
        <v>95</v>
      </c>
      <c r="E47" s="10" t="s">
        <v>96</v>
      </c>
      <c r="F47" s="10" t="s">
        <v>97</v>
      </c>
      <c r="G47" s="10" t="s">
        <v>98</v>
      </c>
      <c r="H47" s="10" t="s">
        <v>99</v>
      </c>
      <c r="I47" s="10" t="s">
        <v>100</v>
      </c>
    </row>
    <row r="48" spans="2:9" ht="15" customHeight="1" x14ac:dyDescent="0.2">
      <c r="B48" t="s">
        <v>176</v>
      </c>
      <c r="C48" s="12">
        <v>19</v>
      </c>
      <c r="D48" s="8">
        <v>6.11</v>
      </c>
      <c r="E48" s="12">
        <v>13</v>
      </c>
      <c r="F48" s="8">
        <v>6.63</v>
      </c>
      <c r="G48" s="12">
        <v>6</v>
      </c>
      <c r="H48" s="8">
        <v>5.36</v>
      </c>
      <c r="I48" s="12">
        <v>0</v>
      </c>
    </row>
    <row r="49" spans="2:9" ht="15" customHeight="1" x14ac:dyDescent="0.2">
      <c r="B49" t="s">
        <v>191</v>
      </c>
      <c r="C49" s="12">
        <v>17</v>
      </c>
      <c r="D49" s="8">
        <v>5.47</v>
      </c>
      <c r="E49" s="12">
        <v>17</v>
      </c>
      <c r="F49" s="8">
        <v>8.67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174</v>
      </c>
      <c r="C50" s="12">
        <v>15</v>
      </c>
      <c r="D50" s="8">
        <v>4.82</v>
      </c>
      <c r="E50" s="12">
        <v>3</v>
      </c>
      <c r="F50" s="8">
        <v>1.53</v>
      </c>
      <c r="G50" s="12">
        <v>12</v>
      </c>
      <c r="H50" s="8">
        <v>10.71</v>
      </c>
      <c r="I50" s="12">
        <v>0</v>
      </c>
    </row>
    <row r="51" spans="2:9" ht="15" customHeight="1" x14ac:dyDescent="0.2">
      <c r="B51" t="s">
        <v>200</v>
      </c>
      <c r="C51" s="12">
        <v>10</v>
      </c>
      <c r="D51" s="8">
        <v>3.22</v>
      </c>
      <c r="E51" s="12">
        <v>8</v>
      </c>
      <c r="F51" s="8">
        <v>4.08</v>
      </c>
      <c r="G51" s="12">
        <v>2</v>
      </c>
      <c r="H51" s="8">
        <v>1.79</v>
      </c>
      <c r="I51" s="12">
        <v>0</v>
      </c>
    </row>
    <row r="52" spans="2:9" ht="15" customHeight="1" x14ac:dyDescent="0.2">
      <c r="B52" t="s">
        <v>190</v>
      </c>
      <c r="C52" s="12">
        <v>9</v>
      </c>
      <c r="D52" s="8">
        <v>2.89</v>
      </c>
      <c r="E52" s="12">
        <v>9</v>
      </c>
      <c r="F52" s="8">
        <v>4.59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210</v>
      </c>
      <c r="C53" s="12">
        <v>8</v>
      </c>
      <c r="D53" s="8">
        <v>2.57</v>
      </c>
      <c r="E53" s="12">
        <v>8</v>
      </c>
      <c r="F53" s="8">
        <v>4.08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181</v>
      </c>
      <c r="C54" s="12">
        <v>8</v>
      </c>
      <c r="D54" s="8">
        <v>2.57</v>
      </c>
      <c r="E54" s="12">
        <v>6</v>
      </c>
      <c r="F54" s="8">
        <v>3.06</v>
      </c>
      <c r="G54" s="12">
        <v>2</v>
      </c>
      <c r="H54" s="8">
        <v>1.79</v>
      </c>
      <c r="I54" s="12">
        <v>0</v>
      </c>
    </row>
    <row r="55" spans="2:9" ht="15" customHeight="1" x14ac:dyDescent="0.2">
      <c r="B55" t="s">
        <v>187</v>
      </c>
      <c r="C55" s="12">
        <v>8</v>
      </c>
      <c r="D55" s="8">
        <v>2.57</v>
      </c>
      <c r="E55" s="12">
        <v>7</v>
      </c>
      <c r="F55" s="8">
        <v>3.57</v>
      </c>
      <c r="G55" s="12">
        <v>1</v>
      </c>
      <c r="H55" s="8">
        <v>0.89</v>
      </c>
      <c r="I55" s="12">
        <v>0</v>
      </c>
    </row>
    <row r="56" spans="2:9" ht="15" customHeight="1" x14ac:dyDescent="0.2">
      <c r="B56" t="s">
        <v>177</v>
      </c>
      <c r="C56" s="12">
        <v>7</v>
      </c>
      <c r="D56" s="8">
        <v>2.25</v>
      </c>
      <c r="E56" s="12">
        <v>4</v>
      </c>
      <c r="F56" s="8">
        <v>2.04</v>
      </c>
      <c r="G56" s="12">
        <v>3</v>
      </c>
      <c r="H56" s="8">
        <v>2.68</v>
      </c>
      <c r="I56" s="12">
        <v>0</v>
      </c>
    </row>
    <row r="57" spans="2:9" ht="15" customHeight="1" x14ac:dyDescent="0.2">
      <c r="B57" t="s">
        <v>180</v>
      </c>
      <c r="C57" s="12">
        <v>7</v>
      </c>
      <c r="D57" s="8">
        <v>2.25</v>
      </c>
      <c r="E57" s="12">
        <v>3</v>
      </c>
      <c r="F57" s="8">
        <v>1.53</v>
      </c>
      <c r="G57" s="12">
        <v>4</v>
      </c>
      <c r="H57" s="8">
        <v>3.57</v>
      </c>
      <c r="I57" s="12">
        <v>0</v>
      </c>
    </row>
    <row r="58" spans="2:9" ht="15" customHeight="1" x14ac:dyDescent="0.2">
      <c r="B58" t="s">
        <v>178</v>
      </c>
      <c r="C58" s="12">
        <v>6</v>
      </c>
      <c r="D58" s="8">
        <v>1.93</v>
      </c>
      <c r="E58" s="12">
        <v>3</v>
      </c>
      <c r="F58" s="8">
        <v>1.53</v>
      </c>
      <c r="G58" s="12">
        <v>3</v>
      </c>
      <c r="H58" s="8">
        <v>2.68</v>
      </c>
      <c r="I58" s="12">
        <v>0</v>
      </c>
    </row>
    <row r="59" spans="2:9" ht="15" customHeight="1" x14ac:dyDescent="0.2">
      <c r="B59" t="s">
        <v>185</v>
      </c>
      <c r="C59" s="12">
        <v>6</v>
      </c>
      <c r="D59" s="8">
        <v>1.93</v>
      </c>
      <c r="E59" s="12">
        <v>5</v>
      </c>
      <c r="F59" s="8">
        <v>2.5499999999999998</v>
      </c>
      <c r="G59" s="12">
        <v>1</v>
      </c>
      <c r="H59" s="8">
        <v>0.89</v>
      </c>
      <c r="I59" s="12">
        <v>0</v>
      </c>
    </row>
    <row r="60" spans="2:9" ht="15" customHeight="1" x14ac:dyDescent="0.2">
      <c r="B60" t="s">
        <v>204</v>
      </c>
      <c r="C60" s="12">
        <v>5</v>
      </c>
      <c r="D60" s="8">
        <v>1.61</v>
      </c>
      <c r="E60" s="12">
        <v>2</v>
      </c>
      <c r="F60" s="8">
        <v>1.02</v>
      </c>
      <c r="G60" s="12">
        <v>3</v>
      </c>
      <c r="H60" s="8">
        <v>2.68</v>
      </c>
      <c r="I60" s="12">
        <v>0</v>
      </c>
    </row>
    <row r="61" spans="2:9" ht="15" customHeight="1" x14ac:dyDescent="0.2">
      <c r="B61" t="s">
        <v>216</v>
      </c>
      <c r="C61" s="12">
        <v>5</v>
      </c>
      <c r="D61" s="8">
        <v>1.61</v>
      </c>
      <c r="E61" s="12">
        <v>4</v>
      </c>
      <c r="F61" s="8">
        <v>2.04</v>
      </c>
      <c r="G61" s="12">
        <v>1</v>
      </c>
      <c r="H61" s="8">
        <v>0.89</v>
      </c>
      <c r="I61" s="12">
        <v>0</v>
      </c>
    </row>
    <row r="62" spans="2:9" ht="15" customHeight="1" x14ac:dyDescent="0.2">
      <c r="B62" t="s">
        <v>183</v>
      </c>
      <c r="C62" s="12">
        <v>5</v>
      </c>
      <c r="D62" s="8">
        <v>1.61</v>
      </c>
      <c r="E62" s="12">
        <v>1</v>
      </c>
      <c r="F62" s="8">
        <v>0.51</v>
      </c>
      <c r="G62" s="12">
        <v>4</v>
      </c>
      <c r="H62" s="8">
        <v>3.57</v>
      </c>
      <c r="I62" s="12">
        <v>0</v>
      </c>
    </row>
    <row r="63" spans="2:9" ht="15" customHeight="1" x14ac:dyDescent="0.2">
      <c r="B63" t="s">
        <v>193</v>
      </c>
      <c r="C63" s="12">
        <v>5</v>
      </c>
      <c r="D63" s="8">
        <v>1.61</v>
      </c>
      <c r="E63" s="12">
        <v>5</v>
      </c>
      <c r="F63" s="8">
        <v>2.5499999999999998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175</v>
      </c>
      <c r="C64" s="12">
        <v>4</v>
      </c>
      <c r="D64" s="8">
        <v>1.29</v>
      </c>
      <c r="E64" s="12">
        <v>4</v>
      </c>
      <c r="F64" s="8">
        <v>2.04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218</v>
      </c>
      <c r="C65" s="12">
        <v>4</v>
      </c>
      <c r="D65" s="8">
        <v>1.29</v>
      </c>
      <c r="E65" s="12">
        <v>3</v>
      </c>
      <c r="F65" s="8">
        <v>1.53</v>
      </c>
      <c r="G65" s="12">
        <v>1</v>
      </c>
      <c r="H65" s="8">
        <v>0.89</v>
      </c>
      <c r="I65" s="12">
        <v>0</v>
      </c>
    </row>
    <row r="66" spans="2:9" ht="15" customHeight="1" x14ac:dyDescent="0.2">
      <c r="B66" t="s">
        <v>261</v>
      </c>
      <c r="C66" s="12">
        <v>4</v>
      </c>
      <c r="D66" s="8">
        <v>1.29</v>
      </c>
      <c r="E66" s="12">
        <v>3</v>
      </c>
      <c r="F66" s="8">
        <v>1.53</v>
      </c>
      <c r="G66" s="12">
        <v>1</v>
      </c>
      <c r="H66" s="8">
        <v>0.89</v>
      </c>
      <c r="I66" s="12">
        <v>0</v>
      </c>
    </row>
    <row r="67" spans="2:9" ht="15" customHeight="1" x14ac:dyDescent="0.2">
      <c r="B67" t="s">
        <v>214</v>
      </c>
      <c r="C67" s="12">
        <v>4</v>
      </c>
      <c r="D67" s="8">
        <v>1.29</v>
      </c>
      <c r="E67" s="12">
        <v>4</v>
      </c>
      <c r="F67" s="8">
        <v>2.04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247</v>
      </c>
      <c r="C68" s="12">
        <v>4</v>
      </c>
      <c r="D68" s="8">
        <v>1.29</v>
      </c>
      <c r="E68" s="12">
        <v>3</v>
      </c>
      <c r="F68" s="8">
        <v>1.53</v>
      </c>
      <c r="G68" s="12">
        <v>1</v>
      </c>
      <c r="H68" s="8">
        <v>0.89</v>
      </c>
      <c r="I68" s="12">
        <v>0</v>
      </c>
    </row>
    <row r="69" spans="2:9" ht="15" customHeight="1" x14ac:dyDescent="0.2">
      <c r="B69" t="s">
        <v>228</v>
      </c>
      <c r="C69" s="12">
        <v>4</v>
      </c>
      <c r="D69" s="8">
        <v>1.29</v>
      </c>
      <c r="E69" s="12">
        <v>4</v>
      </c>
      <c r="F69" s="8">
        <v>2.04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1F71B-ECE5-42F1-ABF3-3117C73F5C1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392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117</v>
      </c>
      <c r="D6" s="8">
        <v>10.92</v>
      </c>
      <c r="E6" s="12">
        <v>26</v>
      </c>
      <c r="F6" s="8">
        <v>6.4</v>
      </c>
      <c r="G6" s="12">
        <v>91</v>
      </c>
      <c r="H6" s="8">
        <v>13.96</v>
      </c>
      <c r="I6" s="12">
        <v>0</v>
      </c>
    </row>
    <row r="7" spans="2:9" ht="15" customHeight="1" x14ac:dyDescent="0.2">
      <c r="B7" t="s">
        <v>80</v>
      </c>
      <c r="C7" s="12">
        <v>25</v>
      </c>
      <c r="D7" s="8">
        <v>2.33</v>
      </c>
      <c r="E7" s="12">
        <v>7</v>
      </c>
      <c r="F7" s="8">
        <v>1.72</v>
      </c>
      <c r="G7" s="12">
        <v>17</v>
      </c>
      <c r="H7" s="8">
        <v>2.61</v>
      </c>
      <c r="I7" s="12">
        <v>0</v>
      </c>
    </row>
    <row r="8" spans="2:9" ht="15" customHeight="1" x14ac:dyDescent="0.2">
      <c r="B8" t="s">
        <v>81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11</v>
      </c>
      <c r="D9" s="8">
        <v>1.03</v>
      </c>
      <c r="E9" s="12">
        <v>0</v>
      </c>
      <c r="F9" s="8">
        <v>0</v>
      </c>
      <c r="G9" s="12">
        <v>11</v>
      </c>
      <c r="H9" s="8">
        <v>1.69</v>
      </c>
      <c r="I9" s="12">
        <v>0</v>
      </c>
    </row>
    <row r="10" spans="2:9" ht="15" customHeight="1" x14ac:dyDescent="0.2">
      <c r="B10" t="s">
        <v>83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84</v>
      </c>
      <c r="C11" s="12">
        <v>310</v>
      </c>
      <c r="D11" s="8">
        <v>28.94</v>
      </c>
      <c r="E11" s="12">
        <v>92</v>
      </c>
      <c r="F11" s="8">
        <v>22.66</v>
      </c>
      <c r="G11" s="12">
        <v>217</v>
      </c>
      <c r="H11" s="8">
        <v>33.28</v>
      </c>
      <c r="I11" s="12">
        <v>1</v>
      </c>
    </row>
    <row r="12" spans="2:9" ht="15" customHeight="1" x14ac:dyDescent="0.2">
      <c r="B12" t="s">
        <v>85</v>
      </c>
      <c r="C12" s="12">
        <v>4</v>
      </c>
      <c r="D12" s="8">
        <v>0.37</v>
      </c>
      <c r="E12" s="12">
        <v>0</v>
      </c>
      <c r="F12" s="8">
        <v>0</v>
      </c>
      <c r="G12" s="12">
        <v>4</v>
      </c>
      <c r="H12" s="8">
        <v>0.61</v>
      </c>
      <c r="I12" s="12">
        <v>0</v>
      </c>
    </row>
    <row r="13" spans="2:9" ht="15" customHeight="1" x14ac:dyDescent="0.2">
      <c r="B13" t="s">
        <v>86</v>
      </c>
      <c r="C13" s="12">
        <v>135</v>
      </c>
      <c r="D13" s="8">
        <v>12.61</v>
      </c>
      <c r="E13" s="12">
        <v>13</v>
      </c>
      <c r="F13" s="8">
        <v>3.2</v>
      </c>
      <c r="G13" s="12">
        <v>121</v>
      </c>
      <c r="H13" s="8">
        <v>18.559999999999999</v>
      </c>
      <c r="I13" s="12">
        <v>0</v>
      </c>
    </row>
    <row r="14" spans="2:9" ht="15" customHeight="1" x14ac:dyDescent="0.2">
      <c r="B14" t="s">
        <v>87</v>
      </c>
      <c r="C14" s="12">
        <v>44</v>
      </c>
      <c r="D14" s="8">
        <v>4.1100000000000003</v>
      </c>
      <c r="E14" s="12">
        <v>15</v>
      </c>
      <c r="F14" s="8">
        <v>3.69</v>
      </c>
      <c r="G14" s="12">
        <v>29</v>
      </c>
      <c r="H14" s="8">
        <v>4.45</v>
      </c>
      <c r="I14" s="12">
        <v>0</v>
      </c>
    </row>
    <row r="15" spans="2:9" ht="15" customHeight="1" x14ac:dyDescent="0.2">
      <c r="B15" t="s">
        <v>88</v>
      </c>
      <c r="C15" s="12">
        <v>282</v>
      </c>
      <c r="D15" s="8">
        <v>26.33</v>
      </c>
      <c r="E15" s="12">
        <v>180</v>
      </c>
      <c r="F15" s="8">
        <v>44.33</v>
      </c>
      <c r="G15" s="12">
        <v>102</v>
      </c>
      <c r="H15" s="8">
        <v>15.64</v>
      </c>
      <c r="I15" s="12">
        <v>0</v>
      </c>
    </row>
    <row r="16" spans="2:9" ht="15" customHeight="1" x14ac:dyDescent="0.2">
      <c r="B16" t="s">
        <v>89</v>
      </c>
      <c r="C16" s="12">
        <v>71</v>
      </c>
      <c r="D16" s="8">
        <v>6.63</v>
      </c>
      <c r="E16" s="12">
        <v>43</v>
      </c>
      <c r="F16" s="8">
        <v>10.59</v>
      </c>
      <c r="G16" s="12">
        <v>28</v>
      </c>
      <c r="H16" s="8">
        <v>4.29</v>
      </c>
      <c r="I16" s="12">
        <v>0</v>
      </c>
    </row>
    <row r="17" spans="2:9" ht="15" customHeight="1" x14ac:dyDescent="0.2">
      <c r="B17" t="s">
        <v>90</v>
      </c>
      <c r="C17" s="12">
        <v>27</v>
      </c>
      <c r="D17" s="8">
        <v>2.52</v>
      </c>
      <c r="E17" s="12">
        <v>11</v>
      </c>
      <c r="F17" s="8">
        <v>2.71</v>
      </c>
      <c r="G17" s="12">
        <v>10</v>
      </c>
      <c r="H17" s="8">
        <v>1.53</v>
      </c>
      <c r="I17" s="12">
        <v>2</v>
      </c>
    </row>
    <row r="18" spans="2:9" ht="15" customHeight="1" x14ac:dyDescent="0.2">
      <c r="B18" t="s">
        <v>91</v>
      </c>
      <c r="C18" s="12">
        <v>28</v>
      </c>
      <c r="D18" s="8">
        <v>2.61</v>
      </c>
      <c r="E18" s="12">
        <v>17</v>
      </c>
      <c r="F18" s="8">
        <v>4.1900000000000004</v>
      </c>
      <c r="G18" s="12">
        <v>7</v>
      </c>
      <c r="H18" s="8">
        <v>1.07</v>
      </c>
      <c r="I18" s="12">
        <v>0</v>
      </c>
    </row>
    <row r="19" spans="2:9" ht="15" customHeight="1" x14ac:dyDescent="0.2">
      <c r="B19" t="s">
        <v>92</v>
      </c>
      <c r="C19" s="12">
        <v>17</v>
      </c>
      <c r="D19" s="8">
        <v>1.59</v>
      </c>
      <c r="E19" s="12">
        <v>2</v>
      </c>
      <c r="F19" s="8">
        <v>0.49</v>
      </c>
      <c r="G19" s="12">
        <v>15</v>
      </c>
      <c r="H19" s="8">
        <v>2.2999999999999998</v>
      </c>
      <c r="I19" s="12">
        <v>0</v>
      </c>
    </row>
    <row r="20" spans="2:9" ht="15" customHeight="1" x14ac:dyDescent="0.2">
      <c r="B20" s="9" t="s">
        <v>363</v>
      </c>
      <c r="C20" s="12">
        <f>SUM(LTBL_20321[総数／事業所数])</f>
        <v>1071</v>
      </c>
      <c r="E20" s="12">
        <f>SUBTOTAL(109,LTBL_20321[個人／事業所数])</f>
        <v>406</v>
      </c>
      <c r="G20" s="12">
        <f>SUBTOTAL(109,LTBL_20321[法人／事業所数])</f>
        <v>652</v>
      </c>
      <c r="I20" s="12">
        <f>SUBTOTAL(109,LTBL_20321[法人以外の団体／事業所数])</f>
        <v>3</v>
      </c>
    </row>
    <row r="21" spans="2:9" ht="15" customHeight="1" x14ac:dyDescent="0.2">
      <c r="E21" s="11">
        <f>LTBL_20321[[#Totals],[個人／事業所数]]/LTBL_20321[[#Totals],[総数／事業所数]]</f>
        <v>0.37908496732026142</v>
      </c>
      <c r="G21" s="11">
        <f>LTBL_20321[[#Totals],[法人／事業所数]]/LTBL_20321[[#Totals],[総数／事業所数]]</f>
        <v>0.60877684407096166</v>
      </c>
      <c r="I21" s="11">
        <f>LTBL_20321[[#Totals],[法人以外の団体／事業所数]]/LTBL_20321[[#Totals],[総数／事業所数]]</f>
        <v>2.8011204481792717E-3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163</v>
      </c>
      <c r="D24" s="8">
        <v>15.22</v>
      </c>
      <c r="E24" s="12">
        <v>121</v>
      </c>
      <c r="F24" s="8">
        <v>29.8</v>
      </c>
      <c r="G24" s="12">
        <v>42</v>
      </c>
      <c r="H24" s="8">
        <v>6.44</v>
      </c>
      <c r="I24" s="12">
        <v>0</v>
      </c>
    </row>
    <row r="25" spans="2:9" ht="15" customHeight="1" x14ac:dyDescent="0.2">
      <c r="B25" t="s">
        <v>114</v>
      </c>
      <c r="C25" s="12">
        <v>113</v>
      </c>
      <c r="D25" s="8">
        <v>10.55</v>
      </c>
      <c r="E25" s="12">
        <v>57</v>
      </c>
      <c r="F25" s="8">
        <v>14.04</v>
      </c>
      <c r="G25" s="12">
        <v>56</v>
      </c>
      <c r="H25" s="8">
        <v>8.59</v>
      </c>
      <c r="I25" s="12">
        <v>0</v>
      </c>
    </row>
    <row r="26" spans="2:9" ht="15" customHeight="1" x14ac:dyDescent="0.2">
      <c r="B26" t="s">
        <v>110</v>
      </c>
      <c r="C26" s="12">
        <v>92</v>
      </c>
      <c r="D26" s="8">
        <v>8.59</v>
      </c>
      <c r="E26" s="12">
        <v>34</v>
      </c>
      <c r="F26" s="8">
        <v>8.3699999999999992</v>
      </c>
      <c r="G26" s="12">
        <v>58</v>
      </c>
      <c r="H26" s="8">
        <v>8.9</v>
      </c>
      <c r="I26" s="12">
        <v>0</v>
      </c>
    </row>
    <row r="27" spans="2:9" ht="15" customHeight="1" x14ac:dyDescent="0.2">
      <c r="B27" t="s">
        <v>108</v>
      </c>
      <c r="C27" s="12">
        <v>91</v>
      </c>
      <c r="D27" s="8">
        <v>8.5</v>
      </c>
      <c r="E27" s="12">
        <v>31</v>
      </c>
      <c r="F27" s="8">
        <v>7.64</v>
      </c>
      <c r="G27" s="12">
        <v>59</v>
      </c>
      <c r="H27" s="8">
        <v>9.0500000000000007</v>
      </c>
      <c r="I27" s="12">
        <v>1</v>
      </c>
    </row>
    <row r="28" spans="2:9" ht="15" customHeight="1" x14ac:dyDescent="0.2">
      <c r="B28" t="s">
        <v>101</v>
      </c>
      <c r="C28" s="12">
        <v>80</v>
      </c>
      <c r="D28" s="8">
        <v>7.47</v>
      </c>
      <c r="E28" s="12">
        <v>13</v>
      </c>
      <c r="F28" s="8">
        <v>3.2</v>
      </c>
      <c r="G28" s="12">
        <v>67</v>
      </c>
      <c r="H28" s="8">
        <v>10.28</v>
      </c>
      <c r="I28" s="12">
        <v>0</v>
      </c>
    </row>
    <row r="29" spans="2:9" ht="15" customHeight="1" x14ac:dyDescent="0.2">
      <c r="B29" t="s">
        <v>107</v>
      </c>
      <c r="C29" s="12">
        <v>79</v>
      </c>
      <c r="D29" s="8">
        <v>7.38</v>
      </c>
      <c r="E29" s="12">
        <v>20</v>
      </c>
      <c r="F29" s="8">
        <v>4.93</v>
      </c>
      <c r="G29" s="12">
        <v>59</v>
      </c>
      <c r="H29" s="8">
        <v>9.0500000000000007</v>
      </c>
      <c r="I29" s="12">
        <v>0</v>
      </c>
    </row>
    <row r="30" spans="2:9" ht="15" customHeight="1" x14ac:dyDescent="0.2">
      <c r="B30" t="s">
        <v>111</v>
      </c>
      <c r="C30" s="12">
        <v>64</v>
      </c>
      <c r="D30" s="8">
        <v>5.98</v>
      </c>
      <c r="E30" s="12">
        <v>6</v>
      </c>
      <c r="F30" s="8">
        <v>1.48</v>
      </c>
      <c r="G30" s="12">
        <v>57</v>
      </c>
      <c r="H30" s="8">
        <v>8.74</v>
      </c>
      <c r="I30" s="12">
        <v>0</v>
      </c>
    </row>
    <row r="31" spans="2:9" ht="15" customHeight="1" x14ac:dyDescent="0.2">
      <c r="B31" t="s">
        <v>123</v>
      </c>
      <c r="C31" s="12">
        <v>51</v>
      </c>
      <c r="D31" s="8">
        <v>4.76</v>
      </c>
      <c r="E31" s="12">
        <v>2</v>
      </c>
      <c r="F31" s="8">
        <v>0.49</v>
      </c>
      <c r="G31" s="12">
        <v>49</v>
      </c>
      <c r="H31" s="8">
        <v>7.52</v>
      </c>
      <c r="I31" s="12">
        <v>0</v>
      </c>
    </row>
    <row r="32" spans="2:9" ht="15" customHeight="1" x14ac:dyDescent="0.2">
      <c r="B32" t="s">
        <v>116</v>
      </c>
      <c r="C32" s="12">
        <v>44</v>
      </c>
      <c r="D32" s="8">
        <v>4.1100000000000003</v>
      </c>
      <c r="E32" s="12">
        <v>34</v>
      </c>
      <c r="F32" s="8">
        <v>8.3699999999999992</v>
      </c>
      <c r="G32" s="12">
        <v>10</v>
      </c>
      <c r="H32" s="8">
        <v>1.53</v>
      </c>
      <c r="I32" s="12">
        <v>0</v>
      </c>
    </row>
    <row r="33" spans="2:9" ht="15" customHeight="1" x14ac:dyDescent="0.2">
      <c r="B33" t="s">
        <v>112</v>
      </c>
      <c r="C33" s="12">
        <v>31</v>
      </c>
      <c r="D33" s="8">
        <v>2.89</v>
      </c>
      <c r="E33" s="12">
        <v>12</v>
      </c>
      <c r="F33" s="8">
        <v>2.96</v>
      </c>
      <c r="G33" s="12">
        <v>19</v>
      </c>
      <c r="H33" s="8">
        <v>2.91</v>
      </c>
      <c r="I33" s="12">
        <v>0</v>
      </c>
    </row>
    <row r="34" spans="2:9" ht="15" customHeight="1" x14ac:dyDescent="0.2">
      <c r="B34" t="s">
        <v>117</v>
      </c>
      <c r="C34" s="12">
        <v>27</v>
      </c>
      <c r="D34" s="8">
        <v>2.52</v>
      </c>
      <c r="E34" s="12">
        <v>11</v>
      </c>
      <c r="F34" s="8">
        <v>2.71</v>
      </c>
      <c r="G34" s="12">
        <v>10</v>
      </c>
      <c r="H34" s="8">
        <v>1.53</v>
      </c>
      <c r="I34" s="12">
        <v>2</v>
      </c>
    </row>
    <row r="35" spans="2:9" ht="15" customHeight="1" x14ac:dyDescent="0.2">
      <c r="B35" t="s">
        <v>103</v>
      </c>
      <c r="C35" s="12">
        <v>22</v>
      </c>
      <c r="D35" s="8">
        <v>2.0499999999999998</v>
      </c>
      <c r="E35" s="12">
        <v>6</v>
      </c>
      <c r="F35" s="8">
        <v>1.48</v>
      </c>
      <c r="G35" s="12">
        <v>16</v>
      </c>
      <c r="H35" s="8">
        <v>2.4500000000000002</v>
      </c>
      <c r="I35" s="12">
        <v>0</v>
      </c>
    </row>
    <row r="36" spans="2:9" ht="15" customHeight="1" x14ac:dyDescent="0.2">
      <c r="B36" t="s">
        <v>153</v>
      </c>
      <c r="C36" s="12">
        <v>20</v>
      </c>
      <c r="D36" s="8">
        <v>1.87</v>
      </c>
      <c r="E36" s="12">
        <v>5</v>
      </c>
      <c r="F36" s="8">
        <v>1.23</v>
      </c>
      <c r="G36" s="12">
        <v>15</v>
      </c>
      <c r="H36" s="8">
        <v>2.2999999999999998</v>
      </c>
      <c r="I36" s="12">
        <v>0</v>
      </c>
    </row>
    <row r="37" spans="2:9" ht="15" customHeight="1" x14ac:dyDescent="0.2">
      <c r="B37" t="s">
        <v>118</v>
      </c>
      <c r="C37" s="12">
        <v>20</v>
      </c>
      <c r="D37" s="8">
        <v>1.87</v>
      </c>
      <c r="E37" s="12">
        <v>17</v>
      </c>
      <c r="F37" s="8">
        <v>4.1900000000000004</v>
      </c>
      <c r="G37" s="12">
        <v>3</v>
      </c>
      <c r="H37" s="8">
        <v>0.46</v>
      </c>
      <c r="I37" s="12">
        <v>0</v>
      </c>
    </row>
    <row r="38" spans="2:9" ht="15" customHeight="1" x14ac:dyDescent="0.2">
      <c r="B38" t="s">
        <v>132</v>
      </c>
      <c r="C38" s="12">
        <v>16</v>
      </c>
      <c r="D38" s="8">
        <v>1.49</v>
      </c>
      <c r="E38" s="12">
        <v>6</v>
      </c>
      <c r="F38" s="8">
        <v>1.48</v>
      </c>
      <c r="G38" s="12">
        <v>10</v>
      </c>
      <c r="H38" s="8">
        <v>1.53</v>
      </c>
      <c r="I38" s="12">
        <v>0</v>
      </c>
    </row>
    <row r="39" spans="2:9" ht="15" customHeight="1" x14ac:dyDescent="0.2">
      <c r="B39" t="s">
        <v>102</v>
      </c>
      <c r="C39" s="12">
        <v>15</v>
      </c>
      <c r="D39" s="8">
        <v>1.4</v>
      </c>
      <c r="E39" s="12">
        <v>7</v>
      </c>
      <c r="F39" s="8">
        <v>1.72</v>
      </c>
      <c r="G39" s="12">
        <v>8</v>
      </c>
      <c r="H39" s="8">
        <v>1.23</v>
      </c>
      <c r="I39" s="12">
        <v>0</v>
      </c>
    </row>
    <row r="40" spans="2:9" ht="15" customHeight="1" x14ac:dyDescent="0.2">
      <c r="B40" t="s">
        <v>109</v>
      </c>
      <c r="C40" s="12">
        <v>13</v>
      </c>
      <c r="D40" s="8">
        <v>1.21</v>
      </c>
      <c r="E40" s="12">
        <v>4</v>
      </c>
      <c r="F40" s="8">
        <v>0.99</v>
      </c>
      <c r="G40" s="12">
        <v>9</v>
      </c>
      <c r="H40" s="8">
        <v>1.38</v>
      </c>
      <c r="I40" s="12">
        <v>0</v>
      </c>
    </row>
    <row r="41" spans="2:9" ht="15" customHeight="1" x14ac:dyDescent="0.2">
      <c r="B41" t="s">
        <v>124</v>
      </c>
      <c r="C41" s="12">
        <v>12</v>
      </c>
      <c r="D41" s="8">
        <v>1.1200000000000001</v>
      </c>
      <c r="E41" s="12">
        <v>0</v>
      </c>
      <c r="F41" s="8">
        <v>0</v>
      </c>
      <c r="G41" s="12">
        <v>12</v>
      </c>
      <c r="H41" s="8">
        <v>1.84</v>
      </c>
      <c r="I41" s="12">
        <v>0</v>
      </c>
    </row>
    <row r="42" spans="2:9" ht="15" customHeight="1" x14ac:dyDescent="0.2">
      <c r="B42" t="s">
        <v>131</v>
      </c>
      <c r="C42" s="12">
        <v>11</v>
      </c>
      <c r="D42" s="8">
        <v>1.03</v>
      </c>
      <c r="E42" s="12">
        <v>3</v>
      </c>
      <c r="F42" s="8">
        <v>0.74</v>
      </c>
      <c r="G42" s="12">
        <v>8</v>
      </c>
      <c r="H42" s="8">
        <v>1.23</v>
      </c>
      <c r="I42" s="12">
        <v>0</v>
      </c>
    </row>
    <row r="43" spans="2:9" ht="15" customHeight="1" x14ac:dyDescent="0.2">
      <c r="B43" t="s">
        <v>113</v>
      </c>
      <c r="C43" s="12">
        <v>9</v>
      </c>
      <c r="D43" s="8">
        <v>0.84</v>
      </c>
      <c r="E43" s="12">
        <v>3</v>
      </c>
      <c r="F43" s="8">
        <v>0.74</v>
      </c>
      <c r="G43" s="12">
        <v>6</v>
      </c>
      <c r="H43" s="8">
        <v>0.92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187</v>
      </c>
      <c r="C47" s="12">
        <v>68</v>
      </c>
      <c r="D47" s="8">
        <v>6.35</v>
      </c>
      <c r="E47" s="12">
        <v>54</v>
      </c>
      <c r="F47" s="8">
        <v>13.3</v>
      </c>
      <c r="G47" s="12">
        <v>14</v>
      </c>
      <c r="H47" s="8">
        <v>2.15</v>
      </c>
      <c r="I47" s="12">
        <v>0</v>
      </c>
    </row>
    <row r="48" spans="2:9" ht="15" customHeight="1" x14ac:dyDescent="0.2">
      <c r="B48" t="s">
        <v>185</v>
      </c>
      <c r="C48" s="12">
        <v>53</v>
      </c>
      <c r="D48" s="8">
        <v>4.95</v>
      </c>
      <c r="E48" s="12">
        <v>39</v>
      </c>
      <c r="F48" s="8">
        <v>9.61</v>
      </c>
      <c r="G48" s="12">
        <v>14</v>
      </c>
      <c r="H48" s="8">
        <v>2.15</v>
      </c>
      <c r="I48" s="12">
        <v>0</v>
      </c>
    </row>
    <row r="49" spans="2:9" ht="15" customHeight="1" x14ac:dyDescent="0.2">
      <c r="B49" t="s">
        <v>179</v>
      </c>
      <c r="C49" s="12">
        <v>39</v>
      </c>
      <c r="D49" s="8">
        <v>3.64</v>
      </c>
      <c r="E49" s="12">
        <v>11</v>
      </c>
      <c r="F49" s="8">
        <v>2.71</v>
      </c>
      <c r="G49" s="12">
        <v>27</v>
      </c>
      <c r="H49" s="8">
        <v>4.1399999999999997</v>
      </c>
      <c r="I49" s="12">
        <v>1</v>
      </c>
    </row>
    <row r="50" spans="2:9" ht="15" customHeight="1" x14ac:dyDescent="0.2">
      <c r="B50" t="s">
        <v>181</v>
      </c>
      <c r="C50" s="12">
        <v>39</v>
      </c>
      <c r="D50" s="8">
        <v>3.64</v>
      </c>
      <c r="E50" s="12">
        <v>14</v>
      </c>
      <c r="F50" s="8">
        <v>3.45</v>
      </c>
      <c r="G50" s="12">
        <v>25</v>
      </c>
      <c r="H50" s="8">
        <v>3.83</v>
      </c>
      <c r="I50" s="12">
        <v>0</v>
      </c>
    </row>
    <row r="51" spans="2:9" ht="15" customHeight="1" x14ac:dyDescent="0.2">
      <c r="B51" t="s">
        <v>234</v>
      </c>
      <c r="C51" s="12">
        <v>39</v>
      </c>
      <c r="D51" s="8">
        <v>3.64</v>
      </c>
      <c r="E51" s="12">
        <v>1</v>
      </c>
      <c r="F51" s="8">
        <v>0.25</v>
      </c>
      <c r="G51" s="12">
        <v>38</v>
      </c>
      <c r="H51" s="8">
        <v>5.83</v>
      </c>
      <c r="I51" s="12">
        <v>0</v>
      </c>
    </row>
    <row r="52" spans="2:9" ht="15" customHeight="1" x14ac:dyDescent="0.2">
      <c r="B52" t="s">
        <v>226</v>
      </c>
      <c r="C52" s="12">
        <v>33</v>
      </c>
      <c r="D52" s="8">
        <v>3.08</v>
      </c>
      <c r="E52" s="12">
        <v>9</v>
      </c>
      <c r="F52" s="8">
        <v>2.2200000000000002</v>
      </c>
      <c r="G52" s="12">
        <v>24</v>
      </c>
      <c r="H52" s="8">
        <v>3.68</v>
      </c>
      <c r="I52" s="12">
        <v>0</v>
      </c>
    </row>
    <row r="53" spans="2:9" ht="15" customHeight="1" x14ac:dyDescent="0.2">
      <c r="B53" t="s">
        <v>198</v>
      </c>
      <c r="C53" s="12">
        <v>33</v>
      </c>
      <c r="D53" s="8">
        <v>3.08</v>
      </c>
      <c r="E53" s="12">
        <v>21</v>
      </c>
      <c r="F53" s="8">
        <v>5.17</v>
      </c>
      <c r="G53" s="12">
        <v>12</v>
      </c>
      <c r="H53" s="8">
        <v>1.84</v>
      </c>
      <c r="I53" s="12">
        <v>0</v>
      </c>
    </row>
    <row r="54" spans="2:9" ht="15" customHeight="1" x14ac:dyDescent="0.2">
      <c r="B54" t="s">
        <v>197</v>
      </c>
      <c r="C54" s="12">
        <v>31</v>
      </c>
      <c r="D54" s="8">
        <v>2.89</v>
      </c>
      <c r="E54" s="12">
        <v>15</v>
      </c>
      <c r="F54" s="8">
        <v>3.69</v>
      </c>
      <c r="G54" s="12">
        <v>16</v>
      </c>
      <c r="H54" s="8">
        <v>2.4500000000000002</v>
      </c>
      <c r="I54" s="12">
        <v>0</v>
      </c>
    </row>
    <row r="55" spans="2:9" ht="15" customHeight="1" x14ac:dyDescent="0.2">
      <c r="B55" t="s">
        <v>183</v>
      </c>
      <c r="C55" s="12">
        <v>31</v>
      </c>
      <c r="D55" s="8">
        <v>2.89</v>
      </c>
      <c r="E55" s="12">
        <v>4</v>
      </c>
      <c r="F55" s="8">
        <v>0.99</v>
      </c>
      <c r="G55" s="12">
        <v>26</v>
      </c>
      <c r="H55" s="8">
        <v>3.99</v>
      </c>
      <c r="I55" s="12">
        <v>0</v>
      </c>
    </row>
    <row r="56" spans="2:9" ht="15" customHeight="1" x14ac:dyDescent="0.2">
      <c r="B56" t="s">
        <v>196</v>
      </c>
      <c r="C56" s="12">
        <v>29</v>
      </c>
      <c r="D56" s="8">
        <v>2.71</v>
      </c>
      <c r="E56" s="12">
        <v>9</v>
      </c>
      <c r="F56" s="8">
        <v>2.2200000000000002</v>
      </c>
      <c r="G56" s="12">
        <v>20</v>
      </c>
      <c r="H56" s="8">
        <v>3.07</v>
      </c>
      <c r="I56" s="12">
        <v>0</v>
      </c>
    </row>
    <row r="57" spans="2:9" ht="15" customHeight="1" x14ac:dyDescent="0.2">
      <c r="B57" t="s">
        <v>265</v>
      </c>
      <c r="C57" s="12">
        <v>27</v>
      </c>
      <c r="D57" s="8">
        <v>2.52</v>
      </c>
      <c r="E57" s="12">
        <v>2</v>
      </c>
      <c r="F57" s="8">
        <v>0.49</v>
      </c>
      <c r="G57" s="12">
        <v>25</v>
      </c>
      <c r="H57" s="8">
        <v>3.83</v>
      </c>
      <c r="I57" s="12">
        <v>0</v>
      </c>
    </row>
    <row r="58" spans="2:9" ht="15" customHeight="1" x14ac:dyDescent="0.2">
      <c r="B58" t="s">
        <v>176</v>
      </c>
      <c r="C58" s="12">
        <v>25</v>
      </c>
      <c r="D58" s="8">
        <v>2.33</v>
      </c>
      <c r="E58" s="12">
        <v>2</v>
      </c>
      <c r="F58" s="8">
        <v>0.49</v>
      </c>
      <c r="G58" s="12">
        <v>23</v>
      </c>
      <c r="H58" s="8">
        <v>3.53</v>
      </c>
      <c r="I58" s="12">
        <v>0</v>
      </c>
    </row>
    <row r="59" spans="2:9" ht="15" customHeight="1" x14ac:dyDescent="0.2">
      <c r="B59" t="s">
        <v>256</v>
      </c>
      <c r="C59" s="12">
        <v>24</v>
      </c>
      <c r="D59" s="8">
        <v>2.2400000000000002</v>
      </c>
      <c r="E59" s="12">
        <v>0</v>
      </c>
      <c r="F59" s="8">
        <v>0</v>
      </c>
      <c r="G59" s="12">
        <v>24</v>
      </c>
      <c r="H59" s="8">
        <v>3.68</v>
      </c>
      <c r="I59" s="12">
        <v>0</v>
      </c>
    </row>
    <row r="60" spans="2:9" ht="15" customHeight="1" x14ac:dyDescent="0.2">
      <c r="B60" t="s">
        <v>191</v>
      </c>
      <c r="C60" s="12">
        <v>24</v>
      </c>
      <c r="D60" s="8">
        <v>2.2400000000000002</v>
      </c>
      <c r="E60" s="12">
        <v>20</v>
      </c>
      <c r="F60" s="8">
        <v>4.93</v>
      </c>
      <c r="G60" s="12">
        <v>4</v>
      </c>
      <c r="H60" s="8">
        <v>0.61</v>
      </c>
      <c r="I60" s="12">
        <v>0</v>
      </c>
    </row>
    <row r="61" spans="2:9" ht="15" customHeight="1" x14ac:dyDescent="0.2">
      <c r="B61" t="s">
        <v>175</v>
      </c>
      <c r="C61" s="12">
        <v>22</v>
      </c>
      <c r="D61" s="8">
        <v>2.0499999999999998</v>
      </c>
      <c r="E61" s="12">
        <v>5</v>
      </c>
      <c r="F61" s="8">
        <v>1.23</v>
      </c>
      <c r="G61" s="12">
        <v>17</v>
      </c>
      <c r="H61" s="8">
        <v>2.61</v>
      </c>
      <c r="I61" s="12">
        <v>0</v>
      </c>
    </row>
    <row r="62" spans="2:9" ht="15" customHeight="1" x14ac:dyDescent="0.2">
      <c r="B62" t="s">
        <v>244</v>
      </c>
      <c r="C62" s="12">
        <v>21</v>
      </c>
      <c r="D62" s="8">
        <v>1.96</v>
      </c>
      <c r="E62" s="12">
        <v>1</v>
      </c>
      <c r="F62" s="8">
        <v>0.25</v>
      </c>
      <c r="G62" s="12">
        <v>20</v>
      </c>
      <c r="H62" s="8">
        <v>3.07</v>
      </c>
      <c r="I62" s="12">
        <v>0</v>
      </c>
    </row>
    <row r="63" spans="2:9" ht="15" customHeight="1" x14ac:dyDescent="0.2">
      <c r="B63" t="s">
        <v>247</v>
      </c>
      <c r="C63" s="12">
        <v>21</v>
      </c>
      <c r="D63" s="8">
        <v>1.96</v>
      </c>
      <c r="E63" s="12">
        <v>17</v>
      </c>
      <c r="F63" s="8">
        <v>4.1900000000000004</v>
      </c>
      <c r="G63" s="12">
        <v>4</v>
      </c>
      <c r="H63" s="8">
        <v>0.61</v>
      </c>
      <c r="I63" s="12">
        <v>0</v>
      </c>
    </row>
    <row r="64" spans="2:9" ht="15" customHeight="1" x14ac:dyDescent="0.2">
      <c r="B64" t="s">
        <v>186</v>
      </c>
      <c r="C64" s="12">
        <v>17</v>
      </c>
      <c r="D64" s="8">
        <v>1.59</v>
      </c>
      <c r="E64" s="12">
        <v>11</v>
      </c>
      <c r="F64" s="8">
        <v>2.71</v>
      </c>
      <c r="G64" s="12">
        <v>6</v>
      </c>
      <c r="H64" s="8">
        <v>0.92</v>
      </c>
      <c r="I64" s="12">
        <v>0</v>
      </c>
    </row>
    <row r="65" spans="2:9" ht="15" customHeight="1" x14ac:dyDescent="0.2">
      <c r="B65" t="s">
        <v>174</v>
      </c>
      <c r="C65" s="12">
        <v>16</v>
      </c>
      <c r="D65" s="8">
        <v>1.49</v>
      </c>
      <c r="E65" s="12">
        <v>1</v>
      </c>
      <c r="F65" s="8">
        <v>0.25</v>
      </c>
      <c r="G65" s="12">
        <v>15</v>
      </c>
      <c r="H65" s="8">
        <v>2.2999999999999998</v>
      </c>
      <c r="I65" s="12">
        <v>0</v>
      </c>
    </row>
    <row r="66" spans="2:9" ht="15" customHeight="1" x14ac:dyDescent="0.2">
      <c r="B66" t="s">
        <v>222</v>
      </c>
      <c r="C66" s="12">
        <v>16</v>
      </c>
      <c r="D66" s="8">
        <v>1.49</v>
      </c>
      <c r="E66" s="12">
        <v>9</v>
      </c>
      <c r="F66" s="8">
        <v>2.2200000000000002</v>
      </c>
      <c r="G66" s="12">
        <v>7</v>
      </c>
      <c r="H66" s="8">
        <v>1.07</v>
      </c>
      <c r="I66" s="12">
        <v>0</v>
      </c>
    </row>
    <row r="68" spans="2:9" ht="15" customHeight="1" x14ac:dyDescent="0.2">
      <c r="B68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9F35B-CC47-4362-8C4B-D6F4250C1B57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393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55</v>
      </c>
      <c r="D6" s="8">
        <v>16.77</v>
      </c>
      <c r="E6" s="12">
        <v>24</v>
      </c>
      <c r="F6" s="8">
        <v>13.56</v>
      </c>
      <c r="G6" s="12">
        <v>31</v>
      </c>
      <c r="H6" s="8">
        <v>21.09</v>
      </c>
      <c r="I6" s="12">
        <v>0</v>
      </c>
    </row>
    <row r="7" spans="2:9" ht="15" customHeight="1" x14ac:dyDescent="0.2">
      <c r="B7" t="s">
        <v>80</v>
      </c>
      <c r="C7" s="12">
        <v>23</v>
      </c>
      <c r="D7" s="8">
        <v>7.01</v>
      </c>
      <c r="E7" s="12">
        <v>9</v>
      </c>
      <c r="F7" s="8">
        <v>5.08</v>
      </c>
      <c r="G7" s="12">
        <v>14</v>
      </c>
      <c r="H7" s="8">
        <v>9.52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0.3</v>
      </c>
      <c r="E8" s="12">
        <v>0</v>
      </c>
      <c r="F8" s="8">
        <v>0</v>
      </c>
      <c r="G8" s="12">
        <v>1</v>
      </c>
      <c r="H8" s="8">
        <v>0.68</v>
      </c>
      <c r="I8" s="12">
        <v>0</v>
      </c>
    </row>
    <row r="9" spans="2:9" ht="15" customHeight="1" x14ac:dyDescent="0.2">
      <c r="B9" t="s">
        <v>82</v>
      </c>
      <c r="C9" s="12">
        <v>1</v>
      </c>
      <c r="D9" s="8">
        <v>0.3</v>
      </c>
      <c r="E9" s="12">
        <v>0</v>
      </c>
      <c r="F9" s="8">
        <v>0</v>
      </c>
      <c r="G9" s="12">
        <v>1</v>
      </c>
      <c r="H9" s="8">
        <v>0.68</v>
      </c>
      <c r="I9" s="12">
        <v>0</v>
      </c>
    </row>
    <row r="10" spans="2:9" ht="15" customHeight="1" x14ac:dyDescent="0.2">
      <c r="B10" t="s">
        <v>83</v>
      </c>
      <c r="C10" s="12">
        <v>3</v>
      </c>
      <c r="D10" s="8">
        <v>0.91</v>
      </c>
      <c r="E10" s="12">
        <v>1</v>
      </c>
      <c r="F10" s="8">
        <v>0.56000000000000005</v>
      </c>
      <c r="G10" s="12">
        <v>2</v>
      </c>
      <c r="H10" s="8">
        <v>1.36</v>
      </c>
      <c r="I10" s="12">
        <v>0</v>
      </c>
    </row>
    <row r="11" spans="2:9" ht="15" customHeight="1" x14ac:dyDescent="0.2">
      <c r="B11" t="s">
        <v>84</v>
      </c>
      <c r="C11" s="12">
        <v>71</v>
      </c>
      <c r="D11" s="8">
        <v>21.65</v>
      </c>
      <c r="E11" s="12">
        <v>32</v>
      </c>
      <c r="F11" s="8">
        <v>18.079999999999998</v>
      </c>
      <c r="G11" s="12">
        <v>39</v>
      </c>
      <c r="H11" s="8">
        <v>26.53</v>
      </c>
      <c r="I11" s="12">
        <v>0</v>
      </c>
    </row>
    <row r="12" spans="2:9" ht="15" customHeight="1" x14ac:dyDescent="0.2">
      <c r="B12" t="s">
        <v>85</v>
      </c>
      <c r="C12" s="12">
        <v>2</v>
      </c>
      <c r="D12" s="8">
        <v>0.61</v>
      </c>
      <c r="E12" s="12">
        <v>0</v>
      </c>
      <c r="F12" s="8">
        <v>0</v>
      </c>
      <c r="G12" s="12">
        <v>2</v>
      </c>
      <c r="H12" s="8">
        <v>1.36</v>
      </c>
      <c r="I12" s="12">
        <v>0</v>
      </c>
    </row>
    <row r="13" spans="2:9" ht="15" customHeight="1" x14ac:dyDescent="0.2">
      <c r="B13" t="s">
        <v>86</v>
      </c>
      <c r="C13" s="12">
        <v>16</v>
      </c>
      <c r="D13" s="8">
        <v>4.88</v>
      </c>
      <c r="E13" s="12">
        <v>4</v>
      </c>
      <c r="F13" s="8">
        <v>2.2599999999999998</v>
      </c>
      <c r="G13" s="12">
        <v>12</v>
      </c>
      <c r="H13" s="8">
        <v>8.16</v>
      </c>
      <c r="I13" s="12">
        <v>0</v>
      </c>
    </row>
    <row r="14" spans="2:9" ht="15" customHeight="1" x14ac:dyDescent="0.2">
      <c r="B14" t="s">
        <v>87</v>
      </c>
      <c r="C14" s="12">
        <v>17</v>
      </c>
      <c r="D14" s="8">
        <v>5.18</v>
      </c>
      <c r="E14" s="12">
        <v>6</v>
      </c>
      <c r="F14" s="8">
        <v>3.39</v>
      </c>
      <c r="G14" s="12">
        <v>10</v>
      </c>
      <c r="H14" s="8">
        <v>6.8</v>
      </c>
      <c r="I14" s="12">
        <v>0</v>
      </c>
    </row>
    <row r="15" spans="2:9" ht="15" customHeight="1" x14ac:dyDescent="0.2">
      <c r="B15" t="s">
        <v>88</v>
      </c>
      <c r="C15" s="12">
        <v>65</v>
      </c>
      <c r="D15" s="8">
        <v>19.82</v>
      </c>
      <c r="E15" s="12">
        <v>51</v>
      </c>
      <c r="F15" s="8">
        <v>28.81</v>
      </c>
      <c r="G15" s="12">
        <v>14</v>
      </c>
      <c r="H15" s="8">
        <v>9.52</v>
      </c>
      <c r="I15" s="12">
        <v>0</v>
      </c>
    </row>
    <row r="16" spans="2:9" ht="15" customHeight="1" x14ac:dyDescent="0.2">
      <c r="B16" t="s">
        <v>89</v>
      </c>
      <c r="C16" s="12">
        <v>40</v>
      </c>
      <c r="D16" s="8">
        <v>12.2</v>
      </c>
      <c r="E16" s="12">
        <v>29</v>
      </c>
      <c r="F16" s="8">
        <v>16.38</v>
      </c>
      <c r="G16" s="12">
        <v>9</v>
      </c>
      <c r="H16" s="8">
        <v>6.12</v>
      </c>
      <c r="I16" s="12">
        <v>0</v>
      </c>
    </row>
    <row r="17" spans="2:9" ht="15" customHeight="1" x14ac:dyDescent="0.2">
      <c r="B17" t="s">
        <v>90</v>
      </c>
      <c r="C17" s="12">
        <v>9</v>
      </c>
      <c r="D17" s="8">
        <v>2.74</v>
      </c>
      <c r="E17" s="12">
        <v>7</v>
      </c>
      <c r="F17" s="8">
        <v>3.95</v>
      </c>
      <c r="G17" s="12">
        <v>1</v>
      </c>
      <c r="H17" s="8">
        <v>0.68</v>
      </c>
      <c r="I17" s="12">
        <v>1</v>
      </c>
    </row>
    <row r="18" spans="2:9" ht="15" customHeight="1" x14ac:dyDescent="0.2">
      <c r="B18" t="s">
        <v>91</v>
      </c>
      <c r="C18" s="12">
        <v>16</v>
      </c>
      <c r="D18" s="8">
        <v>4.88</v>
      </c>
      <c r="E18" s="12">
        <v>11</v>
      </c>
      <c r="F18" s="8">
        <v>6.21</v>
      </c>
      <c r="G18" s="12">
        <v>5</v>
      </c>
      <c r="H18" s="8">
        <v>3.4</v>
      </c>
      <c r="I18" s="12">
        <v>0</v>
      </c>
    </row>
    <row r="19" spans="2:9" ht="15" customHeight="1" x14ac:dyDescent="0.2">
      <c r="B19" t="s">
        <v>92</v>
      </c>
      <c r="C19" s="12">
        <v>9</v>
      </c>
      <c r="D19" s="8">
        <v>2.74</v>
      </c>
      <c r="E19" s="12">
        <v>3</v>
      </c>
      <c r="F19" s="8">
        <v>1.69</v>
      </c>
      <c r="G19" s="12">
        <v>6</v>
      </c>
      <c r="H19" s="8">
        <v>4.08</v>
      </c>
      <c r="I19" s="12">
        <v>0</v>
      </c>
    </row>
    <row r="20" spans="2:9" ht="15" customHeight="1" x14ac:dyDescent="0.2">
      <c r="B20" s="9" t="s">
        <v>363</v>
      </c>
      <c r="C20" s="12">
        <f>SUM(LTBL_20323[総数／事業所数])</f>
        <v>328</v>
      </c>
      <c r="E20" s="12">
        <f>SUBTOTAL(109,LTBL_20323[個人／事業所数])</f>
        <v>177</v>
      </c>
      <c r="G20" s="12">
        <f>SUBTOTAL(109,LTBL_20323[法人／事業所数])</f>
        <v>147</v>
      </c>
      <c r="I20" s="12">
        <f>SUBTOTAL(109,LTBL_20323[法人以外の団体／事業所数])</f>
        <v>1</v>
      </c>
    </row>
    <row r="21" spans="2:9" ht="15" customHeight="1" x14ac:dyDescent="0.2">
      <c r="E21" s="11">
        <f>LTBL_20323[[#Totals],[個人／事業所数]]/LTBL_20323[[#Totals],[総数／事業所数]]</f>
        <v>0.53963414634146345</v>
      </c>
      <c r="G21" s="11">
        <f>LTBL_20323[[#Totals],[法人／事業所数]]/LTBL_20323[[#Totals],[総数／事業所数]]</f>
        <v>0.44817073170731708</v>
      </c>
      <c r="I21" s="11">
        <f>LTBL_20323[[#Totals],[法人以外の団体／事業所数]]/LTBL_20323[[#Totals],[総数／事業所数]]</f>
        <v>3.0487804878048782E-3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50</v>
      </c>
      <c r="D24" s="8">
        <v>15.24</v>
      </c>
      <c r="E24" s="12">
        <v>44</v>
      </c>
      <c r="F24" s="8">
        <v>24.86</v>
      </c>
      <c r="G24" s="12">
        <v>6</v>
      </c>
      <c r="H24" s="8">
        <v>4.08</v>
      </c>
      <c r="I24" s="12">
        <v>0</v>
      </c>
    </row>
    <row r="25" spans="2:9" ht="15" customHeight="1" x14ac:dyDescent="0.2">
      <c r="B25" t="s">
        <v>101</v>
      </c>
      <c r="C25" s="12">
        <v>33</v>
      </c>
      <c r="D25" s="8">
        <v>10.06</v>
      </c>
      <c r="E25" s="12">
        <v>10</v>
      </c>
      <c r="F25" s="8">
        <v>5.65</v>
      </c>
      <c r="G25" s="12">
        <v>23</v>
      </c>
      <c r="H25" s="8">
        <v>15.65</v>
      </c>
      <c r="I25" s="12">
        <v>0</v>
      </c>
    </row>
    <row r="26" spans="2:9" ht="15" customHeight="1" x14ac:dyDescent="0.2">
      <c r="B26" t="s">
        <v>116</v>
      </c>
      <c r="C26" s="12">
        <v>29</v>
      </c>
      <c r="D26" s="8">
        <v>8.84</v>
      </c>
      <c r="E26" s="12">
        <v>25</v>
      </c>
      <c r="F26" s="8">
        <v>14.12</v>
      </c>
      <c r="G26" s="12">
        <v>4</v>
      </c>
      <c r="H26" s="8">
        <v>2.72</v>
      </c>
      <c r="I26" s="12">
        <v>0</v>
      </c>
    </row>
    <row r="27" spans="2:9" ht="15" customHeight="1" x14ac:dyDescent="0.2">
      <c r="B27" t="s">
        <v>110</v>
      </c>
      <c r="C27" s="12">
        <v>22</v>
      </c>
      <c r="D27" s="8">
        <v>6.71</v>
      </c>
      <c r="E27" s="12">
        <v>7</v>
      </c>
      <c r="F27" s="8">
        <v>3.95</v>
      </c>
      <c r="G27" s="12">
        <v>15</v>
      </c>
      <c r="H27" s="8">
        <v>10.199999999999999</v>
      </c>
      <c r="I27" s="12">
        <v>0</v>
      </c>
    </row>
    <row r="28" spans="2:9" ht="15" customHeight="1" x14ac:dyDescent="0.2">
      <c r="B28" t="s">
        <v>108</v>
      </c>
      <c r="C28" s="12">
        <v>18</v>
      </c>
      <c r="D28" s="8">
        <v>5.49</v>
      </c>
      <c r="E28" s="12">
        <v>13</v>
      </c>
      <c r="F28" s="8">
        <v>7.34</v>
      </c>
      <c r="G28" s="12">
        <v>5</v>
      </c>
      <c r="H28" s="8">
        <v>3.4</v>
      </c>
      <c r="I28" s="12">
        <v>0</v>
      </c>
    </row>
    <row r="29" spans="2:9" ht="15" customHeight="1" x14ac:dyDescent="0.2">
      <c r="B29" t="s">
        <v>118</v>
      </c>
      <c r="C29" s="12">
        <v>14</v>
      </c>
      <c r="D29" s="8">
        <v>4.2699999999999996</v>
      </c>
      <c r="E29" s="12">
        <v>11</v>
      </c>
      <c r="F29" s="8">
        <v>6.21</v>
      </c>
      <c r="G29" s="12">
        <v>3</v>
      </c>
      <c r="H29" s="8">
        <v>2.04</v>
      </c>
      <c r="I29" s="12">
        <v>0</v>
      </c>
    </row>
    <row r="30" spans="2:9" ht="15" customHeight="1" x14ac:dyDescent="0.2">
      <c r="B30" t="s">
        <v>102</v>
      </c>
      <c r="C30" s="12">
        <v>13</v>
      </c>
      <c r="D30" s="8">
        <v>3.96</v>
      </c>
      <c r="E30" s="12">
        <v>9</v>
      </c>
      <c r="F30" s="8">
        <v>5.08</v>
      </c>
      <c r="G30" s="12">
        <v>4</v>
      </c>
      <c r="H30" s="8">
        <v>2.72</v>
      </c>
      <c r="I30" s="12">
        <v>0</v>
      </c>
    </row>
    <row r="31" spans="2:9" ht="15" customHeight="1" x14ac:dyDescent="0.2">
      <c r="B31" t="s">
        <v>111</v>
      </c>
      <c r="C31" s="12">
        <v>12</v>
      </c>
      <c r="D31" s="8">
        <v>3.66</v>
      </c>
      <c r="E31" s="12">
        <v>4</v>
      </c>
      <c r="F31" s="8">
        <v>2.2599999999999998</v>
      </c>
      <c r="G31" s="12">
        <v>8</v>
      </c>
      <c r="H31" s="8">
        <v>5.44</v>
      </c>
      <c r="I31" s="12">
        <v>0</v>
      </c>
    </row>
    <row r="32" spans="2:9" ht="15" customHeight="1" x14ac:dyDescent="0.2">
      <c r="B32" t="s">
        <v>114</v>
      </c>
      <c r="C32" s="12">
        <v>12</v>
      </c>
      <c r="D32" s="8">
        <v>3.66</v>
      </c>
      <c r="E32" s="12">
        <v>5</v>
      </c>
      <c r="F32" s="8">
        <v>2.82</v>
      </c>
      <c r="G32" s="12">
        <v>7</v>
      </c>
      <c r="H32" s="8">
        <v>4.76</v>
      </c>
      <c r="I32" s="12">
        <v>0</v>
      </c>
    </row>
    <row r="33" spans="2:9" ht="15" customHeight="1" x14ac:dyDescent="0.2">
      <c r="B33" t="s">
        <v>103</v>
      </c>
      <c r="C33" s="12">
        <v>9</v>
      </c>
      <c r="D33" s="8">
        <v>2.74</v>
      </c>
      <c r="E33" s="12">
        <v>5</v>
      </c>
      <c r="F33" s="8">
        <v>2.82</v>
      </c>
      <c r="G33" s="12">
        <v>4</v>
      </c>
      <c r="H33" s="8">
        <v>2.72</v>
      </c>
      <c r="I33" s="12">
        <v>0</v>
      </c>
    </row>
    <row r="34" spans="2:9" ht="15" customHeight="1" x14ac:dyDescent="0.2">
      <c r="B34" t="s">
        <v>117</v>
      </c>
      <c r="C34" s="12">
        <v>9</v>
      </c>
      <c r="D34" s="8">
        <v>2.74</v>
      </c>
      <c r="E34" s="12">
        <v>7</v>
      </c>
      <c r="F34" s="8">
        <v>3.95</v>
      </c>
      <c r="G34" s="12">
        <v>1</v>
      </c>
      <c r="H34" s="8">
        <v>0.68</v>
      </c>
      <c r="I34" s="12">
        <v>1</v>
      </c>
    </row>
    <row r="35" spans="2:9" ht="15" customHeight="1" x14ac:dyDescent="0.2">
      <c r="B35" t="s">
        <v>109</v>
      </c>
      <c r="C35" s="12">
        <v>8</v>
      </c>
      <c r="D35" s="8">
        <v>2.44</v>
      </c>
      <c r="E35" s="12">
        <v>5</v>
      </c>
      <c r="F35" s="8">
        <v>2.82</v>
      </c>
      <c r="G35" s="12">
        <v>3</v>
      </c>
      <c r="H35" s="8">
        <v>2.04</v>
      </c>
      <c r="I35" s="12">
        <v>0</v>
      </c>
    </row>
    <row r="36" spans="2:9" ht="15" customHeight="1" x14ac:dyDescent="0.2">
      <c r="B36" t="s">
        <v>113</v>
      </c>
      <c r="C36" s="12">
        <v>8</v>
      </c>
      <c r="D36" s="8">
        <v>2.44</v>
      </c>
      <c r="E36" s="12">
        <v>3</v>
      </c>
      <c r="F36" s="8">
        <v>1.69</v>
      </c>
      <c r="G36" s="12">
        <v>4</v>
      </c>
      <c r="H36" s="8">
        <v>2.72</v>
      </c>
      <c r="I36" s="12">
        <v>0</v>
      </c>
    </row>
    <row r="37" spans="2:9" ht="15" customHeight="1" x14ac:dyDescent="0.2">
      <c r="B37" t="s">
        <v>106</v>
      </c>
      <c r="C37" s="12">
        <v>7</v>
      </c>
      <c r="D37" s="8">
        <v>2.13</v>
      </c>
      <c r="E37" s="12">
        <v>0</v>
      </c>
      <c r="F37" s="8">
        <v>0</v>
      </c>
      <c r="G37" s="12">
        <v>7</v>
      </c>
      <c r="H37" s="8">
        <v>4.76</v>
      </c>
      <c r="I37" s="12">
        <v>0</v>
      </c>
    </row>
    <row r="38" spans="2:9" ht="15" customHeight="1" x14ac:dyDescent="0.2">
      <c r="B38" t="s">
        <v>112</v>
      </c>
      <c r="C38" s="12">
        <v>7</v>
      </c>
      <c r="D38" s="8">
        <v>2.13</v>
      </c>
      <c r="E38" s="12">
        <v>3</v>
      </c>
      <c r="F38" s="8">
        <v>1.69</v>
      </c>
      <c r="G38" s="12">
        <v>4</v>
      </c>
      <c r="H38" s="8">
        <v>2.72</v>
      </c>
      <c r="I38" s="12">
        <v>0</v>
      </c>
    </row>
    <row r="39" spans="2:9" ht="15" customHeight="1" x14ac:dyDescent="0.2">
      <c r="B39" t="s">
        <v>132</v>
      </c>
      <c r="C39" s="12">
        <v>6</v>
      </c>
      <c r="D39" s="8">
        <v>1.83</v>
      </c>
      <c r="E39" s="12">
        <v>0</v>
      </c>
      <c r="F39" s="8">
        <v>0</v>
      </c>
      <c r="G39" s="12">
        <v>4</v>
      </c>
      <c r="H39" s="8">
        <v>2.72</v>
      </c>
      <c r="I39" s="12">
        <v>0</v>
      </c>
    </row>
    <row r="40" spans="2:9" ht="15" customHeight="1" x14ac:dyDescent="0.2">
      <c r="B40" t="s">
        <v>152</v>
      </c>
      <c r="C40" s="12">
        <v>5</v>
      </c>
      <c r="D40" s="8">
        <v>1.52</v>
      </c>
      <c r="E40" s="12">
        <v>3</v>
      </c>
      <c r="F40" s="8">
        <v>1.69</v>
      </c>
      <c r="G40" s="12">
        <v>2</v>
      </c>
      <c r="H40" s="8">
        <v>1.36</v>
      </c>
      <c r="I40" s="12">
        <v>0</v>
      </c>
    </row>
    <row r="41" spans="2:9" ht="15" customHeight="1" x14ac:dyDescent="0.2">
      <c r="B41" t="s">
        <v>131</v>
      </c>
      <c r="C41" s="12">
        <v>5</v>
      </c>
      <c r="D41" s="8">
        <v>1.52</v>
      </c>
      <c r="E41" s="12">
        <v>4</v>
      </c>
      <c r="F41" s="8">
        <v>2.2599999999999998</v>
      </c>
      <c r="G41" s="12">
        <v>1</v>
      </c>
      <c r="H41" s="8">
        <v>0.68</v>
      </c>
      <c r="I41" s="12">
        <v>0</v>
      </c>
    </row>
    <row r="42" spans="2:9" ht="15" customHeight="1" x14ac:dyDescent="0.2">
      <c r="B42" t="s">
        <v>154</v>
      </c>
      <c r="C42" s="12">
        <v>4</v>
      </c>
      <c r="D42" s="8">
        <v>1.22</v>
      </c>
      <c r="E42" s="12">
        <v>1</v>
      </c>
      <c r="F42" s="8">
        <v>0.56000000000000005</v>
      </c>
      <c r="G42" s="12">
        <v>3</v>
      </c>
      <c r="H42" s="8">
        <v>2.04</v>
      </c>
      <c r="I42" s="12">
        <v>0</v>
      </c>
    </row>
    <row r="43" spans="2:9" ht="15" customHeight="1" x14ac:dyDescent="0.2">
      <c r="B43" t="s">
        <v>125</v>
      </c>
      <c r="C43" s="12">
        <v>4</v>
      </c>
      <c r="D43" s="8">
        <v>1.22</v>
      </c>
      <c r="E43" s="12">
        <v>0</v>
      </c>
      <c r="F43" s="8">
        <v>0</v>
      </c>
      <c r="G43" s="12">
        <v>4</v>
      </c>
      <c r="H43" s="8">
        <v>2.72</v>
      </c>
      <c r="I43" s="12">
        <v>0</v>
      </c>
    </row>
    <row r="44" spans="2:9" ht="15" customHeight="1" x14ac:dyDescent="0.2">
      <c r="B44" t="s">
        <v>123</v>
      </c>
      <c r="C44" s="12">
        <v>4</v>
      </c>
      <c r="D44" s="8">
        <v>1.22</v>
      </c>
      <c r="E44" s="12">
        <v>0</v>
      </c>
      <c r="F44" s="8">
        <v>0</v>
      </c>
      <c r="G44" s="12">
        <v>4</v>
      </c>
      <c r="H44" s="8">
        <v>2.72</v>
      </c>
      <c r="I44" s="12">
        <v>0</v>
      </c>
    </row>
    <row r="45" spans="2:9" ht="15" customHeight="1" x14ac:dyDescent="0.2">
      <c r="B45" t="s">
        <v>120</v>
      </c>
      <c r="C45" s="12">
        <v>4</v>
      </c>
      <c r="D45" s="8">
        <v>1.22</v>
      </c>
      <c r="E45" s="12">
        <v>2</v>
      </c>
      <c r="F45" s="8">
        <v>1.1299999999999999</v>
      </c>
      <c r="G45" s="12">
        <v>2</v>
      </c>
      <c r="H45" s="8">
        <v>1.36</v>
      </c>
      <c r="I45" s="12">
        <v>0</v>
      </c>
    </row>
    <row r="48" spans="2:9" ht="33" customHeight="1" x14ac:dyDescent="0.2">
      <c r="B48" t="s">
        <v>365</v>
      </c>
      <c r="C48" s="10" t="s">
        <v>94</v>
      </c>
      <c r="D48" s="10" t="s">
        <v>95</v>
      </c>
      <c r="E48" s="10" t="s">
        <v>96</v>
      </c>
      <c r="F48" s="10" t="s">
        <v>97</v>
      </c>
      <c r="G48" s="10" t="s">
        <v>98</v>
      </c>
      <c r="H48" s="10" t="s">
        <v>99</v>
      </c>
      <c r="I48" s="10" t="s">
        <v>100</v>
      </c>
    </row>
    <row r="49" spans="2:9" ht="15" customHeight="1" x14ac:dyDescent="0.2">
      <c r="B49" t="s">
        <v>187</v>
      </c>
      <c r="C49" s="12">
        <v>14</v>
      </c>
      <c r="D49" s="8">
        <v>4.2699999999999996</v>
      </c>
      <c r="E49" s="12">
        <v>11</v>
      </c>
      <c r="F49" s="8">
        <v>6.21</v>
      </c>
      <c r="G49" s="12">
        <v>3</v>
      </c>
      <c r="H49" s="8">
        <v>2.04</v>
      </c>
      <c r="I49" s="12">
        <v>0</v>
      </c>
    </row>
    <row r="50" spans="2:9" ht="15" customHeight="1" x14ac:dyDescent="0.2">
      <c r="B50" t="s">
        <v>174</v>
      </c>
      <c r="C50" s="12">
        <v>13</v>
      </c>
      <c r="D50" s="8">
        <v>3.96</v>
      </c>
      <c r="E50" s="12">
        <v>0</v>
      </c>
      <c r="F50" s="8">
        <v>0</v>
      </c>
      <c r="G50" s="12">
        <v>13</v>
      </c>
      <c r="H50" s="8">
        <v>8.84</v>
      </c>
      <c r="I50" s="12">
        <v>0</v>
      </c>
    </row>
    <row r="51" spans="2:9" ht="15" customHeight="1" x14ac:dyDescent="0.2">
      <c r="B51" t="s">
        <v>191</v>
      </c>
      <c r="C51" s="12">
        <v>13</v>
      </c>
      <c r="D51" s="8">
        <v>3.96</v>
      </c>
      <c r="E51" s="12">
        <v>11</v>
      </c>
      <c r="F51" s="8">
        <v>6.21</v>
      </c>
      <c r="G51" s="12">
        <v>2</v>
      </c>
      <c r="H51" s="8">
        <v>1.36</v>
      </c>
      <c r="I51" s="12">
        <v>0</v>
      </c>
    </row>
    <row r="52" spans="2:9" ht="15" customHeight="1" x14ac:dyDescent="0.2">
      <c r="B52" t="s">
        <v>188</v>
      </c>
      <c r="C52" s="12">
        <v>12</v>
      </c>
      <c r="D52" s="8">
        <v>3.66</v>
      </c>
      <c r="E52" s="12">
        <v>10</v>
      </c>
      <c r="F52" s="8">
        <v>5.65</v>
      </c>
      <c r="G52" s="12">
        <v>2</v>
      </c>
      <c r="H52" s="8">
        <v>1.36</v>
      </c>
      <c r="I52" s="12">
        <v>0</v>
      </c>
    </row>
    <row r="53" spans="2:9" ht="15" customHeight="1" x14ac:dyDescent="0.2">
      <c r="B53" t="s">
        <v>183</v>
      </c>
      <c r="C53" s="12">
        <v>10</v>
      </c>
      <c r="D53" s="8">
        <v>3.05</v>
      </c>
      <c r="E53" s="12">
        <v>4</v>
      </c>
      <c r="F53" s="8">
        <v>2.2599999999999998</v>
      </c>
      <c r="G53" s="12">
        <v>6</v>
      </c>
      <c r="H53" s="8">
        <v>4.08</v>
      </c>
      <c r="I53" s="12">
        <v>0</v>
      </c>
    </row>
    <row r="54" spans="2:9" ht="15" customHeight="1" x14ac:dyDescent="0.2">
      <c r="B54" t="s">
        <v>190</v>
      </c>
      <c r="C54" s="12">
        <v>10</v>
      </c>
      <c r="D54" s="8">
        <v>3.05</v>
      </c>
      <c r="E54" s="12">
        <v>10</v>
      </c>
      <c r="F54" s="8">
        <v>5.65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175</v>
      </c>
      <c r="C55" s="12">
        <v>9</v>
      </c>
      <c r="D55" s="8">
        <v>2.74</v>
      </c>
      <c r="E55" s="12">
        <v>3</v>
      </c>
      <c r="F55" s="8">
        <v>1.69</v>
      </c>
      <c r="G55" s="12">
        <v>6</v>
      </c>
      <c r="H55" s="8">
        <v>4.08</v>
      </c>
      <c r="I55" s="12">
        <v>0</v>
      </c>
    </row>
    <row r="56" spans="2:9" ht="15" customHeight="1" x14ac:dyDescent="0.2">
      <c r="B56" t="s">
        <v>185</v>
      </c>
      <c r="C56" s="12">
        <v>9</v>
      </c>
      <c r="D56" s="8">
        <v>2.74</v>
      </c>
      <c r="E56" s="12">
        <v>3</v>
      </c>
      <c r="F56" s="8">
        <v>1.69</v>
      </c>
      <c r="G56" s="12">
        <v>6</v>
      </c>
      <c r="H56" s="8">
        <v>4.08</v>
      </c>
      <c r="I56" s="12">
        <v>0</v>
      </c>
    </row>
    <row r="57" spans="2:9" ht="15" customHeight="1" x14ac:dyDescent="0.2">
      <c r="B57" t="s">
        <v>189</v>
      </c>
      <c r="C57" s="12">
        <v>9</v>
      </c>
      <c r="D57" s="8">
        <v>2.74</v>
      </c>
      <c r="E57" s="12">
        <v>9</v>
      </c>
      <c r="F57" s="8">
        <v>5.08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198</v>
      </c>
      <c r="C58" s="12">
        <v>8</v>
      </c>
      <c r="D58" s="8">
        <v>2.44</v>
      </c>
      <c r="E58" s="12">
        <v>7</v>
      </c>
      <c r="F58" s="8">
        <v>3.95</v>
      </c>
      <c r="G58" s="12">
        <v>1</v>
      </c>
      <c r="H58" s="8">
        <v>0.68</v>
      </c>
      <c r="I58" s="12">
        <v>0</v>
      </c>
    </row>
    <row r="59" spans="2:9" ht="15" customHeight="1" x14ac:dyDescent="0.2">
      <c r="B59" t="s">
        <v>193</v>
      </c>
      <c r="C59" s="12">
        <v>8</v>
      </c>
      <c r="D59" s="8">
        <v>2.44</v>
      </c>
      <c r="E59" s="12">
        <v>7</v>
      </c>
      <c r="F59" s="8">
        <v>3.95</v>
      </c>
      <c r="G59" s="12">
        <v>1</v>
      </c>
      <c r="H59" s="8">
        <v>0.68</v>
      </c>
      <c r="I59" s="12">
        <v>0</v>
      </c>
    </row>
    <row r="60" spans="2:9" ht="15" customHeight="1" x14ac:dyDescent="0.2">
      <c r="B60" t="s">
        <v>176</v>
      </c>
      <c r="C60" s="12">
        <v>7</v>
      </c>
      <c r="D60" s="8">
        <v>2.13</v>
      </c>
      <c r="E60" s="12">
        <v>5</v>
      </c>
      <c r="F60" s="8">
        <v>2.82</v>
      </c>
      <c r="G60" s="12">
        <v>2</v>
      </c>
      <c r="H60" s="8">
        <v>1.36</v>
      </c>
      <c r="I60" s="12">
        <v>0</v>
      </c>
    </row>
    <row r="61" spans="2:9" ht="15" customHeight="1" x14ac:dyDescent="0.2">
      <c r="B61" t="s">
        <v>179</v>
      </c>
      <c r="C61" s="12">
        <v>7</v>
      </c>
      <c r="D61" s="8">
        <v>2.13</v>
      </c>
      <c r="E61" s="12">
        <v>6</v>
      </c>
      <c r="F61" s="8">
        <v>3.39</v>
      </c>
      <c r="G61" s="12">
        <v>1</v>
      </c>
      <c r="H61" s="8">
        <v>0.68</v>
      </c>
      <c r="I61" s="12">
        <v>0</v>
      </c>
    </row>
    <row r="62" spans="2:9" ht="15" customHeight="1" x14ac:dyDescent="0.2">
      <c r="B62" t="s">
        <v>194</v>
      </c>
      <c r="C62" s="12">
        <v>6</v>
      </c>
      <c r="D62" s="8">
        <v>1.83</v>
      </c>
      <c r="E62" s="12">
        <v>3</v>
      </c>
      <c r="F62" s="8">
        <v>1.69</v>
      </c>
      <c r="G62" s="12">
        <v>3</v>
      </c>
      <c r="H62" s="8">
        <v>2.04</v>
      </c>
      <c r="I62" s="12">
        <v>0</v>
      </c>
    </row>
    <row r="63" spans="2:9" ht="15" customHeight="1" x14ac:dyDescent="0.2">
      <c r="B63" t="s">
        <v>184</v>
      </c>
      <c r="C63" s="12">
        <v>6</v>
      </c>
      <c r="D63" s="8">
        <v>1.83</v>
      </c>
      <c r="E63" s="12">
        <v>1</v>
      </c>
      <c r="F63" s="8">
        <v>0.56000000000000005</v>
      </c>
      <c r="G63" s="12">
        <v>4</v>
      </c>
      <c r="H63" s="8">
        <v>2.72</v>
      </c>
      <c r="I63" s="12">
        <v>0</v>
      </c>
    </row>
    <row r="64" spans="2:9" ht="15" customHeight="1" x14ac:dyDescent="0.2">
      <c r="B64" t="s">
        <v>192</v>
      </c>
      <c r="C64" s="12">
        <v>6</v>
      </c>
      <c r="D64" s="8">
        <v>1.83</v>
      </c>
      <c r="E64" s="12">
        <v>4</v>
      </c>
      <c r="F64" s="8">
        <v>2.2599999999999998</v>
      </c>
      <c r="G64" s="12">
        <v>1</v>
      </c>
      <c r="H64" s="8">
        <v>0.68</v>
      </c>
      <c r="I64" s="12">
        <v>1</v>
      </c>
    </row>
    <row r="65" spans="2:9" ht="15" customHeight="1" x14ac:dyDescent="0.2">
      <c r="B65" t="s">
        <v>201</v>
      </c>
      <c r="C65" s="12">
        <v>5</v>
      </c>
      <c r="D65" s="8">
        <v>1.52</v>
      </c>
      <c r="E65" s="12">
        <v>2</v>
      </c>
      <c r="F65" s="8">
        <v>1.1299999999999999</v>
      </c>
      <c r="G65" s="12">
        <v>3</v>
      </c>
      <c r="H65" s="8">
        <v>2.04</v>
      </c>
      <c r="I65" s="12">
        <v>0</v>
      </c>
    </row>
    <row r="66" spans="2:9" ht="15" customHeight="1" x14ac:dyDescent="0.2">
      <c r="B66" t="s">
        <v>178</v>
      </c>
      <c r="C66" s="12">
        <v>5</v>
      </c>
      <c r="D66" s="8">
        <v>1.52</v>
      </c>
      <c r="E66" s="12">
        <v>2</v>
      </c>
      <c r="F66" s="8">
        <v>1.1299999999999999</v>
      </c>
      <c r="G66" s="12">
        <v>3</v>
      </c>
      <c r="H66" s="8">
        <v>2.04</v>
      </c>
      <c r="I66" s="12">
        <v>0</v>
      </c>
    </row>
    <row r="67" spans="2:9" ht="15" customHeight="1" x14ac:dyDescent="0.2">
      <c r="B67" t="s">
        <v>197</v>
      </c>
      <c r="C67" s="12">
        <v>5</v>
      </c>
      <c r="D67" s="8">
        <v>1.52</v>
      </c>
      <c r="E67" s="12">
        <v>4</v>
      </c>
      <c r="F67" s="8">
        <v>2.2599999999999998</v>
      </c>
      <c r="G67" s="12">
        <v>1</v>
      </c>
      <c r="H67" s="8">
        <v>0.68</v>
      </c>
      <c r="I67" s="12">
        <v>0</v>
      </c>
    </row>
    <row r="68" spans="2:9" ht="15" customHeight="1" x14ac:dyDescent="0.2">
      <c r="B68" t="s">
        <v>180</v>
      </c>
      <c r="C68" s="12">
        <v>5</v>
      </c>
      <c r="D68" s="8">
        <v>1.52</v>
      </c>
      <c r="E68" s="12">
        <v>2</v>
      </c>
      <c r="F68" s="8">
        <v>1.1299999999999999</v>
      </c>
      <c r="G68" s="12">
        <v>3</v>
      </c>
      <c r="H68" s="8">
        <v>2.04</v>
      </c>
      <c r="I68" s="12">
        <v>0</v>
      </c>
    </row>
    <row r="69" spans="2:9" ht="15" customHeight="1" x14ac:dyDescent="0.2">
      <c r="B69" t="s">
        <v>216</v>
      </c>
      <c r="C69" s="12">
        <v>5</v>
      </c>
      <c r="D69" s="8">
        <v>1.52</v>
      </c>
      <c r="E69" s="12">
        <v>0</v>
      </c>
      <c r="F69" s="8">
        <v>0</v>
      </c>
      <c r="G69" s="12">
        <v>5</v>
      </c>
      <c r="H69" s="8">
        <v>3.4</v>
      </c>
      <c r="I69" s="12">
        <v>0</v>
      </c>
    </row>
    <row r="70" spans="2:9" ht="15" customHeight="1" x14ac:dyDescent="0.2">
      <c r="B70" t="s">
        <v>229</v>
      </c>
      <c r="C70" s="12">
        <v>5</v>
      </c>
      <c r="D70" s="8">
        <v>1.52</v>
      </c>
      <c r="E70" s="12">
        <v>0</v>
      </c>
      <c r="F70" s="8">
        <v>0</v>
      </c>
      <c r="G70" s="12">
        <v>3</v>
      </c>
      <c r="H70" s="8">
        <v>2.04</v>
      </c>
      <c r="I70" s="12">
        <v>0</v>
      </c>
    </row>
    <row r="72" spans="2:9" ht="15" customHeight="1" x14ac:dyDescent="0.2">
      <c r="B72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FF193-DC3B-4FFE-8B31-E5F1A35FDA3C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394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30</v>
      </c>
      <c r="D6" s="8">
        <v>13.76</v>
      </c>
      <c r="E6" s="12">
        <v>17</v>
      </c>
      <c r="F6" s="8">
        <v>13.08</v>
      </c>
      <c r="G6" s="12">
        <v>13</v>
      </c>
      <c r="H6" s="8">
        <v>15.12</v>
      </c>
      <c r="I6" s="12">
        <v>0</v>
      </c>
    </row>
    <row r="7" spans="2:9" ht="15" customHeight="1" x14ac:dyDescent="0.2">
      <c r="B7" t="s">
        <v>80</v>
      </c>
      <c r="C7" s="12">
        <v>19</v>
      </c>
      <c r="D7" s="8">
        <v>8.7200000000000006</v>
      </c>
      <c r="E7" s="12">
        <v>8</v>
      </c>
      <c r="F7" s="8">
        <v>6.15</v>
      </c>
      <c r="G7" s="12">
        <v>11</v>
      </c>
      <c r="H7" s="8">
        <v>12.79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0.46</v>
      </c>
      <c r="E8" s="12">
        <v>0</v>
      </c>
      <c r="F8" s="8">
        <v>0</v>
      </c>
      <c r="G8" s="12">
        <v>1</v>
      </c>
      <c r="H8" s="8">
        <v>1.1599999999999999</v>
      </c>
      <c r="I8" s="12">
        <v>0</v>
      </c>
    </row>
    <row r="9" spans="2:9" ht="15" customHeight="1" x14ac:dyDescent="0.2">
      <c r="B9" t="s">
        <v>82</v>
      </c>
      <c r="C9" s="12">
        <v>2</v>
      </c>
      <c r="D9" s="8">
        <v>0.92</v>
      </c>
      <c r="E9" s="12">
        <v>1</v>
      </c>
      <c r="F9" s="8">
        <v>0.77</v>
      </c>
      <c r="G9" s="12">
        <v>1</v>
      </c>
      <c r="H9" s="8">
        <v>1.1599999999999999</v>
      </c>
      <c r="I9" s="12">
        <v>0</v>
      </c>
    </row>
    <row r="10" spans="2:9" ht="15" customHeight="1" x14ac:dyDescent="0.2">
      <c r="B10" t="s">
        <v>83</v>
      </c>
      <c r="C10" s="12">
        <v>3</v>
      </c>
      <c r="D10" s="8">
        <v>1.38</v>
      </c>
      <c r="E10" s="12">
        <v>1</v>
      </c>
      <c r="F10" s="8">
        <v>0.77</v>
      </c>
      <c r="G10" s="12">
        <v>2</v>
      </c>
      <c r="H10" s="8">
        <v>2.33</v>
      </c>
      <c r="I10" s="12">
        <v>0</v>
      </c>
    </row>
    <row r="11" spans="2:9" ht="15" customHeight="1" x14ac:dyDescent="0.2">
      <c r="B11" t="s">
        <v>84</v>
      </c>
      <c r="C11" s="12">
        <v>41</v>
      </c>
      <c r="D11" s="8">
        <v>18.809999999999999</v>
      </c>
      <c r="E11" s="12">
        <v>21</v>
      </c>
      <c r="F11" s="8">
        <v>16.149999999999999</v>
      </c>
      <c r="G11" s="12">
        <v>20</v>
      </c>
      <c r="H11" s="8">
        <v>23.26</v>
      </c>
      <c r="I11" s="12">
        <v>0</v>
      </c>
    </row>
    <row r="12" spans="2:9" ht="15" customHeight="1" x14ac:dyDescent="0.2">
      <c r="B12" t="s">
        <v>85</v>
      </c>
      <c r="C12" s="12">
        <v>2</v>
      </c>
      <c r="D12" s="8">
        <v>0.92</v>
      </c>
      <c r="E12" s="12">
        <v>1</v>
      </c>
      <c r="F12" s="8">
        <v>0.77</v>
      </c>
      <c r="G12" s="12">
        <v>1</v>
      </c>
      <c r="H12" s="8">
        <v>1.1599999999999999</v>
      </c>
      <c r="I12" s="12">
        <v>0</v>
      </c>
    </row>
    <row r="13" spans="2:9" ht="15" customHeight="1" x14ac:dyDescent="0.2">
      <c r="B13" t="s">
        <v>86</v>
      </c>
      <c r="C13" s="12">
        <v>4</v>
      </c>
      <c r="D13" s="8">
        <v>1.83</v>
      </c>
      <c r="E13" s="12">
        <v>0</v>
      </c>
      <c r="F13" s="8">
        <v>0</v>
      </c>
      <c r="G13" s="12">
        <v>4</v>
      </c>
      <c r="H13" s="8">
        <v>4.6500000000000004</v>
      </c>
      <c r="I13" s="12">
        <v>0</v>
      </c>
    </row>
    <row r="14" spans="2:9" ht="15" customHeight="1" x14ac:dyDescent="0.2">
      <c r="B14" t="s">
        <v>87</v>
      </c>
      <c r="C14" s="12">
        <v>13</v>
      </c>
      <c r="D14" s="8">
        <v>5.96</v>
      </c>
      <c r="E14" s="12">
        <v>9</v>
      </c>
      <c r="F14" s="8">
        <v>6.92</v>
      </c>
      <c r="G14" s="12">
        <v>4</v>
      </c>
      <c r="H14" s="8">
        <v>4.6500000000000004</v>
      </c>
      <c r="I14" s="12">
        <v>0</v>
      </c>
    </row>
    <row r="15" spans="2:9" ht="15" customHeight="1" x14ac:dyDescent="0.2">
      <c r="B15" t="s">
        <v>88</v>
      </c>
      <c r="C15" s="12">
        <v>59</v>
      </c>
      <c r="D15" s="8">
        <v>27.06</v>
      </c>
      <c r="E15" s="12">
        <v>44</v>
      </c>
      <c r="F15" s="8">
        <v>33.85</v>
      </c>
      <c r="G15" s="12">
        <v>15</v>
      </c>
      <c r="H15" s="8">
        <v>17.440000000000001</v>
      </c>
      <c r="I15" s="12">
        <v>0</v>
      </c>
    </row>
    <row r="16" spans="2:9" ht="15" customHeight="1" x14ac:dyDescent="0.2">
      <c r="B16" t="s">
        <v>89</v>
      </c>
      <c r="C16" s="12">
        <v>19</v>
      </c>
      <c r="D16" s="8">
        <v>8.7200000000000006</v>
      </c>
      <c r="E16" s="12">
        <v>13</v>
      </c>
      <c r="F16" s="8">
        <v>10</v>
      </c>
      <c r="G16" s="12">
        <v>6</v>
      </c>
      <c r="H16" s="8">
        <v>6.98</v>
      </c>
      <c r="I16" s="12">
        <v>0</v>
      </c>
    </row>
    <row r="17" spans="2:9" ht="15" customHeight="1" x14ac:dyDescent="0.2">
      <c r="B17" t="s">
        <v>90</v>
      </c>
      <c r="C17" s="12">
        <v>9</v>
      </c>
      <c r="D17" s="8">
        <v>4.13</v>
      </c>
      <c r="E17" s="12">
        <v>5</v>
      </c>
      <c r="F17" s="8">
        <v>3.85</v>
      </c>
      <c r="G17" s="12">
        <v>3</v>
      </c>
      <c r="H17" s="8">
        <v>3.49</v>
      </c>
      <c r="I17" s="12">
        <v>1</v>
      </c>
    </row>
    <row r="18" spans="2:9" ht="15" customHeight="1" x14ac:dyDescent="0.2">
      <c r="B18" t="s">
        <v>91</v>
      </c>
      <c r="C18" s="12">
        <v>5</v>
      </c>
      <c r="D18" s="8">
        <v>2.29</v>
      </c>
      <c r="E18" s="12">
        <v>4</v>
      </c>
      <c r="F18" s="8">
        <v>3.08</v>
      </c>
      <c r="G18" s="12">
        <v>1</v>
      </c>
      <c r="H18" s="8">
        <v>1.1599999999999999</v>
      </c>
      <c r="I18" s="12">
        <v>0</v>
      </c>
    </row>
    <row r="19" spans="2:9" ht="15" customHeight="1" x14ac:dyDescent="0.2">
      <c r="B19" t="s">
        <v>92</v>
      </c>
      <c r="C19" s="12">
        <v>11</v>
      </c>
      <c r="D19" s="8">
        <v>5.05</v>
      </c>
      <c r="E19" s="12">
        <v>6</v>
      </c>
      <c r="F19" s="8">
        <v>4.62</v>
      </c>
      <c r="G19" s="12">
        <v>4</v>
      </c>
      <c r="H19" s="8">
        <v>4.6500000000000004</v>
      </c>
      <c r="I19" s="12">
        <v>0</v>
      </c>
    </row>
    <row r="20" spans="2:9" ht="15" customHeight="1" x14ac:dyDescent="0.2">
      <c r="B20" s="9" t="s">
        <v>363</v>
      </c>
      <c r="C20" s="12">
        <f>SUM(LTBL_20324[総数／事業所数])</f>
        <v>218</v>
      </c>
      <c r="E20" s="12">
        <f>SUBTOTAL(109,LTBL_20324[個人／事業所数])</f>
        <v>130</v>
      </c>
      <c r="G20" s="12">
        <f>SUBTOTAL(109,LTBL_20324[法人／事業所数])</f>
        <v>86</v>
      </c>
      <c r="I20" s="12">
        <f>SUBTOTAL(109,LTBL_20324[法人以外の団体／事業所数])</f>
        <v>1</v>
      </c>
    </row>
    <row r="21" spans="2:9" ht="15" customHeight="1" x14ac:dyDescent="0.2">
      <c r="E21" s="11">
        <f>LTBL_20324[[#Totals],[個人／事業所数]]/LTBL_20324[[#Totals],[総数／事業所数]]</f>
        <v>0.59633027522935778</v>
      </c>
      <c r="G21" s="11">
        <f>LTBL_20324[[#Totals],[法人／事業所数]]/LTBL_20324[[#Totals],[総数／事業所数]]</f>
        <v>0.39449541284403672</v>
      </c>
      <c r="I21" s="11">
        <f>LTBL_20324[[#Totals],[法人以外の団体／事業所数]]/LTBL_20324[[#Totals],[総数／事業所数]]</f>
        <v>4.5871559633027525E-3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114</v>
      </c>
      <c r="C24" s="12">
        <v>38</v>
      </c>
      <c r="D24" s="8">
        <v>17.43</v>
      </c>
      <c r="E24" s="12">
        <v>27</v>
      </c>
      <c r="F24" s="8">
        <v>20.77</v>
      </c>
      <c r="G24" s="12">
        <v>11</v>
      </c>
      <c r="H24" s="8">
        <v>12.79</v>
      </c>
      <c r="I24" s="12">
        <v>0</v>
      </c>
    </row>
    <row r="25" spans="2:9" ht="15" customHeight="1" x14ac:dyDescent="0.2">
      <c r="B25" t="s">
        <v>115</v>
      </c>
      <c r="C25" s="12">
        <v>21</v>
      </c>
      <c r="D25" s="8">
        <v>9.6300000000000008</v>
      </c>
      <c r="E25" s="12">
        <v>17</v>
      </c>
      <c r="F25" s="8">
        <v>13.08</v>
      </c>
      <c r="G25" s="12">
        <v>4</v>
      </c>
      <c r="H25" s="8">
        <v>4.6500000000000004</v>
      </c>
      <c r="I25" s="12">
        <v>0</v>
      </c>
    </row>
    <row r="26" spans="2:9" ht="15" customHeight="1" x14ac:dyDescent="0.2">
      <c r="B26" t="s">
        <v>116</v>
      </c>
      <c r="C26" s="12">
        <v>15</v>
      </c>
      <c r="D26" s="8">
        <v>6.88</v>
      </c>
      <c r="E26" s="12">
        <v>12</v>
      </c>
      <c r="F26" s="8">
        <v>9.23</v>
      </c>
      <c r="G26" s="12">
        <v>3</v>
      </c>
      <c r="H26" s="8">
        <v>3.49</v>
      </c>
      <c r="I26" s="12">
        <v>0</v>
      </c>
    </row>
    <row r="27" spans="2:9" ht="15" customHeight="1" x14ac:dyDescent="0.2">
      <c r="B27" t="s">
        <v>110</v>
      </c>
      <c r="C27" s="12">
        <v>14</v>
      </c>
      <c r="D27" s="8">
        <v>6.42</v>
      </c>
      <c r="E27" s="12">
        <v>6</v>
      </c>
      <c r="F27" s="8">
        <v>4.62</v>
      </c>
      <c r="G27" s="12">
        <v>8</v>
      </c>
      <c r="H27" s="8">
        <v>9.3000000000000007</v>
      </c>
      <c r="I27" s="12">
        <v>0</v>
      </c>
    </row>
    <row r="28" spans="2:9" ht="15" customHeight="1" x14ac:dyDescent="0.2">
      <c r="B28" t="s">
        <v>101</v>
      </c>
      <c r="C28" s="12">
        <v>13</v>
      </c>
      <c r="D28" s="8">
        <v>5.96</v>
      </c>
      <c r="E28" s="12">
        <v>6</v>
      </c>
      <c r="F28" s="8">
        <v>4.62</v>
      </c>
      <c r="G28" s="12">
        <v>7</v>
      </c>
      <c r="H28" s="8">
        <v>8.14</v>
      </c>
      <c r="I28" s="12">
        <v>0</v>
      </c>
    </row>
    <row r="29" spans="2:9" ht="15" customHeight="1" x14ac:dyDescent="0.2">
      <c r="B29" t="s">
        <v>108</v>
      </c>
      <c r="C29" s="12">
        <v>10</v>
      </c>
      <c r="D29" s="8">
        <v>4.59</v>
      </c>
      <c r="E29" s="12">
        <v>8</v>
      </c>
      <c r="F29" s="8">
        <v>6.15</v>
      </c>
      <c r="G29" s="12">
        <v>2</v>
      </c>
      <c r="H29" s="8">
        <v>2.33</v>
      </c>
      <c r="I29" s="12">
        <v>0</v>
      </c>
    </row>
    <row r="30" spans="2:9" ht="15" customHeight="1" x14ac:dyDescent="0.2">
      <c r="B30" t="s">
        <v>103</v>
      </c>
      <c r="C30" s="12">
        <v>9</v>
      </c>
      <c r="D30" s="8">
        <v>4.13</v>
      </c>
      <c r="E30" s="12">
        <v>6</v>
      </c>
      <c r="F30" s="8">
        <v>4.62</v>
      </c>
      <c r="G30" s="12">
        <v>3</v>
      </c>
      <c r="H30" s="8">
        <v>3.49</v>
      </c>
      <c r="I30" s="12">
        <v>0</v>
      </c>
    </row>
    <row r="31" spans="2:9" ht="15" customHeight="1" x14ac:dyDescent="0.2">
      <c r="B31" t="s">
        <v>117</v>
      </c>
      <c r="C31" s="12">
        <v>9</v>
      </c>
      <c r="D31" s="8">
        <v>4.13</v>
      </c>
      <c r="E31" s="12">
        <v>5</v>
      </c>
      <c r="F31" s="8">
        <v>3.85</v>
      </c>
      <c r="G31" s="12">
        <v>3</v>
      </c>
      <c r="H31" s="8">
        <v>3.49</v>
      </c>
      <c r="I31" s="12">
        <v>1</v>
      </c>
    </row>
    <row r="32" spans="2:9" ht="15" customHeight="1" x14ac:dyDescent="0.2">
      <c r="B32" t="s">
        <v>102</v>
      </c>
      <c r="C32" s="12">
        <v>8</v>
      </c>
      <c r="D32" s="8">
        <v>3.67</v>
      </c>
      <c r="E32" s="12">
        <v>5</v>
      </c>
      <c r="F32" s="8">
        <v>3.85</v>
      </c>
      <c r="G32" s="12">
        <v>3</v>
      </c>
      <c r="H32" s="8">
        <v>3.49</v>
      </c>
      <c r="I32" s="12">
        <v>0</v>
      </c>
    </row>
    <row r="33" spans="2:9" ht="15" customHeight="1" x14ac:dyDescent="0.2">
      <c r="B33" t="s">
        <v>109</v>
      </c>
      <c r="C33" s="12">
        <v>6</v>
      </c>
      <c r="D33" s="8">
        <v>2.75</v>
      </c>
      <c r="E33" s="12">
        <v>6</v>
      </c>
      <c r="F33" s="8">
        <v>4.62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112</v>
      </c>
      <c r="C34" s="12">
        <v>6</v>
      </c>
      <c r="D34" s="8">
        <v>2.75</v>
      </c>
      <c r="E34" s="12">
        <v>6</v>
      </c>
      <c r="F34" s="8">
        <v>4.62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113</v>
      </c>
      <c r="C35" s="12">
        <v>6</v>
      </c>
      <c r="D35" s="8">
        <v>2.75</v>
      </c>
      <c r="E35" s="12">
        <v>3</v>
      </c>
      <c r="F35" s="8">
        <v>2.31</v>
      </c>
      <c r="G35" s="12">
        <v>3</v>
      </c>
      <c r="H35" s="8">
        <v>3.49</v>
      </c>
      <c r="I35" s="12">
        <v>0</v>
      </c>
    </row>
    <row r="36" spans="2:9" ht="15" customHeight="1" x14ac:dyDescent="0.2">
      <c r="B36" t="s">
        <v>118</v>
      </c>
      <c r="C36" s="12">
        <v>5</v>
      </c>
      <c r="D36" s="8">
        <v>2.29</v>
      </c>
      <c r="E36" s="12">
        <v>4</v>
      </c>
      <c r="F36" s="8">
        <v>3.08</v>
      </c>
      <c r="G36" s="12">
        <v>1</v>
      </c>
      <c r="H36" s="8">
        <v>1.1599999999999999</v>
      </c>
      <c r="I36" s="12">
        <v>0</v>
      </c>
    </row>
    <row r="37" spans="2:9" ht="15" customHeight="1" x14ac:dyDescent="0.2">
      <c r="B37" t="s">
        <v>105</v>
      </c>
      <c r="C37" s="12">
        <v>4</v>
      </c>
      <c r="D37" s="8">
        <v>1.83</v>
      </c>
      <c r="E37" s="12">
        <v>0</v>
      </c>
      <c r="F37" s="8">
        <v>0</v>
      </c>
      <c r="G37" s="12">
        <v>4</v>
      </c>
      <c r="H37" s="8">
        <v>4.6500000000000004</v>
      </c>
      <c r="I37" s="12">
        <v>0</v>
      </c>
    </row>
    <row r="38" spans="2:9" ht="15" customHeight="1" x14ac:dyDescent="0.2">
      <c r="B38" t="s">
        <v>107</v>
      </c>
      <c r="C38" s="12">
        <v>4</v>
      </c>
      <c r="D38" s="8">
        <v>1.83</v>
      </c>
      <c r="E38" s="12">
        <v>1</v>
      </c>
      <c r="F38" s="8">
        <v>0.77</v>
      </c>
      <c r="G38" s="12">
        <v>3</v>
      </c>
      <c r="H38" s="8">
        <v>3.49</v>
      </c>
      <c r="I38" s="12">
        <v>0</v>
      </c>
    </row>
    <row r="39" spans="2:9" ht="15" customHeight="1" x14ac:dyDescent="0.2">
      <c r="B39" t="s">
        <v>120</v>
      </c>
      <c r="C39" s="12">
        <v>4</v>
      </c>
      <c r="D39" s="8">
        <v>1.83</v>
      </c>
      <c r="E39" s="12">
        <v>4</v>
      </c>
      <c r="F39" s="8">
        <v>3.08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133</v>
      </c>
      <c r="C40" s="12">
        <v>3</v>
      </c>
      <c r="D40" s="8">
        <v>1.38</v>
      </c>
      <c r="E40" s="12">
        <v>0</v>
      </c>
      <c r="F40" s="8">
        <v>0</v>
      </c>
      <c r="G40" s="12">
        <v>3</v>
      </c>
      <c r="H40" s="8">
        <v>3.49</v>
      </c>
      <c r="I40" s="12">
        <v>0</v>
      </c>
    </row>
    <row r="41" spans="2:9" ht="15" customHeight="1" x14ac:dyDescent="0.2">
      <c r="B41" t="s">
        <v>127</v>
      </c>
      <c r="C41" s="12">
        <v>2</v>
      </c>
      <c r="D41" s="8">
        <v>0.92</v>
      </c>
      <c r="E41" s="12">
        <v>1</v>
      </c>
      <c r="F41" s="8">
        <v>0.77</v>
      </c>
      <c r="G41" s="12">
        <v>1</v>
      </c>
      <c r="H41" s="8">
        <v>1.1599999999999999</v>
      </c>
      <c r="I41" s="12">
        <v>0</v>
      </c>
    </row>
    <row r="42" spans="2:9" ht="15" customHeight="1" x14ac:dyDescent="0.2">
      <c r="B42" t="s">
        <v>155</v>
      </c>
      <c r="C42" s="12">
        <v>2</v>
      </c>
      <c r="D42" s="8">
        <v>0.92</v>
      </c>
      <c r="E42" s="12">
        <v>1</v>
      </c>
      <c r="F42" s="8">
        <v>0.77</v>
      </c>
      <c r="G42" s="12">
        <v>1</v>
      </c>
      <c r="H42" s="8">
        <v>1.1599999999999999</v>
      </c>
      <c r="I42" s="12">
        <v>0</v>
      </c>
    </row>
    <row r="43" spans="2:9" ht="15" customHeight="1" x14ac:dyDescent="0.2">
      <c r="B43" t="s">
        <v>154</v>
      </c>
      <c r="C43" s="12">
        <v>2</v>
      </c>
      <c r="D43" s="8">
        <v>0.92</v>
      </c>
      <c r="E43" s="12">
        <v>2</v>
      </c>
      <c r="F43" s="8">
        <v>1.54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140</v>
      </c>
      <c r="C44" s="12">
        <v>2</v>
      </c>
      <c r="D44" s="8">
        <v>0.92</v>
      </c>
      <c r="E44" s="12">
        <v>1</v>
      </c>
      <c r="F44" s="8">
        <v>0.77</v>
      </c>
      <c r="G44" s="12">
        <v>1</v>
      </c>
      <c r="H44" s="8">
        <v>1.1599999999999999</v>
      </c>
      <c r="I44" s="12">
        <v>0</v>
      </c>
    </row>
    <row r="45" spans="2:9" ht="15" customHeight="1" x14ac:dyDescent="0.2">
      <c r="B45" t="s">
        <v>134</v>
      </c>
      <c r="C45" s="12">
        <v>2</v>
      </c>
      <c r="D45" s="8">
        <v>0.92</v>
      </c>
      <c r="E45" s="12">
        <v>1</v>
      </c>
      <c r="F45" s="8">
        <v>0.77</v>
      </c>
      <c r="G45" s="12">
        <v>1</v>
      </c>
      <c r="H45" s="8">
        <v>1.1599999999999999</v>
      </c>
      <c r="I45" s="12">
        <v>0</v>
      </c>
    </row>
    <row r="46" spans="2:9" ht="15" customHeight="1" x14ac:dyDescent="0.2">
      <c r="B46" t="s">
        <v>111</v>
      </c>
      <c r="C46" s="12">
        <v>2</v>
      </c>
      <c r="D46" s="8">
        <v>0.92</v>
      </c>
      <c r="E46" s="12">
        <v>0</v>
      </c>
      <c r="F46" s="8">
        <v>0</v>
      </c>
      <c r="G46" s="12">
        <v>2</v>
      </c>
      <c r="H46" s="8">
        <v>2.33</v>
      </c>
      <c r="I46" s="12">
        <v>0</v>
      </c>
    </row>
    <row r="47" spans="2:9" ht="15" customHeight="1" x14ac:dyDescent="0.2">
      <c r="B47" t="s">
        <v>153</v>
      </c>
      <c r="C47" s="12">
        <v>2</v>
      </c>
      <c r="D47" s="8">
        <v>0.92</v>
      </c>
      <c r="E47" s="12">
        <v>0</v>
      </c>
      <c r="F47" s="8">
        <v>0</v>
      </c>
      <c r="G47" s="12">
        <v>2</v>
      </c>
      <c r="H47" s="8">
        <v>2.33</v>
      </c>
      <c r="I47" s="12">
        <v>0</v>
      </c>
    </row>
    <row r="48" spans="2:9" ht="15" customHeight="1" x14ac:dyDescent="0.2">
      <c r="B48" t="s">
        <v>131</v>
      </c>
      <c r="C48" s="12">
        <v>2</v>
      </c>
      <c r="D48" s="8">
        <v>0.92</v>
      </c>
      <c r="E48" s="12">
        <v>0</v>
      </c>
      <c r="F48" s="8">
        <v>0</v>
      </c>
      <c r="G48" s="12">
        <v>2</v>
      </c>
      <c r="H48" s="8">
        <v>2.33</v>
      </c>
      <c r="I48" s="12">
        <v>0</v>
      </c>
    </row>
    <row r="49" spans="2:9" ht="15" customHeight="1" x14ac:dyDescent="0.2">
      <c r="B49" t="s">
        <v>132</v>
      </c>
      <c r="C49" s="12">
        <v>2</v>
      </c>
      <c r="D49" s="8">
        <v>0.92</v>
      </c>
      <c r="E49" s="12">
        <v>1</v>
      </c>
      <c r="F49" s="8">
        <v>0.77</v>
      </c>
      <c r="G49" s="12">
        <v>1</v>
      </c>
      <c r="H49" s="8">
        <v>1.1599999999999999</v>
      </c>
      <c r="I49" s="12">
        <v>0</v>
      </c>
    </row>
    <row r="50" spans="2:9" ht="15" customHeight="1" x14ac:dyDescent="0.2">
      <c r="B50" t="s">
        <v>147</v>
      </c>
      <c r="C50" s="12">
        <v>2</v>
      </c>
      <c r="D50" s="8">
        <v>0.92</v>
      </c>
      <c r="E50" s="12">
        <v>2</v>
      </c>
      <c r="F50" s="8">
        <v>1.54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124</v>
      </c>
      <c r="C51" s="12">
        <v>2</v>
      </c>
      <c r="D51" s="8">
        <v>0.92</v>
      </c>
      <c r="E51" s="12">
        <v>0</v>
      </c>
      <c r="F51" s="8">
        <v>0</v>
      </c>
      <c r="G51" s="12">
        <v>2</v>
      </c>
      <c r="H51" s="8">
        <v>2.33</v>
      </c>
      <c r="I51" s="12">
        <v>0</v>
      </c>
    </row>
    <row r="54" spans="2:9" ht="33" customHeight="1" x14ac:dyDescent="0.2">
      <c r="B54" t="s">
        <v>365</v>
      </c>
      <c r="C54" s="10" t="s">
        <v>94</v>
      </c>
      <c r="D54" s="10" t="s">
        <v>95</v>
      </c>
      <c r="E54" s="10" t="s">
        <v>96</v>
      </c>
      <c r="F54" s="10" t="s">
        <v>97</v>
      </c>
      <c r="G54" s="10" t="s">
        <v>98</v>
      </c>
      <c r="H54" s="10" t="s">
        <v>99</v>
      </c>
      <c r="I54" s="10" t="s">
        <v>100</v>
      </c>
    </row>
    <row r="55" spans="2:9" ht="15" customHeight="1" x14ac:dyDescent="0.2">
      <c r="B55" t="s">
        <v>185</v>
      </c>
      <c r="C55" s="12">
        <v>30</v>
      </c>
      <c r="D55" s="8">
        <v>13.76</v>
      </c>
      <c r="E55" s="12">
        <v>23</v>
      </c>
      <c r="F55" s="8">
        <v>17.690000000000001</v>
      </c>
      <c r="G55" s="12">
        <v>7</v>
      </c>
      <c r="H55" s="8">
        <v>8.14</v>
      </c>
      <c r="I55" s="12">
        <v>0</v>
      </c>
    </row>
    <row r="56" spans="2:9" ht="15" customHeight="1" x14ac:dyDescent="0.2">
      <c r="B56" t="s">
        <v>178</v>
      </c>
      <c r="C56" s="12">
        <v>6</v>
      </c>
      <c r="D56" s="8">
        <v>2.75</v>
      </c>
      <c r="E56" s="12">
        <v>4</v>
      </c>
      <c r="F56" s="8">
        <v>3.08</v>
      </c>
      <c r="G56" s="12">
        <v>2</v>
      </c>
      <c r="H56" s="8">
        <v>2.33</v>
      </c>
      <c r="I56" s="12">
        <v>0</v>
      </c>
    </row>
    <row r="57" spans="2:9" ht="15" customHeight="1" x14ac:dyDescent="0.2">
      <c r="B57" t="s">
        <v>186</v>
      </c>
      <c r="C57" s="12">
        <v>6</v>
      </c>
      <c r="D57" s="8">
        <v>2.75</v>
      </c>
      <c r="E57" s="12">
        <v>5</v>
      </c>
      <c r="F57" s="8">
        <v>3.85</v>
      </c>
      <c r="G57" s="12">
        <v>1</v>
      </c>
      <c r="H57" s="8">
        <v>1.1599999999999999</v>
      </c>
      <c r="I57" s="12">
        <v>0</v>
      </c>
    </row>
    <row r="58" spans="2:9" ht="15" customHeight="1" x14ac:dyDescent="0.2">
      <c r="B58" t="s">
        <v>190</v>
      </c>
      <c r="C58" s="12">
        <v>6</v>
      </c>
      <c r="D58" s="8">
        <v>2.75</v>
      </c>
      <c r="E58" s="12">
        <v>6</v>
      </c>
      <c r="F58" s="8">
        <v>4.62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174</v>
      </c>
      <c r="C59" s="12">
        <v>5</v>
      </c>
      <c r="D59" s="8">
        <v>2.29</v>
      </c>
      <c r="E59" s="12">
        <v>1</v>
      </c>
      <c r="F59" s="8">
        <v>0.77</v>
      </c>
      <c r="G59" s="12">
        <v>4</v>
      </c>
      <c r="H59" s="8">
        <v>4.6500000000000004</v>
      </c>
      <c r="I59" s="12">
        <v>0</v>
      </c>
    </row>
    <row r="60" spans="2:9" ht="15" customHeight="1" x14ac:dyDescent="0.2">
      <c r="B60" t="s">
        <v>214</v>
      </c>
      <c r="C60" s="12">
        <v>5</v>
      </c>
      <c r="D60" s="8">
        <v>2.29</v>
      </c>
      <c r="E60" s="12">
        <v>3</v>
      </c>
      <c r="F60" s="8">
        <v>2.31</v>
      </c>
      <c r="G60" s="12">
        <v>2</v>
      </c>
      <c r="H60" s="8">
        <v>2.33</v>
      </c>
      <c r="I60" s="12">
        <v>0</v>
      </c>
    </row>
    <row r="61" spans="2:9" ht="15" customHeight="1" x14ac:dyDescent="0.2">
      <c r="B61" t="s">
        <v>180</v>
      </c>
      <c r="C61" s="12">
        <v>5</v>
      </c>
      <c r="D61" s="8">
        <v>2.29</v>
      </c>
      <c r="E61" s="12">
        <v>5</v>
      </c>
      <c r="F61" s="8">
        <v>3.85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216</v>
      </c>
      <c r="C62" s="12">
        <v>5</v>
      </c>
      <c r="D62" s="8">
        <v>2.29</v>
      </c>
      <c r="E62" s="12">
        <v>2</v>
      </c>
      <c r="F62" s="8">
        <v>1.54</v>
      </c>
      <c r="G62" s="12">
        <v>3</v>
      </c>
      <c r="H62" s="8">
        <v>3.49</v>
      </c>
      <c r="I62" s="12">
        <v>0</v>
      </c>
    </row>
    <row r="63" spans="2:9" ht="15" customHeight="1" x14ac:dyDescent="0.2">
      <c r="B63" t="s">
        <v>191</v>
      </c>
      <c r="C63" s="12">
        <v>5</v>
      </c>
      <c r="D63" s="8">
        <v>2.29</v>
      </c>
      <c r="E63" s="12">
        <v>5</v>
      </c>
      <c r="F63" s="8">
        <v>3.85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234</v>
      </c>
      <c r="C64" s="12">
        <v>4</v>
      </c>
      <c r="D64" s="8">
        <v>1.83</v>
      </c>
      <c r="E64" s="12">
        <v>0</v>
      </c>
      <c r="F64" s="8">
        <v>0</v>
      </c>
      <c r="G64" s="12">
        <v>4</v>
      </c>
      <c r="H64" s="8">
        <v>4.6500000000000004</v>
      </c>
      <c r="I64" s="12">
        <v>0</v>
      </c>
    </row>
    <row r="65" spans="2:9" ht="15" customHeight="1" x14ac:dyDescent="0.2">
      <c r="B65" t="s">
        <v>187</v>
      </c>
      <c r="C65" s="12">
        <v>4</v>
      </c>
      <c r="D65" s="8">
        <v>1.83</v>
      </c>
      <c r="E65" s="12">
        <v>2</v>
      </c>
      <c r="F65" s="8">
        <v>1.54</v>
      </c>
      <c r="G65" s="12">
        <v>2</v>
      </c>
      <c r="H65" s="8">
        <v>2.33</v>
      </c>
      <c r="I65" s="12">
        <v>0</v>
      </c>
    </row>
    <row r="66" spans="2:9" ht="15" customHeight="1" x14ac:dyDescent="0.2">
      <c r="B66" t="s">
        <v>220</v>
      </c>
      <c r="C66" s="12">
        <v>4</v>
      </c>
      <c r="D66" s="8">
        <v>1.83</v>
      </c>
      <c r="E66" s="12">
        <v>4</v>
      </c>
      <c r="F66" s="8">
        <v>3.08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188</v>
      </c>
      <c r="C67" s="12">
        <v>4</v>
      </c>
      <c r="D67" s="8">
        <v>1.83</v>
      </c>
      <c r="E67" s="12">
        <v>4</v>
      </c>
      <c r="F67" s="8">
        <v>3.08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192</v>
      </c>
      <c r="C68" s="12">
        <v>4</v>
      </c>
      <c r="D68" s="8">
        <v>1.83</v>
      </c>
      <c r="E68" s="12">
        <v>3</v>
      </c>
      <c r="F68" s="8">
        <v>2.31</v>
      </c>
      <c r="G68" s="12">
        <v>1</v>
      </c>
      <c r="H68" s="8">
        <v>1.1599999999999999</v>
      </c>
      <c r="I68" s="12">
        <v>0</v>
      </c>
    </row>
    <row r="69" spans="2:9" ht="15" customHeight="1" x14ac:dyDescent="0.2">
      <c r="B69" t="s">
        <v>200</v>
      </c>
      <c r="C69" s="12">
        <v>4</v>
      </c>
      <c r="D69" s="8">
        <v>1.83</v>
      </c>
      <c r="E69" s="12">
        <v>4</v>
      </c>
      <c r="F69" s="8">
        <v>3.08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175</v>
      </c>
      <c r="C70" s="12">
        <v>3</v>
      </c>
      <c r="D70" s="8">
        <v>1.38</v>
      </c>
      <c r="E70" s="12">
        <v>1</v>
      </c>
      <c r="F70" s="8">
        <v>0.77</v>
      </c>
      <c r="G70" s="12">
        <v>2</v>
      </c>
      <c r="H70" s="8">
        <v>2.33</v>
      </c>
      <c r="I70" s="12">
        <v>0</v>
      </c>
    </row>
    <row r="71" spans="2:9" ht="15" customHeight="1" x14ac:dyDescent="0.2">
      <c r="B71" t="s">
        <v>176</v>
      </c>
      <c r="C71" s="12">
        <v>3</v>
      </c>
      <c r="D71" s="8">
        <v>1.38</v>
      </c>
      <c r="E71" s="12">
        <v>2</v>
      </c>
      <c r="F71" s="8">
        <v>1.54</v>
      </c>
      <c r="G71" s="12">
        <v>1</v>
      </c>
      <c r="H71" s="8">
        <v>1.1599999999999999</v>
      </c>
      <c r="I71" s="12">
        <v>0</v>
      </c>
    </row>
    <row r="72" spans="2:9" ht="15" customHeight="1" x14ac:dyDescent="0.2">
      <c r="B72" t="s">
        <v>201</v>
      </c>
      <c r="C72" s="12">
        <v>3</v>
      </c>
      <c r="D72" s="8">
        <v>1.38</v>
      </c>
      <c r="E72" s="12">
        <v>1</v>
      </c>
      <c r="F72" s="8">
        <v>0.77</v>
      </c>
      <c r="G72" s="12">
        <v>2</v>
      </c>
      <c r="H72" s="8">
        <v>2.33</v>
      </c>
      <c r="I72" s="12">
        <v>0</v>
      </c>
    </row>
    <row r="73" spans="2:9" ht="15" customHeight="1" x14ac:dyDescent="0.2">
      <c r="B73" t="s">
        <v>181</v>
      </c>
      <c r="C73" s="12">
        <v>3</v>
      </c>
      <c r="D73" s="8">
        <v>1.38</v>
      </c>
      <c r="E73" s="12">
        <v>0</v>
      </c>
      <c r="F73" s="8">
        <v>0</v>
      </c>
      <c r="G73" s="12">
        <v>3</v>
      </c>
      <c r="H73" s="8">
        <v>3.49</v>
      </c>
      <c r="I73" s="12">
        <v>0</v>
      </c>
    </row>
    <row r="74" spans="2:9" ht="15" customHeight="1" x14ac:dyDescent="0.2">
      <c r="B74" t="s">
        <v>184</v>
      </c>
      <c r="C74" s="12">
        <v>3</v>
      </c>
      <c r="D74" s="8">
        <v>1.38</v>
      </c>
      <c r="E74" s="12">
        <v>1</v>
      </c>
      <c r="F74" s="8">
        <v>0.77</v>
      </c>
      <c r="G74" s="12">
        <v>2</v>
      </c>
      <c r="H74" s="8">
        <v>2.33</v>
      </c>
      <c r="I74" s="12">
        <v>0</v>
      </c>
    </row>
    <row r="75" spans="2:9" ht="15" customHeight="1" x14ac:dyDescent="0.2">
      <c r="B75" t="s">
        <v>247</v>
      </c>
      <c r="C75" s="12">
        <v>3</v>
      </c>
      <c r="D75" s="8">
        <v>1.38</v>
      </c>
      <c r="E75" s="12">
        <v>3</v>
      </c>
      <c r="F75" s="8">
        <v>2.31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199</v>
      </c>
      <c r="C76" s="12">
        <v>3</v>
      </c>
      <c r="D76" s="8">
        <v>1.38</v>
      </c>
      <c r="E76" s="12">
        <v>1</v>
      </c>
      <c r="F76" s="8">
        <v>0.77</v>
      </c>
      <c r="G76" s="12">
        <v>2</v>
      </c>
      <c r="H76" s="8">
        <v>2.33</v>
      </c>
      <c r="I76" s="12">
        <v>0</v>
      </c>
    </row>
    <row r="77" spans="2:9" ht="15" customHeight="1" x14ac:dyDescent="0.2">
      <c r="B77" t="s">
        <v>209</v>
      </c>
      <c r="C77" s="12">
        <v>3</v>
      </c>
      <c r="D77" s="8">
        <v>1.38</v>
      </c>
      <c r="E77" s="12">
        <v>2</v>
      </c>
      <c r="F77" s="8">
        <v>1.54</v>
      </c>
      <c r="G77" s="12">
        <v>0</v>
      </c>
      <c r="H77" s="8">
        <v>0</v>
      </c>
      <c r="I77" s="12">
        <v>1</v>
      </c>
    </row>
    <row r="79" spans="2:9" ht="15" customHeight="1" x14ac:dyDescent="0.2">
      <c r="B79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4463C-369D-414E-8242-18651B041409}">
  <sheetPr>
    <pageSetUpPr fitToPage="1"/>
  </sheetPr>
  <dimension ref="B2:I8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395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27</v>
      </c>
      <c r="D6" s="8">
        <v>20.61</v>
      </c>
      <c r="E6" s="12">
        <v>20</v>
      </c>
      <c r="F6" s="8">
        <v>22.73</v>
      </c>
      <c r="G6" s="12">
        <v>7</v>
      </c>
      <c r="H6" s="8">
        <v>22.58</v>
      </c>
      <c r="I6" s="12">
        <v>0</v>
      </c>
    </row>
    <row r="7" spans="2:9" ht="15" customHeight="1" x14ac:dyDescent="0.2">
      <c r="B7" t="s">
        <v>80</v>
      </c>
      <c r="C7" s="12">
        <v>23</v>
      </c>
      <c r="D7" s="8">
        <v>17.559999999999999</v>
      </c>
      <c r="E7" s="12">
        <v>16</v>
      </c>
      <c r="F7" s="8">
        <v>18.18</v>
      </c>
      <c r="G7" s="12">
        <v>7</v>
      </c>
      <c r="H7" s="8">
        <v>22.58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0.76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1</v>
      </c>
      <c r="D10" s="8">
        <v>0.76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84</v>
      </c>
      <c r="C11" s="12">
        <v>19</v>
      </c>
      <c r="D11" s="8">
        <v>14.5</v>
      </c>
      <c r="E11" s="12">
        <v>13</v>
      </c>
      <c r="F11" s="8">
        <v>14.77</v>
      </c>
      <c r="G11" s="12">
        <v>6</v>
      </c>
      <c r="H11" s="8">
        <v>19.350000000000001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4</v>
      </c>
      <c r="D13" s="8">
        <v>3.05</v>
      </c>
      <c r="E13" s="12">
        <v>1</v>
      </c>
      <c r="F13" s="8">
        <v>1.1399999999999999</v>
      </c>
      <c r="G13" s="12">
        <v>2</v>
      </c>
      <c r="H13" s="8">
        <v>6.45</v>
      </c>
      <c r="I13" s="12">
        <v>0</v>
      </c>
    </row>
    <row r="14" spans="2:9" ht="15" customHeight="1" x14ac:dyDescent="0.2">
      <c r="B14" t="s">
        <v>87</v>
      </c>
      <c r="C14" s="12">
        <v>3</v>
      </c>
      <c r="D14" s="8">
        <v>2.29</v>
      </c>
      <c r="E14" s="12">
        <v>1</v>
      </c>
      <c r="F14" s="8">
        <v>1.1399999999999999</v>
      </c>
      <c r="G14" s="12">
        <v>2</v>
      </c>
      <c r="H14" s="8">
        <v>6.45</v>
      </c>
      <c r="I14" s="12">
        <v>0</v>
      </c>
    </row>
    <row r="15" spans="2:9" ht="15" customHeight="1" x14ac:dyDescent="0.2">
      <c r="B15" t="s">
        <v>88</v>
      </c>
      <c r="C15" s="12">
        <v>16</v>
      </c>
      <c r="D15" s="8">
        <v>12.21</v>
      </c>
      <c r="E15" s="12">
        <v>14</v>
      </c>
      <c r="F15" s="8">
        <v>15.91</v>
      </c>
      <c r="G15" s="12">
        <v>2</v>
      </c>
      <c r="H15" s="8">
        <v>6.45</v>
      </c>
      <c r="I15" s="12">
        <v>0</v>
      </c>
    </row>
    <row r="16" spans="2:9" ht="15" customHeight="1" x14ac:dyDescent="0.2">
      <c r="B16" t="s">
        <v>89</v>
      </c>
      <c r="C16" s="12">
        <v>13</v>
      </c>
      <c r="D16" s="8">
        <v>9.92</v>
      </c>
      <c r="E16" s="12">
        <v>11</v>
      </c>
      <c r="F16" s="8">
        <v>12.5</v>
      </c>
      <c r="G16" s="12">
        <v>0</v>
      </c>
      <c r="H16" s="8">
        <v>0</v>
      </c>
      <c r="I16" s="12">
        <v>1</v>
      </c>
    </row>
    <row r="17" spans="2:9" ht="15" customHeight="1" x14ac:dyDescent="0.2">
      <c r="B17" t="s">
        <v>90</v>
      </c>
      <c r="C17" s="12">
        <v>7</v>
      </c>
      <c r="D17" s="8">
        <v>5.34</v>
      </c>
      <c r="E17" s="12">
        <v>4</v>
      </c>
      <c r="F17" s="8">
        <v>4.55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12</v>
      </c>
      <c r="D18" s="8">
        <v>9.16</v>
      </c>
      <c r="E18" s="12">
        <v>6</v>
      </c>
      <c r="F18" s="8">
        <v>6.82</v>
      </c>
      <c r="G18" s="12">
        <v>2</v>
      </c>
      <c r="H18" s="8">
        <v>6.45</v>
      </c>
      <c r="I18" s="12">
        <v>0</v>
      </c>
    </row>
    <row r="19" spans="2:9" ht="15" customHeight="1" x14ac:dyDescent="0.2">
      <c r="B19" t="s">
        <v>92</v>
      </c>
      <c r="C19" s="12">
        <v>5</v>
      </c>
      <c r="D19" s="8">
        <v>3.82</v>
      </c>
      <c r="E19" s="12">
        <v>2</v>
      </c>
      <c r="F19" s="8">
        <v>2.27</v>
      </c>
      <c r="G19" s="12">
        <v>3</v>
      </c>
      <c r="H19" s="8">
        <v>9.68</v>
      </c>
      <c r="I19" s="12">
        <v>0</v>
      </c>
    </row>
    <row r="20" spans="2:9" ht="15" customHeight="1" x14ac:dyDescent="0.2">
      <c r="B20" s="9" t="s">
        <v>363</v>
      </c>
      <c r="C20" s="12">
        <f>SUM(LTBL_20349[総数／事業所数])</f>
        <v>131</v>
      </c>
      <c r="E20" s="12">
        <f>SUBTOTAL(109,LTBL_20349[個人／事業所数])</f>
        <v>88</v>
      </c>
      <c r="G20" s="12">
        <f>SUBTOTAL(109,LTBL_20349[法人／事業所数])</f>
        <v>31</v>
      </c>
      <c r="I20" s="12">
        <f>SUBTOTAL(109,LTBL_20349[法人以外の団体／事業所数])</f>
        <v>1</v>
      </c>
    </row>
    <row r="21" spans="2:9" ht="15" customHeight="1" x14ac:dyDescent="0.2">
      <c r="E21" s="11">
        <f>LTBL_20349[[#Totals],[個人／事業所数]]/LTBL_20349[[#Totals],[総数／事業所数]]</f>
        <v>0.6717557251908397</v>
      </c>
      <c r="G21" s="11">
        <f>LTBL_20349[[#Totals],[法人／事業所数]]/LTBL_20349[[#Totals],[総数／事業所数]]</f>
        <v>0.23664122137404581</v>
      </c>
      <c r="I21" s="11">
        <f>LTBL_20349[[#Totals],[法人以外の団体／事業所数]]/LTBL_20349[[#Totals],[総数／事業所数]]</f>
        <v>7.6335877862595417E-3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101</v>
      </c>
      <c r="C24" s="12">
        <v>12</v>
      </c>
      <c r="D24" s="8">
        <v>9.16</v>
      </c>
      <c r="E24" s="12">
        <v>8</v>
      </c>
      <c r="F24" s="8">
        <v>9.09</v>
      </c>
      <c r="G24" s="12">
        <v>4</v>
      </c>
      <c r="H24" s="8">
        <v>12.9</v>
      </c>
      <c r="I24" s="12">
        <v>0</v>
      </c>
    </row>
    <row r="25" spans="2:9" ht="15" customHeight="1" x14ac:dyDescent="0.2">
      <c r="B25" t="s">
        <v>116</v>
      </c>
      <c r="C25" s="12">
        <v>12</v>
      </c>
      <c r="D25" s="8">
        <v>9.16</v>
      </c>
      <c r="E25" s="12">
        <v>10</v>
      </c>
      <c r="F25" s="8">
        <v>11.36</v>
      </c>
      <c r="G25" s="12">
        <v>0</v>
      </c>
      <c r="H25" s="8">
        <v>0</v>
      </c>
      <c r="I25" s="12">
        <v>1</v>
      </c>
    </row>
    <row r="26" spans="2:9" ht="15" customHeight="1" x14ac:dyDescent="0.2">
      <c r="B26" t="s">
        <v>115</v>
      </c>
      <c r="C26" s="12">
        <v>11</v>
      </c>
      <c r="D26" s="8">
        <v>8.4</v>
      </c>
      <c r="E26" s="12">
        <v>11</v>
      </c>
      <c r="F26" s="8">
        <v>12.5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102</v>
      </c>
      <c r="C27" s="12">
        <v>9</v>
      </c>
      <c r="D27" s="8">
        <v>6.87</v>
      </c>
      <c r="E27" s="12">
        <v>8</v>
      </c>
      <c r="F27" s="8">
        <v>9.09</v>
      </c>
      <c r="G27" s="12">
        <v>1</v>
      </c>
      <c r="H27" s="8">
        <v>3.23</v>
      </c>
      <c r="I27" s="12">
        <v>0</v>
      </c>
    </row>
    <row r="28" spans="2:9" ht="15" customHeight="1" x14ac:dyDescent="0.2">
      <c r="B28" t="s">
        <v>108</v>
      </c>
      <c r="C28" s="12">
        <v>8</v>
      </c>
      <c r="D28" s="8">
        <v>6.11</v>
      </c>
      <c r="E28" s="12">
        <v>6</v>
      </c>
      <c r="F28" s="8">
        <v>6.82</v>
      </c>
      <c r="G28" s="12">
        <v>2</v>
      </c>
      <c r="H28" s="8">
        <v>6.45</v>
      </c>
      <c r="I28" s="12">
        <v>0</v>
      </c>
    </row>
    <row r="29" spans="2:9" ht="15" customHeight="1" x14ac:dyDescent="0.2">
      <c r="B29" t="s">
        <v>110</v>
      </c>
      <c r="C29" s="12">
        <v>7</v>
      </c>
      <c r="D29" s="8">
        <v>5.34</v>
      </c>
      <c r="E29" s="12">
        <v>6</v>
      </c>
      <c r="F29" s="8">
        <v>6.82</v>
      </c>
      <c r="G29" s="12">
        <v>1</v>
      </c>
      <c r="H29" s="8">
        <v>3.23</v>
      </c>
      <c r="I29" s="12">
        <v>0</v>
      </c>
    </row>
    <row r="30" spans="2:9" ht="15" customHeight="1" x14ac:dyDescent="0.2">
      <c r="B30" t="s">
        <v>117</v>
      </c>
      <c r="C30" s="12">
        <v>7</v>
      </c>
      <c r="D30" s="8">
        <v>5.34</v>
      </c>
      <c r="E30" s="12">
        <v>4</v>
      </c>
      <c r="F30" s="8">
        <v>4.55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103</v>
      </c>
      <c r="C31" s="12">
        <v>6</v>
      </c>
      <c r="D31" s="8">
        <v>4.58</v>
      </c>
      <c r="E31" s="12">
        <v>4</v>
      </c>
      <c r="F31" s="8">
        <v>4.55</v>
      </c>
      <c r="G31" s="12">
        <v>2</v>
      </c>
      <c r="H31" s="8">
        <v>6.45</v>
      </c>
      <c r="I31" s="12">
        <v>0</v>
      </c>
    </row>
    <row r="32" spans="2:9" ht="15" customHeight="1" x14ac:dyDescent="0.2">
      <c r="B32" t="s">
        <v>118</v>
      </c>
      <c r="C32" s="12">
        <v>6</v>
      </c>
      <c r="D32" s="8">
        <v>4.58</v>
      </c>
      <c r="E32" s="12">
        <v>6</v>
      </c>
      <c r="F32" s="8">
        <v>6.82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119</v>
      </c>
      <c r="C33" s="12">
        <v>6</v>
      </c>
      <c r="D33" s="8">
        <v>4.58</v>
      </c>
      <c r="E33" s="12">
        <v>0</v>
      </c>
      <c r="F33" s="8">
        <v>0</v>
      </c>
      <c r="G33" s="12">
        <v>2</v>
      </c>
      <c r="H33" s="8">
        <v>6.45</v>
      </c>
      <c r="I33" s="12">
        <v>0</v>
      </c>
    </row>
    <row r="34" spans="2:9" ht="15" customHeight="1" x14ac:dyDescent="0.2">
      <c r="B34" t="s">
        <v>114</v>
      </c>
      <c r="C34" s="12">
        <v>5</v>
      </c>
      <c r="D34" s="8">
        <v>3.82</v>
      </c>
      <c r="E34" s="12">
        <v>3</v>
      </c>
      <c r="F34" s="8">
        <v>3.41</v>
      </c>
      <c r="G34" s="12">
        <v>2</v>
      </c>
      <c r="H34" s="8">
        <v>6.45</v>
      </c>
      <c r="I34" s="12">
        <v>0</v>
      </c>
    </row>
    <row r="35" spans="2:9" ht="15" customHeight="1" x14ac:dyDescent="0.2">
      <c r="B35" t="s">
        <v>105</v>
      </c>
      <c r="C35" s="12">
        <v>4</v>
      </c>
      <c r="D35" s="8">
        <v>3.05</v>
      </c>
      <c r="E35" s="12">
        <v>3</v>
      </c>
      <c r="F35" s="8">
        <v>3.41</v>
      </c>
      <c r="G35" s="12">
        <v>1</v>
      </c>
      <c r="H35" s="8">
        <v>3.23</v>
      </c>
      <c r="I35" s="12">
        <v>0</v>
      </c>
    </row>
    <row r="36" spans="2:9" ht="15" customHeight="1" x14ac:dyDescent="0.2">
      <c r="B36" t="s">
        <v>156</v>
      </c>
      <c r="C36" s="12">
        <v>3</v>
      </c>
      <c r="D36" s="8">
        <v>2.29</v>
      </c>
      <c r="E36" s="12">
        <v>3</v>
      </c>
      <c r="F36" s="8">
        <v>3.41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126</v>
      </c>
      <c r="C37" s="12">
        <v>3</v>
      </c>
      <c r="D37" s="8">
        <v>2.29</v>
      </c>
      <c r="E37" s="12">
        <v>2</v>
      </c>
      <c r="F37" s="8">
        <v>2.27</v>
      </c>
      <c r="G37" s="12">
        <v>1</v>
      </c>
      <c r="H37" s="8">
        <v>3.23</v>
      </c>
      <c r="I37" s="12">
        <v>0</v>
      </c>
    </row>
    <row r="38" spans="2:9" ht="15" customHeight="1" x14ac:dyDescent="0.2">
      <c r="B38" t="s">
        <v>113</v>
      </c>
      <c r="C38" s="12">
        <v>3</v>
      </c>
      <c r="D38" s="8">
        <v>2.29</v>
      </c>
      <c r="E38" s="12">
        <v>1</v>
      </c>
      <c r="F38" s="8">
        <v>1.1399999999999999</v>
      </c>
      <c r="G38" s="12">
        <v>2</v>
      </c>
      <c r="H38" s="8">
        <v>6.45</v>
      </c>
      <c r="I38" s="12">
        <v>0</v>
      </c>
    </row>
    <row r="39" spans="2:9" ht="15" customHeight="1" x14ac:dyDescent="0.2">
      <c r="B39" t="s">
        <v>124</v>
      </c>
      <c r="C39" s="12">
        <v>3</v>
      </c>
      <c r="D39" s="8">
        <v>2.29</v>
      </c>
      <c r="E39" s="12">
        <v>0</v>
      </c>
      <c r="F39" s="8">
        <v>0</v>
      </c>
      <c r="G39" s="12">
        <v>3</v>
      </c>
      <c r="H39" s="8">
        <v>9.68</v>
      </c>
      <c r="I39" s="12">
        <v>0</v>
      </c>
    </row>
    <row r="40" spans="2:9" ht="15" customHeight="1" x14ac:dyDescent="0.2">
      <c r="B40" t="s">
        <v>104</v>
      </c>
      <c r="C40" s="12">
        <v>2</v>
      </c>
      <c r="D40" s="8">
        <v>1.53</v>
      </c>
      <c r="E40" s="12">
        <v>1</v>
      </c>
      <c r="F40" s="8">
        <v>1.1399999999999999</v>
      </c>
      <c r="G40" s="12">
        <v>1</v>
      </c>
      <c r="H40" s="8">
        <v>3.23</v>
      </c>
      <c r="I40" s="12">
        <v>0</v>
      </c>
    </row>
    <row r="41" spans="2:9" ht="15" customHeight="1" x14ac:dyDescent="0.2">
      <c r="B41" t="s">
        <v>136</v>
      </c>
      <c r="C41" s="12">
        <v>2</v>
      </c>
      <c r="D41" s="8">
        <v>1.53</v>
      </c>
      <c r="E41" s="12">
        <v>2</v>
      </c>
      <c r="F41" s="8">
        <v>2.27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135</v>
      </c>
      <c r="C42" s="12">
        <v>2</v>
      </c>
      <c r="D42" s="8">
        <v>1.53</v>
      </c>
      <c r="E42" s="12">
        <v>1</v>
      </c>
      <c r="F42" s="8">
        <v>1.1399999999999999</v>
      </c>
      <c r="G42" s="12">
        <v>1</v>
      </c>
      <c r="H42" s="8">
        <v>3.23</v>
      </c>
      <c r="I42" s="12">
        <v>0</v>
      </c>
    </row>
    <row r="43" spans="2:9" ht="15" customHeight="1" x14ac:dyDescent="0.2">
      <c r="B43" t="s">
        <v>109</v>
      </c>
      <c r="C43" s="12">
        <v>2</v>
      </c>
      <c r="D43" s="8">
        <v>1.53</v>
      </c>
      <c r="E43" s="12">
        <v>0</v>
      </c>
      <c r="F43" s="8">
        <v>0</v>
      </c>
      <c r="G43" s="12">
        <v>2</v>
      </c>
      <c r="H43" s="8">
        <v>6.45</v>
      </c>
      <c r="I43" s="12">
        <v>0</v>
      </c>
    </row>
    <row r="44" spans="2:9" ht="15" customHeight="1" x14ac:dyDescent="0.2">
      <c r="B44" t="s">
        <v>111</v>
      </c>
      <c r="C44" s="12">
        <v>2</v>
      </c>
      <c r="D44" s="8">
        <v>1.53</v>
      </c>
      <c r="E44" s="12">
        <v>0</v>
      </c>
      <c r="F44" s="8">
        <v>0</v>
      </c>
      <c r="G44" s="12">
        <v>1</v>
      </c>
      <c r="H44" s="8">
        <v>3.23</v>
      </c>
      <c r="I44" s="12">
        <v>0</v>
      </c>
    </row>
    <row r="45" spans="2:9" ht="15" customHeight="1" x14ac:dyDescent="0.2">
      <c r="B45" t="s">
        <v>120</v>
      </c>
      <c r="C45" s="12">
        <v>2</v>
      </c>
      <c r="D45" s="8">
        <v>1.53</v>
      </c>
      <c r="E45" s="12">
        <v>2</v>
      </c>
      <c r="F45" s="8">
        <v>2.27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365</v>
      </c>
      <c r="C48" s="10" t="s">
        <v>94</v>
      </c>
      <c r="D48" s="10" t="s">
        <v>95</v>
      </c>
      <c r="E48" s="10" t="s">
        <v>96</v>
      </c>
      <c r="F48" s="10" t="s">
        <v>97</v>
      </c>
      <c r="G48" s="10" t="s">
        <v>98</v>
      </c>
      <c r="H48" s="10" t="s">
        <v>99</v>
      </c>
      <c r="I48" s="10" t="s">
        <v>100</v>
      </c>
    </row>
    <row r="49" spans="2:9" ht="15" customHeight="1" x14ac:dyDescent="0.2">
      <c r="B49" t="s">
        <v>191</v>
      </c>
      <c r="C49" s="12">
        <v>7</v>
      </c>
      <c r="D49" s="8">
        <v>5.34</v>
      </c>
      <c r="E49" s="12">
        <v>7</v>
      </c>
      <c r="F49" s="8">
        <v>7.95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208</v>
      </c>
      <c r="C50" s="12">
        <v>4</v>
      </c>
      <c r="D50" s="8">
        <v>3.05</v>
      </c>
      <c r="E50" s="12">
        <v>4</v>
      </c>
      <c r="F50" s="8">
        <v>4.55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185</v>
      </c>
      <c r="C51" s="12">
        <v>4</v>
      </c>
      <c r="D51" s="8">
        <v>3.05</v>
      </c>
      <c r="E51" s="12">
        <v>2</v>
      </c>
      <c r="F51" s="8">
        <v>2.27</v>
      </c>
      <c r="G51" s="12">
        <v>2</v>
      </c>
      <c r="H51" s="8">
        <v>6.45</v>
      </c>
      <c r="I51" s="12">
        <v>0</v>
      </c>
    </row>
    <row r="52" spans="2:9" ht="15" customHeight="1" x14ac:dyDescent="0.2">
      <c r="B52" t="s">
        <v>220</v>
      </c>
      <c r="C52" s="12">
        <v>4</v>
      </c>
      <c r="D52" s="8">
        <v>3.05</v>
      </c>
      <c r="E52" s="12">
        <v>4</v>
      </c>
      <c r="F52" s="8">
        <v>4.55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174</v>
      </c>
      <c r="C53" s="12">
        <v>3</v>
      </c>
      <c r="D53" s="8">
        <v>2.29</v>
      </c>
      <c r="E53" s="12">
        <v>1</v>
      </c>
      <c r="F53" s="8">
        <v>1.1399999999999999</v>
      </c>
      <c r="G53" s="12">
        <v>2</v>
      </c>
      <c r="H53" s="8">
        <v>6.45</v>
      </c>
      <c r="I53" s="12">
        <v>0</v>
      </c>
    </row>
    <row r="54" spans="2:9" ht="15" customHeight="1" x14ac:dyDescent="0.2">
      <c r="B54" t="s">
        <v>176</v>
      </c>
      <c r="C54" s="12">
        <v>3</v>
      </c>
      <c r="D54" s="8">
        <v>2.29</v>
      </c>
      <c r="E54" s="12">
        <v>3</v>
      </c>
      <c r="F54" s="8">
        <v>3.41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261</v>
      </c>
      <c r="C55" s="12">
        <v>3</v>
      </c>
      <c r="D55" s="8">
        <v>2.29</v>
      </c>
      <c r="E55" s="12">
        <v>3</v>
      </c>
      <c r="F55" s="8">
        <v>3.41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178</v>
      </c>
      <c r="C56" s="12">
        <v>3</v>
      </c>
      <c r="D56" s="8">
        <v>2.29</v>
      </c>
      <c r="E56" s="12">
        <v>2</v>
      </c>
      <c r="F56" s="8">
        <v>2.27</v>
      </c>
      <c r="G56" s="12">
        <v>1</v>
      </c>
      <c r="H56" s="8">
        <v>3.23</v>
      </c>
      <c r="I56" s="12">
        <v>0</v>
      </c>
    </row>
    <row r="57" spans="2:9" ht="15" customHeight="1" x14ac:dyDescent="0.2">
      <c r="B57" t="s">
        <v>268</v>
      </c>
      <c r="C57" s="12">
        <v>3</v>
      </c>
      <c r="D57" s="8">
        <v>2.29</v>
      </c>
      <c r="E57" s="12">
        <v>3</v>
      </c>
      <c r="F57" s="8">
        <v>3.41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202</v>
      </c>
      <c r="C58" s="12">
        <v>3</v>
      </c>
      <c r="D58" s="8">
        <v>2.29</v>
      </c>
      <c r="E58" s="12">
        <v>2</v>
      </c>
      <c r="F58" s="8">
        <v>2.27</v>
      </c>
      <c r="G58" s="12">
        <v>1</v>
      </c>
      <c r="H58" s="8">
        <v>3.23</v>
      </c>
      <c r="I58" s="12">
        <v>0</v>
      </c>
    </row>
    <row r="59" spans="2:9" ht="15" customHeight="1" x14ac:dyDescent="0.2">
      <c r="B59" t="s">
        <v>214</v>
      </c>
      <c r="C59" s="12">
        <v>3</v>
      </c>
      <c r="D59" s="8">
        <v>2.29</v>
      </c>
      <c r="E59" s="12">
        <v>3</v>
      </c>
      <c r="F59" s="8">
        <v>3.41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179</v>
      </c>
      <c r="C60" s="12">
        <v>3</v>
      </c>
      <c r="D60" s="8">
        <v>2.29</v>
      </c>
      <c r="E60" s="12">
        <v>1</v>
      </c>
      <c r="F60" s="8">
        <v>1.1399999999999999</v>
      </c>
      <c r="G60" s="12">
        <v>2</v>
      </c>
      <c r="H60" s="8">
        <v>6.45</v>
      </c>
      <c r="I60" s="12">
        <v>0</v>
      </c>
    </row>
    <row r="61" spans="2:9" ht="15" customHeight="1" x14ac:dyDescent="0.2">
      <c r="B61" t="s">
        <v>216</v>
      </c>
      <c r="C61" s="12">
        <v>3</v>
      </c>
      <c r="D61" s="8">
        <v>2.29</v>
      </c>
      <c r="E61" s="12">
        <v>3</v>
      </c>
      <c r="F61" s="8">
        <v>3.41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184</v>
      </c>
      <c r="C62" s="12">
        <v>3</v>
      </c>
      <c r="D62" s="8">
        <v>2.29</v>
      </c>
      <c r="E62" s="12">
        <v>1</v>
      </c>
      <c r="F62" s="8">
        <v>1.1399999999999999</v>
      </c>
      <c r="G62" s="12">
        <v>2</v>
      </c>
      <c r="H62" s="8">
        <v>6.45</v>
      </c>
      <c r="I62" s="12">
        <v>0</v>
      </c>
    </row>
    <row r="63" spans="2:9" ht="15" customHeight="1" x14ac:dyDescent="0.2">
      <c r="B63" t="s">
        <v>186</v>
      </c>
      <c r="C63" s="12">
        <v>3</v>
      </c>
      <c r="D63" s="8">
        <v>2.29</v>
      </c>
      <c r="E63" s="12">
        <v>3</v>
      </c>
      <c r="F63" s="8">
        <v>3.41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223</v>
      </c>
      <c r="C64" s="12">
        <v>3</v>
      </c>
      <c r="D64" s="8">
        <v>2.29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192</v>
      </c>
      <c r="C65" s="12">
        <v>3</v>
      </c>
      <c r="D65" s="8">
        <v>2.29</v>
      </c>
      <c r="E65" s="12">
        <v>3</v>
      </c>
      <c r="F65" s="8">
        <v>3.41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193</v>
      </c>
      <c r="C66" s="12">
        <v>3</v>
      </c>
      <c r="D66" s="8">
        <v>2.29</v>
      </c>
      <c r="E66" s="12">
        <v>3</v>
      </c>
      <c r="F66" s="8">
        <v>3.41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259</v>
      </c>
      <c r="C67" s="12">
        <v>3</v>
      </c>
      <c r="D67" s="8">
        <v>2.29</v>
      </c>
      <c r="E67" s="12">
        <v>0</v>
      </c>
      <c r="F67" s="8">
        <v>0</v>
      </c>
      <c r="G67" s="12">
        <v>3</v>
      </c>
      <c r="H67" s="8">
        <v>9.68</v>
      </c>
      <c r="I67" s="12">
        <v>0</v>
      </c>
    </row>
    <row r="68" spans="2:9" ht="15" customHeight="1" x14ac:dyDescent="0.2">
      <c r="B68" t="s">
        <v>175</v>
      </c>
      <c r="C68" s="12">
        <v>2</v>
      </c>
      <c r="D68" s="8">
        <v>1.53</v>
      </c>
      <c r="E68" s="12">
        <v>0</v>
      </c>
      <c r="F68" s="8">
        <v>0</v>
      </c>
      <c r="G68" s="12">
        <v>2</v>
      </c>
      <c r="H68" s="8">
        <v>6.45</v>
      </c>
      <c r="I68" s="12">
        <v>0</v>
      </c>
    </row>
    <row r="69" spans="2:9" ht="15" customHeight="1" x14ac:dyDescent="0.2">
      <c r="B69" t="s">
        <v>210</v>
      </c>
      <c r="C69" s="12">
        <v>2</v>
      </c>
      <c r="D69" s="8">
        <v>1.53</v>
      </c>
      <c r="E69" s="12">
        <v>2</v>
      </c>
      <c r="F69" s="8">
        <v>2.27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266</v>
      </c>
      <c r="C70" s="12">
        <v>2</v>
      </c>
      <c r="D70" s="8">
        <v>1.53</v>
      </c>
      <c r="E70" s="12">
        <v>1</v>
      </c>
      <c r="F70" s="8">
        <v>1.1399999999999999</v>
      </c>
      <c r="G70" s="12">
        <v>1</v>
      </c>
      <c r="H70" s="8">
        <v>3.23</v>
      </c>
      <c r="I70" s="12">
        <v>0</v>
      </c>
    </row>
    <row r="71" spans="2:9" ht="15" customHeight="1" x14ac:dyDescent="0.2">
      <c r="B71" t="s">
        <v>267</v>
      </c>
      <c r="C71" s="12">
        <v>2</v>
      </c>
      <c r="D71" s="8">
        <v>1.53</v>
      </c>
      <c r="E71" s="12">
        <v>1</v>
      </c>
      <c r="F71" s="8">
        <v>1.1399999999999999</v>
      </c>
      <c r="G71" s="12">
        <v>1</v>
      </c>
      <c r="H71" s="8">
        <v>3.23</v>
      </c>
      <c r="I71" s="12">
        <v>0</v>
      </c>
    </row>
    <row r="72" spans="2:9" ht="15" customHeight="1" x14ac:dyDescent="0.2">
      <c r="B72" t="s">
        <v>203</v>
      </c>
      <c r="C72" s="12">
        <v>2</v>
      </c>
      <c r="D72" s="8">
        <v>1.53</v>
      </c>
      <c r="E72" s="12">
        <v>1</v>
      </c>
      <c r="F72" s="8">
        <v>1.1399999999999999</v>
      </c>
      <c r="G72" s="12">
        <v>1</v>
      </c>
      <c r="H72" s="8">
        <v>3.23</v>
      </c>
      <c r="I72" s="12">
        <v>0</v>
      </c>
    </row>
    <row r="73" spans="2:9" ht="15" customHeight="1" x14ac:dyDescent="0.2">
      <c r="B73" t="s">
        <v>269</v>
      </c>
      <c r="C73" s="12">
        <v>2</v>
      </c>
      <c r="D73" s="8">
        <v>1.53</v>
      </c>
      <c r="E73" s="12">
        <v>2</v>
      </c>
      <c r="F73" s="8">
        <v>2.27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197</v>
      </c>
      <c r="C74" s="12">
        <v>2</v>
      </c>
      <c r="D74" s="8">
        <v>1.53</v>
      </c>
      <c r="E74" s="12">
        <v>2</v>
      </c>
      <c r="F74" s="8">
        <v>2.27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180</v>
      </c>
      <c r="C75" s="12">
        <v>2</v>
      </c>
      <c r="D75" s="8">
        <v>1.53</v>
      </c>
      <c r="E75" s="12">
        <v>0</v>
      </c>
      <c r="F75" s="8">
        <v>0</v>
      </c>
      <c r="G75" s="12">
        <v>2</v>
      </c>
      <c r="H75" s="8">
        <v>6.45</v>
      </c>
      <c r="I75" s="12">
        <v>0</v>
      </c>
    </row>
    <row r="76" spans="2:9" ht="15" customHeight="1" x14ac:dyDescent="0.2">
      <c r="B76" t="s">
        <v>215</v>
      </c>
      <c r="C76" s="12">
        <v>2</v>
      </c>
      <c r="D76" s="8">
        <v>1.53</v>
      </c>
      <c r="E76" s="12">
        <v>1</v>
      </c>
      <c r="F76" s="8">
        <v>1.1399999999999999</v>
      </c>
      <c r="G76" s="12">
        <v>1</v>
      </c>
      <c r="H76" s="8">
        <v>3.23</v>
      </c>
      <c r="I76" s="12">
        <v>0</v>
      </c>
    </row>
    <row r="77" spans="2:9" ht="15" customHeight="1" x14ac:dyDescent="0.2">
      <c r="B77" t="s">
        <v>188</v>
      </c>
      <c r="C77" s="12">
        <v>2</v>
      </c>
      <c r="D77" s="8">
        <v>1.53</v>
      </c>
      <c r="E77" s="12">
        <v>2</v>
      </c>
      <c r="F77" s="8">
        <v>2.27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190</v>
      </c>
      <c r="C78" s="12">
        <v>2</v>
      </c>
      <c r="D78" s="8">
        <v>1.53</v>
      </c>
      <c r="E78" s="12">
        <v>2</v>
      </c>
      <c r="F78" s="8">
        <v>2.27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270</v>
      </c>
      <c r="C79" s="12">
        <v>2</v>
      </c>
      <c r="D79" s="8">
        <v>1.53</v>
      </c>
      <c r="E79" s="12">
        <v>2</v>
      </c>
      <c r="F79" s="8">
        <v>2.27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264</v>
      </c>
      <c r="C80" s="12">
        <v>2</v>
      </c>
      <c r="D80" s="8">
        <v>1.53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271</v>
      </c>
      <c r="C81" s="12">
        <v>2</v>
      </c>
      <c r="D81" s="8">
        <v>1.53</v>
      </c>
      <c r="E81" s="12">
        <v>0</v>
      </c>
      <c r="F81" s="8">
        <v>0</v>
      </c>
      <c r="G81" s="12">
        <v>2</v>
      </c>
      <c r="H81" s="8">
        <v>6.45</v>
      </c>
      <c r="I81" s="12">
        <v>0</v>
      </c>
    </row>
    <row r="82" spans="2:9" ht="15" customHeight="1" x14ac:dyDescent="0.2">
      <c r="B82" t="s">
        <v>200</v>
      </c>
      <c r="C82" s="12">
        <v>2</v>
      </c>
      <c r="D82" s="8">
        <v>1.53</v>
      </c>
      <c r="E82" s="12">
        <v>2</v>
      </c>
      <c r="F82" s="8">
        <v>2.27</v>
      </c>
      <c r="G82" s="12">
        <v>0</v>
      </c>
      <c r="H82" s="8">
        <v>0</v>
      </c>
      <c r="I82" s="12">
        <v>0</v>
      </c>
    </row>
    <row r="84" spans="2:9" ht="15" customHeight="1" x14ac:dyDescent="0.2">
      <c r="B84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096C5-DBE4-489E-AE46-A277BC4D5BCA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396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45</v>
      </c>
      <c r="D6" s="8">
        <v>19.309999999999999</v>
      </c>
      <c r="E6" s="12">
        <v>30</v>
      </c>
      <c r="F6" s="8">
        <v>19.350000000000001</v>
      </c>
      <c r="G6" s="12">
        <v>15</v>
      </c>
      <c r="H6" s="8">
        <v>21.43</v>
      </c>
      <c r="I6" s="12">
        <v>0</v>
      </c>
    </row>
    <row r="7" spans="2:9" ht="15" customHeight="1" x14ac:dyDescent="0.2">
      <c r="B7" t="s">
        <v>80</v>
      </c>
      <c r="C7" s="12">
        <v>31</v>
      </c>
      <c r="D7" s="8">
        <v>13.3</v>
      </c>
      <c r="E7" s="12">
        <v>14</v>
      </c>
      <c r="F7" s="8">
        <v>9.0299999999999994</v>
      </c>
      <c r="G7" s="12">
        <v>17</v>
      </c>
      <c r="H7" s="8">
        <v>24.29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0.43</v>
      </c>
      <c r="E8" s="12">
        <v>0</v>
      </c>
      <c r="F8" s="8">
        <v>0</v>
      </c>
      <c r="G8" s="12">
        <v>1</v>
      </c>
      <c r="H8" s="8">
        <v>1.43</v>
      </c>
      <c r="I8" s="12">
        <v>0</v>
      </c>
    </row>
    <row r="9" spans="2:9" ht="15" customHeight="1" x14ac:dyDescent="0.2">
      <c r="B9" t="s">
        <v>82</v>
      </c>
      <c r="C9" s="12">
        <v>1</v>
      </c>
      <c r="D9" s="8">
        <v>0.43</v>
      </c>
      <c r="E9" s="12">
        <v>1</v>
      </c>
      <c r="F9" s="8">
        <v>0.65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4</v>
      </c>
      <c r="D10" s="8">
        <v>1.72</v>
      </c>
      <c r="E10" s="12">
        <v>1</v>
      </c>
      <c r="F10" s="8">
        <v>0.65</v>
      </c>
      <c r="G10" s="12">
        <v>2</v>
      </c>
      <c r="H10" s="8">
        <v>2.86</v>
      </c>
      <c r="I10" s="12">
        <v>1</v>
      </c>
    </row>
    <row r="11" spans="2:9" ht="15" customHeight="1" x14ac:dyDescent="0.2">
      <c r="B11" t="s">
        <v>84</v>
      </c>
      <c r="C11" s="12">
        <v>39</v>
      </c>
      <c r="D11" s="8">
        <v>16.739999999999998</v>
      </c>
      <c r="E11" s="12">
        <v>25</v>
      </c>
      <c r="F11" s="8">
        <v>16.13</v>
      </c>
      <c r="G11" s="12">
        <v>14</v>
      </c>
      <c r="H11" s="8">
        <v>20</v>
      </c>
      <c r="I11" s="12">
        <v>0</v>
      </c>
    </row>
    <row r="12" spans="2:9" ht="15" customHeight="1" x14ac:dyDescent="0.2">
      <c r="B12" t="s">
        <v>85</v>
      </c>
      <c r="C12" s="12">
        <v>1</v>
      </c>
      <c r="D12" s="8">
        <v>0.43</v>
      </c>
      <c r="E12" s="12">
        <v>0</v>
      </c>
      <c r="F12" s="8">
        <v>0</v>
      </c>
      <c r="G12" s="12">
        <v>1</v>
      </c>
      <c r="H12" s="8">
        <v>1.43</v>
      </c>
      <c r="I12" s="12">
        <v>0</v>
      </c>
    </row>
    <row r="13" spans="2:9" ht="15" customHeight="1" x14ac:dyDescent="0.2">
      <c r="B13" t="s">
        <v>86</v>
      </c>
      <c r="C13" s="12">
        <v>2</v>
      </c>
      <c r="D13" s="8">
        <v>0.86</v>
      </c>
      <c r="E13" s="12">
        <v>0</v>
      </c>
      <c r="F13" s="8">
        <v>0</v>
      </c>
      <c r="G13" s="12">
        <v>1</v>
      </c>
      <c r="H13" s="8">
        <v>1.43</v>
      </c>
      <c r="I13" s="12">
        <v>0</v>
      </c>
    </row>
    <row r="14" spans="2:9" ht="15" customHeight="1" x14ac:dyDescent="0.2">
      <c r="B14" t="s">
        <v>87</v>
      </c>
      <c r="C14" s="12">
        <v>8</v>
      </c>
      <c r="D14" s="8">
        <v>3.43</v>
      </c>
      <c r="E14" s="12">
        <v>4</v>
      </c>
      <c r="F14" s="8">
        <v>2.58</v>
      </c>
      <c r="G14" s="12">
        <v>4</v>
      </c>
      <c r="H14" s="8">
        <v>5.71</v>
      </c>
      <c r="I14" s="12">
        <v>0</v>
      </c>
    </row>
    <row r="15" spans="2:9" ht="15" customHeight="1" x14ac:dyDescent="0.2">
      <c r="B15" t="s">
        <v>88</v>
      </c>
      <c r="C15" s="12">
        <v>72</v>
      </c>
      <c r="D15" s="8">
        <v>30.9</v>
      </c>
      <c r="E15" s="12">
        <v>64</v>
      </c>
      <c r="F15" s="8">
        <v>41.29</v>
      </c>
      <c r="G15" s="12">
        <v>8</v>
      </c>
      <c r="H15" s="8">
        <v>11.43</v>
      </c>
      <c r="I15" s="12">
        <v>0</v>
      </c>
    </row>
    <row r="16" spans="2:9" ht="15" customHeight="1" x14ac:dyDescent="0.2">
      <c r="B16" t="s">
        <v>89</v>
      </c>
      <c r="C16" s="12">
        <v>14</v>
      </c>
      <c r="D16" s="8">
        <v>6.01</v>
      </c>
      <c r="E16" s="12">
        <v>11</v>
      </c>
      <c r="F16" s="8">
        <v>7.1</v>
      </c>
      <c r="G16" s="12">
        <v>3</v>
      </c>
      <c r="H16" s="8">
        <v>4.29</v>
      </c>
      <c r="I16" s="12">
        <v>0</v>
      </c>
    </row>
    <row r="17" spans="2:9" ht="15" customHeight="1" x14ac:dyDescent="0.2">
      <c r="B17" t="s">
        <v>90</v>
      </c>
      <c r="C17" s="12">
        <v>5</v>
      </c>
      <c r="D17" s="8">
        <v>2.15</v>
      </c>
      <c r="E17" s="12">
        <v>3</v>
      </c>
      <c r="F17" s="8">
        <v>1.94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7</v>
      </c>
      <c r="D18" s="8">
        <v>3</v>
      </c>
      <c r="E18" s="12">
        <v>1</v>
      </c>
      <c r="F18" s="8">
        <v>0.65</v>
      </c>
      <c r="G18" s="12">
        <v>2</v>
      </c>
      <c r="H18" s="8">
        <v>2.86</v>
      </c>
      <c r="I18" s="12">
        <v>0</v>
      </c>
    </row>
    <row r="19" spans="2:9" ht="15" customHeight="1" x14ac:dyDescent="0.2">
      <c r="B19" t="s">
        <v>92</v>
      </c>
      <c r="C19" s="12">
        <v>3</v>
      </c>
      <c r="D19" s="8">
        <v>1.29</v>
      </c>
      <c r="E19" s="12">
        <v>1</v>
      </c>
      <c r="F19" s="8">
        <v>0.65</v>
      </c>
      <c r="G19" s="12">
        <v>2</v>
      </c>
      <c r="H19" s="8">
        <v>2.86</v>
      </c>
      <c r="I19" s="12">
        <v>0</v>
      </c>
    </row>
    <row r="20" spans="2:9" ht="15" customHeight="1" x14ac:dyDescent="0.2">
      <c r="B20" s="9" t="s">
        <v>363</v>
      </c>
      <c r="C20" s="12">
        <f>SUM(LTBL_20350[総数／事業所数])</f>
        <v>233</v>
      </c>
      <c r="E20" s="12">
        <f>SUBTOTAL(109,LTBL_20350[個人／事業所数])</f>
        <v>155</v>
      </c>
      <c r="G20" s="12">
        <f>SUBTOTAL(109,LTBL_20350[法人／事業所数])</f>
        <v>70</v>
      </c>
      <c r="I20" s="12">
        <f>SUBTOTAL(109,LTBL_20350[法人以外の団体／事業所数])</f>
        <v>1</v>
      </c>
    </row>
    <row r="21" spans="2:9" ht="15" customHeight="1" x14ac:dyDescent="0.2">
      <c r="E21" s="11">
        <f>LTBL_20350[[#Totals],[個人／事業所数]]/LTBL_20350[[#Totals],[総数／事業所数]]</f>
        <v>0.66523605150214593</v>
      </c>
      <c r="G21" s="11">
        <f>LTBL_20350[[#Totals],[法人／事業所数]]/LTBL_20350[[#Totals],[総数／事業所数]]</f>
        <v>0.30042918454935624</v>
      </c>
      <c r="I21" s="11">
        <f>LTBL_20350[[#Totals],[法人以外の団体／事業所数]]/LTBL_20350[[#Totals],[総数／事業所数]]</f>
        <v>4.2918454935622317E-3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114</v>
      </c>
      <c r="C24" s="12">
        <v>44</v>
      </c>
      <c r="D24" s="8">
        <v>18.88</v>
      </c>
      <c r="E24" s="12">
        <v>40</v>
      </c>
      <c r="F24" s="8">
        <v>25.81</v>
      </c>
      <c r="G24" s="12">
        <v>4</v>
      </c>
      <c r="H24" s="8">
        <v>5.71</v>
      </c>
      <c r="I24" s="12">
        <v>0</v>
      </c>
    </row>
    <row r="25" spans="2:9" ht="15" customHeight="1" x14ac:dyDescent="0.2">
      <c r="B25" t="s">
        <v>101</v>
      </c>
      <c r="C25" s="12">
        <v>26</v>
      </c>
      <c r="D25" s="8">
        <v>11.16</v>
      </c>
      <c r="E25" s="12">
        <v>15</v>
      </c>
      <c r="F25" s="8">
        <v>9.68</v>
      </c>
      <c r="G25" s="12">
        <v>11</v>
      </c>
      <c r="H25" s="8">
        <v>15.71</v>
      </c>
      <c r="I25" s="12">
        <v>0</v>
      </c>
    </row>
    <row r="26" spans="2:9" ht="15" customHeight="1" x14ac:dyDescent="0.2">
      <c r="B26" t="s">
        <v>115</v>
      </c>
      <c r="C26" s="12">
        <v>25</v>
      </c>
      <c r="D26" s="8">
        <v>10.73</v>
      </c>
      <c r="E26" s="12">
        <v>24</v>
      </c>
      <c r="F26" s="8">
        <v>15.48</v>
      </c>
      <c r="G26" s="12">
        <v>1</v>
      </c>
      <c r="H26" s="8">
        <v>1.43</v>
      </c>
      <c r="I26" s="12">
        <v>0</v>
      </c>
    </row>
    <row r="27" spans="2:9" ht="15" customHeight="1" x14ac:dyDescent="0.2">
      <c r="B27" t="s">
        <v>102</v>
      </c>
      <c r="C27" s="12">
        <v>15</v>
      </c>
      <c r="D27" s="8">
        <v>6.44</v>
      </c>
      <c r="E27" s="12">
        <v>12</v>
      </c>
      <c r="F27" s="8">
        <v>7.74</v>
      </c>
      <c r="G27" s="12">
        <v>3</v>
      </c>
      <c r="H27" s="8">
        <v>4.29</v>
      </c>
      <c r="I27" s="12">
        <v>0</v>
      </c>
    </row>
    <row r="28" spans="2:9" ht="15" customHeight="1" x14ac:dyDescent="0.2">
      <c r="B28" t="s">
        <v>108</v>
      </c>
      <c r="C28" s="12">
        <v>13</v>
      </c>
      <c r="D28" s="8">
        <v>5.58</v>
      </c>
      <c r="E28" s="12">
        <v>6</v>
      </c>
      <c r="F28" s="8">
        <v>3.87</v>
      </c>
      <c r="G28" s="12">
        <v>7</v>
      </c>
      <c r="H28" s="8">
        <v>10</v>
      </c>
      <c r="I28" s="12">
        <v>0</v>
      </c>
    </row>
    <row r="29" spans="2:9" ht="15" customHeight="1" x14ac:dyDescent="0.2">
      <c r="B29" t="s">
        <v>110</v>
      </c>
      <c r="C29" s="12">
        <v>12</v>
      </c>
      <c r="D29" s="8">
        <v>5.15</v>
      </c>
      <c r="E29" s="12">
        <v>7</v>
      </c>
      <c r="F29" s="8">
        <v>4.5199999999999996</v>
      </c>
      <c r="G29" s="12">
        <v>5</v>
      </c>
      <c r="H29" s="8">
        <v>7.14</v>
      </c>
      <c r="I29" s="12">
        <v>0</v>
      </c>
    </row>
    <row r="30" spans="2:9" ht="15" customHeight="1" x14ac:dyDescent="0.2">
      <c r="B30" t="s">
        <v>116</v>
      </c>
      <c r="C30" s="12">
        <v>12</v>
      </c>
      <c r="D30" s="8">
        <v>5.15</v>
      </c>
      <c r="E30" s="12">
        <v>10</v>
      </c>
      <c r="F30" s="8">
        <v>6.45</v>
      </c>
      <c r="G30" s="12">
        <v>2</v>
      </c>
      <c r="H30" s="8">
        <v>2.86</v>
      </c>
      <c r="I30" s="12">
        <v>0</v>
      </c>
    </row>
    <row r="31" spans="2:9" ht="15" customHeight="1" x14ac:dyDescent="0.2">
      <c r="B31" t="s">
        <v>109</v>
      </c>
      <c r="C31" s="12">
        <v>8</v>
      </c>
      <c r="D31" s="8">
        <v>3.43</v>
      </c>
      <c r="E31" s="12">
        <v>7</v>
      </c>
      <c r="F31" s="8">
        <v>4.5199999999999996</v>
      </c>
      <c r="G31" s="12">
        <v>1</v>
      </c>
      <c r="H31" s="8">
        <v>1.43</v>
      </c>
      <c r="I31" s="12">
        <v>0</v>
      </c>
    </row>
    <row r="32" spans="2:9" ht="15" customHeight="1" x14ac:dyDescent="0.2">
      <c r="B32" t="s">
        <v>105</v>
      </c>
      <c r="C32" s="12">
        <v>7</v>
      </c>
      <c r="D32" s="8">
        <v>3</v>
      </c>
      <c r="E32" s="12">
        <v>2</v>
      </c>
      <c r="F32" s="8">
        <v>1.29</v>
      </c>
      <c r="G32" s="12">
        <v>5</v>
      </c>
      <c r="H32" s="8">
        <v>7.14</v>
      </c>
      <c r="I32" s="12">
        <v>0</v>
      </c>
    </row>
    <row r="33" spans="2:9" ht="15" customHeight="1" x14ac:dyDescent="0.2">
      <c r="B33" t="s">
        <v>117</v>
      </c>
      <c r="C33" s="12">
        <v>5</v>
      </c>
      <c r="D33" s="8">
        <v>2.15</v>
      </c>
      <c r="E33" s="12">
        <v>3</v>
      </c>
      <c r="F33" s="8">
        <v>1.94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103</v>
      </c>
      <c r="C34" s="12">
        <v>4</v>
      </c>
      <c r="D34" s="8">
        <v>1.72</v>
      </c>
      <c r="E34" s="12">
        <v>3</v>
      </c>
      <c r="F34" s="8">
        <v>1.94</v>
      </c>
      <c r="G34" s="12">
        <v>1</v>
      </c>
      <c r="H34" s="8">
        <v>1.43</v>
      </c>
      <c r="I34" s="12">
        <v>0</v>
      </c>
    </row>
    <row r="35" spans="2:9" ht="15" customHeight="1" x14ac:dyDescent="0.2">
      <c r="B35" t="s">
        <v>127</v>
      </c>
      <c r="C35" s="12">
        <v>4</v>
      </c>
      <c r="D35" s="8">
        <v>1.72</v>
      </c>
      <c r="E35" s="12">
        <v>2</v>
      </c>
      <c r="F35" s="8">
        <v>1.29</v>
      </c>
      <c r="G35" s="12">
        <v>2</v>
      </c>
      <c r="H35" s="8">
        <v>2.86</v>
      </c>
      <c r="I35" s="12">
        <v>0</v>
      </c>
    </row>
    <row r="36" spans="2:9" ht="15" customHeight="1" x14ac:dyDescent="0.2">
      <c r="B36" t="s">
        <v>143</v>
      </c>
      <c r="C36" s="12">
        <v>4</v>
      </c>
      <c r="D36" s="8">
        <v>1.72</v>
      </c>
      <c r="E36" s="12">
        <v>2</v>
      </c>
      <c r="F36" s="8">
        <v>1.29</v>
      </c>
      <c r="G36" s="12">
        <v>2</v>
      </c>
      <c r="H36" s="8">
        <v>2.86</v>
      </c>
      <c r="I36" s="12">
        <v>0</v>
      </c>
    </row>
    <row r="37" spans="2:9" ht="15" customHeight="1" x14ac:dyDescent="0.2">
      <c r="B37" t="s">
        <v>112</v>
      </c>
      <c r="C37" s="12">
        <v>4</v>
      </c>
      <c r="D37" s="8">
        <v>1.72</v>
      </c>
      <c r="E37" s="12">
        <v>3</v>
      </c>
      <c r="F37" s="8">
        <v>1.94</v>
      </c>
      <c r="G37" s="12">
        <v>1</v>
      </c>
      <c r="H37" s="8">
        <v>1.43</v>
      </c>
      <c r="I37" s="12">
        <v>0</v>
      </c>
    </row>
    <row r="38" spans="2:9" ht="15" customHeight="1" x14ac:dyDescent="0.2">
      <c r="B38" t="s">
        <v>119</v>
      </c>
      <c r="C38" s="12">
        <v>4</v>
      </c>
      <c r="D38" s="8">
        <v>1.72</v>
      </c>
      <c r="E38" s="12">
        <v>0</v>
      </c>
      <c r="F38" s="8">
        <v>0</v>
      </c>
      <c r="G38" s="12">
        <v>1</v>
      </c>
      <c r="H38" s="8">
        <v>1.43</v>
      </c>
      <c r="I38" s="12">
        <v>0</v>
      </c>
    </row>
    <row r="39" spans="2:9" ht="15" customHeight="1" x14ac:dyDescent="0.2">
      <c r="B39" t="s">
        <v>107</v>
      </c>
      <c r="C39" s="12">
        <v>3</v>
      </c>
      <c r="D39" s="8">
        <v>1.29</v>
      </c>
      <c r="E39" s="12">
        <v>3</v>
      </c>
      <c r="F39" s="8">
        <v>1.94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113</v>
      </c>
      <c r="C40" s="12">
        <v>3</v>
      </c>
      <c r="D40" s="8">
        <v>1.29</v>
      </c>
      <c r="E40" s="12">
        <v>1</v>
      </c>
      <c r="F40" s="8">
        <v>0.65</v>
      </c>
      <c r="G40" s="12">
        <v>2</v>
      </c>
      <c r="H40" s="8">
        <v>2.86</v>
      </c>
      <c r="I40" s="12">
        <v>0</v>
      </c>
    </row>
    <row r="41" spans="2:9" ht="15" customHeight="1" x14ac:dyDescent="0.2">
      <c r="B41" t="s">
        <v>129</v>
      </c>
      <c r="C41" s="12">
        <v>3</v>
      </c>
      <c r="D41" s="8">
        <v>1.29</v>
      </c>
      <c r="E41" s="12">
        <v>0</v>
      </c>
      <c r="F41" s="8">
        <v>0</v>
      </c>
      <c r="G41" s="12">
        <v>3</v>
      </c>
      <c r="H41" s="8">
        <v>4.29</v>
      </c>
      <c r="I41" s="12">
        <v>0</v>
      </c>
    </row>
    <row r="42" spans="2:9" ht="15" customHeight="1" x14ac:dyDescent="0.2">
      <c r="B42" t="s">
        <v>118</v>
      </c>
      <c r="C42" s="12">
        <v>3</v>
      </c>
      <c r="D42" s="8">
        <v>1.29</v>
      </c>
      <c r="E42" s="12">
        <v>1</v>
      </c>
      <c r="F42" s="8">
        <v>0.65</v>
      </c>
      <c r="G42" s="12">
        <v>1</v>
      </c>
      <c r="H42" s="8">
        <v>1.43</v>
      </c>
      <c r="I42" s="12">
        <v>0</v>
      </c>
    </row>
    <row r="43" spans="2:9" ht="15" customHeight="1" x14ac:dyDescent="0.2">
      <c r="B43" t="s">
        <v>157</v>
      </c>
      <c r="C43" s="12">
        <v>2</v>
      </c>
      <c r="D43" s="8">
        <v>0.86</v>
      </c>
      <c r="E43" s="12">
        <v>0</v>
      </c>
      <c r="F43" s="8">
        <v>0</v>
      </c>
      <c r="G43" s="12">
        <v>2</v>
      </c>
      <c r="H43" s="8">
        <v>2.86</v>
      </c>
      <c r="I43" s="12">
        <v>0</v>
      </c>
    </row>
    <row r="44" spans="2:9" ht="15" customHeight="1" x14ac:dyDescent="0.2">
      <c r="B44" t="s">
        <v>137</v>
      </c>
      <c r="C44" s="12">
        <v>2</v>
      </c>
      <c r="D44" s="8">
        <v>0.86</v>
      </c>
      <c r="E44" s="12">
        <v>0</v>
      </c>
      <c r="F44" s="8">
        <v>0</v>
      </c>
      <c r="G44" s="12">
        <v>2</v>
      </c>
      <c r="H44" s="8">
        <v>2.86</v>
      </c>
      <c r="I44" s="12">
        <v>0</v>
      </c>
    </row>
    <row r="45" spans="2:9" ht="15" customHeight="1" x14ac:dyDescent="0.2">
      <c r="B45" t="s">
        <v>130</v>
      </c>
      <c r="C45" s="12">
        <v>2</v>
      </c>
      <c r="D45" s="8">
        <v>0.86</v>
      </c>
      <c r="E45" s="12">
        <v>2</v>
      </c>
      <c r="F45" s="8">
        <v>1.29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104</v>
      </c>
      <c r="C46" s="12">
        <v>2</v>
      </c>
      <c r="D46" s="8">
        <v>0.86</v>
      </c>
      <c r="E46" s="12">
        <v>2</v>
      </c>
      <c r="F46" s="8">
        <v>1.29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145</v>
      </c>
      <c r="C47" s="12">
        <v>2</v>
      </c>
      <c r="D47" s="8">
        <v>0.86</v>
      </c>
      <c r="E47" s="12">
        <v>1</v>
      </c>
      <c r="F47" s="8">
        <v>0.65</v>
      </c>
      <c r="G47" s="12">
        <v>1</v>
      </c>
      <c r="H47" s="8">
        <v>1.43</v>
      </c>
      <c r="I47" s="12">
        <v>0</v>
      </c>
    </row>
    <row r="48" spans="2:9" ht="15" customHeight="1" x14ac:dyDescent="0.2">
      <c r="B48" t="s">
        <v>121</v>
      </c>
      <c r="C48" s="12">
        <v>2</v>
      </c>
      <c r="D48" s="8">
        <v>0.86</v>
      </c>
      <c r="E48" s="12">
        <v>1</v>
      </c>
      <c r="F48" s="8">
        <v>0.65</v>
      </c>
      <c r="G48" s="12">
        <v>1</v>
      </c>
      <c r="H48" s="8">
        <v>1.43</v>
      </c>
      <c r="I48" s="12">
        <v>0</v>
      </c>
    </row>
    <row r="49" spans="2:9" ht="15" customHeight="1" x14ac:dyDescent="0.2">
      <c r="B49" t="s">
        <v>120</v>
      </c>
      <c r="C49" s="12">
        <v>2</v>
      </c>
      <c r="D49" s="8">
        <v>0.86</v>
      </c>
      <c r="E49" s="12">
        <v>1</v>
      </c>
      <c r="F49" s="8">
        <v>0.65</v>
      </c>
      <c r="G49" s="12">
        <v>1</v>
      </c>
      <c r="H49" s="8">
        <v>1.43</v>
      </c>
      <c r="I49" s="12">
        <v>0</v>
      </c>
    </row>
    <row r="52" spans="2:9" ht="33" customHeight="1" x14ac:dyDescent="0.2">
      <c r="B52" t="s">
        <v>365</v>
      </c>
      <c r="C52" s="10" t="s">
        <v>94</v>
      </c>
      <c r="D52" s="10" t="s">
        <v>95</v>
      </c>
      <c r="E52" s="10" t="s">
        <v>96</v>
      </c>
      <c r="F52" s="10" t="s">
        <v>97</v>
      </c>
      <c r="G52" s="10" t="s">
        <v>98</v>
      </c>
      <c r="H52" s="10" t="s">
        <v>99</v>
      </c>
      <c r="I52" s="10" t="s">
        <v>100</v>
      </c>
    </row>
    <row r="53" spans="2:9" ht="15" customHeight="1" x14ac:dyDescent="0.2">
      <c r="B53" t="s">
        <v>185</v>
      </c>
      <c r="C53" s="12">
        <v>38</v>
      </c>
      <c r="D53" s="8">
        <v>16.309999999999999</v>
      </c>
      <c r="E53" s="12">
        <v>35</v>
      </c>
      <c r="F53" s="8">
        <v>22.58</v>
      </c>
      <c r="G53" s="12">
        <v>3</v>
      </c>
      <c r="H53" s="8">
        <v>4.29</v>
      </c>
      <c r="I53" s="12">
        <v>0</v>
      </c>
    </row>
    <row r="54" spans="2:9" ht="15" customHeight="1" x14ac:dyDescent="0.2">
      <c r="B54" t="s">
        <v>174</v>
      </c>
      <c r="C54" s="12">
        <v>12</v>
      </c>
      <c r="D54" s="8">
        <v>5.15</v>
      </c>
      <c r="E54" s="12">
        <v>8</v>
      </c>
      <c r="F54" s="8">
        <v>5.16</v>
      </c>
      <c r="G54" s="12">
        <v>4</v>
      </c>
      <c r="H54" s="8">
        <v>5.71</v>
      </c>
      <c r="I54" s="12">
        <v>0</v>
      </c>
    </row>
    <row r="55" spans="2:9" ht="15" customHeight="1" x14ac:dyDescent="0.2">
      <c r="B55" t="s">
        <v>186</v>
      </c>
      <c r="C55" s="12">
        <v>12</v>
      </c>
      <c r="D55" s="8">
        <v>5.15</v>
      </c>
      <c r="E55" s="12">
        <v>11</v>
      </c>
      <c r="F55" s="8">
        <v>7.1</v>
      </c>
      <c r="G55" s="12">
        <v>1</v>
      </c>
      <c r="H55" s="8">
        <v>1.43</v>
      </c>
      <c r="I55" s="12">
        <v>0</v>
      </c>
    </row>
    <row r="56" spans="2:9" ht="15" customHeight="1" x14ac:dyDescent="0.2">
      <c r="B56" t="s">
        <v>176</v>
      </c>
      <c r="C56" s="12">
        <v>8</v>
      </c>
      <c r="D56" s="8">
        <v>3.43</v>
      </c>
      <c r="E56" s="12">
        <v>5</v>
      </c>
      <c r="F56" s="8">
        <v>3.23</v>
      </c>
      <c r="G56" s="12">
        <v>3</v>
      </c>
      <c r="H56" s="8">
        <v>4.29</v>
      </c>
      <c r="I56" s="12">
        <v>0</v>
      </c>
    </row>
    <row r="57" spans="2:9" ht="15" customHeight="1" x14ac:dyDescent="0.2">
      <c r="B57" t="s">
        <v>187</v>
      </c>
      <c r="C57" s="12">
        <v>7</v>
      </c>
      <c r="D57" s="8">
        <v>3</v>
      </c>
      <c r="E57" s="12">
        <v>7</v>
      </c>
      <c r="F57" s="8">
        <v>4.5199999999999996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247</v>
      </c>
      <c r="C58" s="12">
        <v>6</v>
      </c>
      <c r="D58" s="8">
        <v>2.58</v>
      </c>
      <c r="E58" s="12">
        <v>5</v>
      </c>
      <c r="F58" s="8">
        <v>3.23</v>
      </c>
      <c r="G58" s="12">
        <v>1</v>
      </c>
      <c r="H58" s="8">
        <v>1.43</v>
      </c>
      <c r="I58" s="12">
        <v>0</v>
      </c>
    </row>
    <row r="59" spans="2:9" ht="15" customHeight="1" x14ac:dyDescent="0.2">
      <c r="B59" t="s">
        <v>191</v>
      </c>
      <c r="C59" s="12">
        <v>6</v>
      </c>
      <c r="D59" s="8">
        <v>2.58</v>
      </c>
      <c r="E59" s="12">
        <v>6</v>
      </c>
      <c r="F59" s="8">
        <v>3.87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180</v>
      </c>
      <c r="C60" s="12">
        <v>5</v>
      </c>
      <c r="D60" s="8">
        <v>2.15</v>
      </c>
      <c r="E60" s="12">
        <v>4</v>
      </c>
      <c r="F60" s="8">
        <v>2.58</v>
      </c>
      <c r="G60" s="12">
        <v>1</v>
      </c>
      <c r="H60" s="8">
        <v>1.43</v>
      </c>
      <c r="I60" s="12">
        <v>0</v>
      </c>
    </row>
    <row r="61" spans="2:9" ht="15" customHeight="1" x14ac:dyDescent="0.2">
      <c r="B61" t="s">
        <v>261</v>
      </c>
      <c r="C61" s="12">
        <v>4</v>
      </c>
      <c r="D61" s="8">
        <v>1.72</v>
      </c>
      <c r="E61" s="12">
        <v>4</v>
      </c>
      <c r="F61" s="8">
        <v>2.58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272</v>
      </c>
      <c r="C62" s="12">
        <v>4</v>
      </c>
      <c r="D62" s="8">
        <v>1.72</v>
      </c>
      <c r="E62" s="12">
        <v>2</v>
      </c>
      <c r="F62" s="8">
        <v>1.29</v>
      </c>
      <c r="G62" s="12">
        <v>2</v>
      </c>
      <c r="H62" s="8">
        <v>2.86</v>
      </c>
      <c r="I62" s="12">
        <v>0</v>
      </c>
    </row>
    <row r="63" spans="2:9" ht="15" customHeight="1" x14ac:dyDescent="0.2">
      <c r="B63" t="s">
        <v>214</v>
      </c>
      <c r="C63" s="12">
        <v>4</v>
      </c>
      <c r="D63" s="8">
        <v>1.72</v>
      </c>
      <c r="E63" s="12">
        <v>2</v>
      </c>
      <c r="F63" s="8">
        <v>1.29</v>
      </c>
      <c r="G63" s="12">
        <v>2</v>
      </c>
      <c r="H63" s="8">
        <v>2.86</v>
      </c>
      <c r="I63" s="12">
        <v>0</v>
      </c>
    </row>
    <row r="64" spans="2:9" ht="15" customHeight="1" x14ac:dyDescent="0.2">
      <c r="B64" t="s">
        <v>216</v>
      </c>
      <c r="C64" s="12">
        <v>4</v>
      </c>
      <c r="D64" s="8">
        <v>1.72</v>
      </c>
      <c r="E64" s="12">
        <v>0</v>
      </c>
      <c r="F64" s="8">
        <v>0</v>
      </c>
      <c r="G64" s="12">
        <v>4</v>
      </c>
      <c r="H64" s="8">
        <v>5.71</v>
      </c>
      <c r="I64" s="12">
        <v>0</v>
      </c>
    </row>
    <row r="65" spans="2:9" ht="15" customHeight="1" x14ac:dyDescent="0.2">
      <c r="B65" t="s">
        <v>175</v>
      </c>
      <c r="C65" s="12">
        <v>3</v>
      </c>
      <c r="D65" s="8">
        <v>1.29</v>
      </c>
      <c r="E65" s="12">
        <v>1</v>
      </c>
      <c r="F65" s="8">
        <v>0.65</v>
      </c>
      <c r="G65" s="12">
        <v>2</v>
      </c>
      <c r="H65" s="8">
        <v>2.86</v>
      </c>
      <c r="I65" s="12">
        <v>0</v>
      </c>
    </row>
    <row r="66" spans="2:9" ht="15" customHeight="1" x14ac:dyDescent="0.2">
      <c r="B66" t="s">
        <v>208</v>
      </c>
      <c r="C66" s="12">
        <v>3</v>
      </c>
      <c r="D66" s="8">
        <v>1.29</v>
      </c>
      <c r="E66" s="12">
        <v>1</v>
      </c>
      <c r="F66" s="8">
        <v>0.65</v>
      </c>
      <c r="G66" s="12">
        <v>2</v>
      </c>
      <c r="H66" s="8">
        <v>2.86</v>
      </c>
      <c r="I66" s="12">
        <v>0</v>
      </c>
    </row>
    <row r="67" spans="2:9" ht="15" customHeight="1" x14ac:dyDescent="0.2">
      <c r="B67" t="s">
        <v>218</v>
      </c>
      <c r="C67" s="12">
        <v>3</v>
      </c>
      <c r="D67" s="8">
        <v>1.29</v>
      </c>
      <c r="E67" s="12">
        <v>2</v>
      </c>
      <c r="F67" s="8">
        <v>1.29</v>
      </c>
      <c r="G67" s="12">
        <v>1</v>
      </c>
      <c r="H67" s="8">
        <v>1.43</v>
      </c>
      <c r="I67" s="12">
        <v>0</v>
      </c>
    </row>
    <row r="68" spans="2:9" ht="15" customHeight="1" x14ac:dyDescent="0.2">
      <c r="B68" t="s">
        <v>273</v>
      </c>
      <c r="C68" s="12">
        <v>3</v>
      </c>
      <c r="D68" s="8">
        <v>1.29</v>
      </c>
      <c r="E68" s="12">
        <v>1</v>
      </c>
      <c r="F68" s="8">
        <v>0.65</v>
      </c>
      <c r="G68" s="12">
        <v>2</v>
      </c>
      <c r="H68" s="8">
        <v>2.86</v>
      </c>
      <c r="I68" s="12">
        <v>0</v>
      </c>
    </row>
    <row r="69" spans="2:9" ht="15" customHeight="1" x14ac:dyDescent="0.2">
      <c r="B69" t="s">
        <v>227</v>
      </c>
      <c r="C69" s="12">
        <v>3</v>
      </c>
      <c r="D69" s="8">
        <v>1.29</v>
      </c>
      <c r="E69" s="12">
        <v>2</v>
      </c>
      <c r="F69" s="8">
        <v>1.29</v>
      </c>
      <c r="G69" s="12">
        <v>1</v>
      </c>
      <c r="H69" s="8">
        <v>1.43</v>
      </c>
      <c r="I69" s="12">
        <v>0</v>
      </c>
    </row>
    <row r="70" spans="2:9" ht="15" customHeight="1" x14ac:dyDescent="0.2">
      <c r="B70" t="s">
        <v>179</v>
      </c>
      <c r="C70" s="12">
        <v>3</v>
      </c>
      <c r="D70" s="8">
        <v>1.29</v>
      </c>
      <c r="E70" s="12">
        <v>1</v>
      </c>
      <c r="F70" s="8">
        <v>0.65</v>
      </c>
      <c r="G70" s="12">
        <v>2</v>
      </c>
      <c r="H70" s="8">
        <v>2.86</v>
      </c>
      <c r="I70" s="12">
        <v>0</v>
      </c>
    </row>
    <row r="71" spans="2:9" ht="15" customHeight="1" x14ac:dyDescent="0.2">
      <c r="B71" t="s">
        <v>205</v>
      </c>
      <c r="C71" s="12">
        <v>3</v>
      </c>
      <c r="D71" s="8">
        <v>1.29</v>
      </c>
      <c r="E71" s="12">
        <v>3</v>
      </c>
      <c r="F71" s="8">
        <v>1.94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184</v>
      </c>
      <c r="C72" s="12">
        <v>3</v>
      </c>
      <c r="D72" s="8">
        <v>1.29</v>
      </c>
      <c r="E72" s="12">
        <v>1</v>
      </c>
      <c r="F72" s="8">
        <v>0.65</v>
      </c>
      <c r="G72" s="12">
        <v>2</v>
      </c>
      <c r="H72" s="8">
        <v>2.86</v>
      </c>
      <c r="I72" s="12">
        <v>0</v>
      </c>
    </row>
    <row r="73" spans="2:9" ht="15" customHeight="1" x14ac:dyDescent="0.2">
      <c r="B73" t="s">
        <v>189</v>
      </c>
      <c r="C73" s="12">
        <v>3</v>
      </c>
      <c r="D73" s="8">
        <v>1.29</v>
      </c>
      <c r="E73" s="12">
        <v>3</v>
      </c>
      <c r="F73" s="8">
        <v>1.94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207</v>
      </c>
      <c r="C74" s="12">
        <v>3</v>
      </c>
      <c r="D74" s="8">
        <v>1.29</v>
      </c>
      <c r="E74" s="12">
        <v>0</v>
      </c>
      <c r="F74" s="8">
        <v>0</v>
      </c>
      <c r="G74" s="12">
        <v>3</v>
      </c>
      <c r="H74" s="8">
        <v>4.29</v>
      </c>
      <c r="I74" s="12">
        <v>0</v>
      </c>
    </row>
    <row r="75" spans="2:9" ht="15" customHeight="1" x14ac:dyDescent="0.2">
      <c r="B75" t="s">
        <v>190</v>
      </c>
      <c r="C75" s="12">
        <v>3</v>
      </c>
      <c r="D75" s="8">
        <v>1.29</v>
      </c>
      <c r="E75" s="12">
        <v>3</v>
      </c>
      <c r="F75" s="8">
        <v>1.94</v>
      </c>
      <c r="G75" s="12">
        <v>0</v>
      </c>
      <c r="H75" s="8">
        <v>0</v>
      </c>
      <c r="I75" s="12">
        <v>0</v>
      </c>
    </row>
    <row r="77" spans="2:9" ht="15" customHeight="1" x14ac:dyDescent="0.2">
      <c r="B77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2AAB6-A401-4586-A69B-BDD70A3C3259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397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75</v>
      </c>
      <c r="D6" s="8">
        <v>12.04</v>
      </c>
      <c r="E6" s="12">
        <v>28</v>
      </c>
      <c r="F6" s="8">
        <v>8.2799999999999994</v>
      </c>
      <c r="G6" s="12">
        <v>47</v>
      </c>
      <c r="H6" s="8">
        <v>17.34</v>
      </c>
      <c r="I6" s="12">
        <v>0</v>
      </c>
    </row>
    <row r="7" spans="2:9" ht="15" customHeight="1" x14ac:dyDescent="0.2">
      <c r="B7" t="s">
        <v>80</v>
      </c>
      <c r="C7" s="12">
        <v>113</v>
      </c>
      <c r="D7" s="8">
        <v>18.14</v>
      </c>
      <c r="E7" s="12">
        <v>44</v>
      </c>
      <c r="F7" s="8">
        <v>13.02</v>
      </c>
      <c r="G7" s="12">
        <v>69</v>
      </c>
      <c r="H7" s="8">
        <v>25.46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0.16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4</v>
      </c>
      <c r="D9" s="8">
        <v>0.64</v>
      </c>
      <c r="E9" s="12">
        <v>0</v>
      </c>
      <c r="F9" s="8">
        <v>0</v>
      </c>
      <c r="G9" s="12">
        <v>4</v>
      </c>
      <c r="H9" s="8">
        <v>1.48</v>
      </c>
      <c r="I9" s="12">
        <v>0</v>
      </c>
    </row>
    <row r="10" spans="2:9" ht="15" customHeight="1" x14ac:dyDescent="0.2">
      <c r="B10" t="s">
        <v>83</v>
      </c>
      <c r="C10" s="12">
        <v>1</v>
      </c>
      <c r="D10" s="8">
        <v>0.16</v>
      </c>
      <c r="E10" s="12">
        <v>0</v>
      </c>
      <c r="F10" s="8">
        <v>0</v>
      </c>
      <c r="G10" s="12">
        <v>0</v>
      </c>
      <c r="H10" s="8">
        <v>0</v>
      </c>
      <c r="I10" s="12">
        <v>1</v>
      </c>
    </row>
    <row r="11" spans="2:9" ht="15" customHeight="1" x14ac:dyDescent="0.2">
      <c r="B11" t="s">
        <v>84</v>
      </c>
      <c r="C11" s="12">
        <v>125</v>
      </c>
      <c r="D11" s="8">
        <v>20.059999999999999</v>
      </c>
      <c r="E11" s="12">
        <v>68</v>
      </c>
      <c r="F11" s="8">
        <v>20.12</v>
      </c>
      <c r="G11" s="12">
        <v>57</v>
      </c>
      <c r="H11" s="8">
        <v>21.03</v>
      </c>
      <c r="I11" s="12">
        <v>0</v>
      </c>
    </row>
    <row r="12" spans="2:9" ht="15" customHeight="1" x14ac:dyDescent="0.2">
      <c r="B12" t="s">
        <v>85</v>
      </c>
      <c r="C12" s="12">
        <v>6</v>
      </c>
      <c r="D12" s="8">
        <v>0.96</v>
      </c>
      <c r="E12" s="12">
        <v>1</v>
      </c>
      <c r="F12" s="8">
        <v>0.3</v>
      </c>
      <c r="G12" s="12">
        <v>5</v>
      </c>
      <c r="H12" s="8">
        <v>1.85</v>
      </c>
      <c r="I12" s="12">
        <v>0</v>
      </c>
    </row>
    <row r="13" spans="2:9" ht="15" customHeight="1" x14ac:dyDescent="0.2">
      <c r="B13" t="s">
        <v>86</v>
      </c>
      <c r="C13" s="12">
        <v>40</v>
      </c>
      <c r="D13" s="8">
        <v>6.42</v>
      </c>
      <c r="E13" s="12">
        <v>15</v>
      </c>
      <c r="F13" s="8">
        <v>4.4400000000000004</v>
      </c>
      <c r="G13" s="12">
        <v>25</v>
      </c>
      <c r="H13" s="8">
        <v>9.23</v>
      </c>
      <c r="I13" s="12">
        <v>0</v>
      </c>
    </row>
    <row r="14" spans="2:9" ht="15" customHeight="1" x14ac:dyDescent="0.2">
      <c r="B14" t="s">
        <v>87</v>
      </c>
      <c r="C14" s="12">
        <v>29</v>
      </c>
      <c r="D14" s="8">
        <v>4.6500000000000004</v>
      </c>
      <c r="E14" s="12">
        <v>21</v>
      </c>
      <c r="F14" s="8">
        <v>6.21</v>
      </c>
      <c r="G14" s="12">
        <v>8</v>
      </c>
      <c r="H14" s="8">
        <v>2.95</v>
      </c>
      <c r="I14" s="12">
        <v>0</v>
      </c>
    </row>
    <row r="15" spans="2:9" ht="15" customHeight="1" x14ac:dyDescent="0.2">
      <c r="B15" t="s">
        <v>88</v>
      </c>
      <c r="C15" s="12">
        <v>92</v>
      </c>
      <c r="D15" s="8">
        <v>14.77</v>
      </c>
      <c r="E15" s="12">
        <v>73</v>
      </c>
      <c r="F15" s="8">
        <v>21.6</v>
      </c>
      <c r="G15" s="12">
        <v>19</v>
      </c>
      <c r="H15" s="8">
        <v>7.01</v>
      </c>
      <c r="I15" s="12">
        <v>0</v>
      </c>
    </row>
    <row r="16" spans="2:9" ht="15" customHeight="1" x14ac:dyDescent="0.2">
      <c r="B16" t="s">
        <v>89</v>
      </c>
      <c r="C16" s="12">
        <v>79</v>
      </c>
      <c r="D16" s="8">
        <v>12.68</v>
      </c>
      <c r="E16" s="12">
        <v>58</v>
      </c>
      <c r="F16" s="8">
        <v>17.16</v>
      </c>
      <c r="G16" s="12">
        <v>16</v>
      </c>
      <c r="H16" s="8">
        <v>5.9</v>
      </c>
      <c r="I16" s="12">
        <v>0</v>
      </c>
    </row>
    <row r="17" spans="2:9" ht="15" customHeight="1" x14ac:dyDescent="0.2">
      <c r="B17" t="s">
        <v>90</v>
      </c>
      <c r="C17" s="12">
        <v>21</v>
      </c>
      <c r="D17" s="8">
        <v>3.37</v>
      </c>
      <c r="E17" s="12">
        <v>11</v>
      </c>
      <c r="F17" s="8">
        <v>3.25</v>
      </c>
      <c r="G17" s="12">
        <v>7</v>
      </c>
      <c r="H17" s="8">
        <v>2.58</v>
      </c>
      <c r="I17" s="12">
        <v>0</v>
      </c>
    </row>
    <row r="18" spans="2:9" ht="15" customHeight="1" x14ac:dyDescent="0.2">
      <c r="B18" t="s">
        <v>91</v>
      </c>
      <c r="C18" s="12">
        <v>16</v>
      </c>
      <c r="D18" s="8">
        <v>2.57</v>
      </c>
      <c r="E18" s="12">
        <v>11</v>
      </c>
      <c r="F18" s="8">
        <v>3.25</v>
      </c>
      <c r="G18" s="12">
        <v>4</v>
      </c>
      <c r="H18" s="8">
        <v>1.48</v>
      </c>
      <c r="I18" s="12">
        <v>0</v>
      </c>
    </row>
    <row r="19" spans="2:9" ht="15" customHeight="1" x14ac:dyDescent="0.2">
      <c r="B19" t="s">
        <v>92</v>
      </c>
      <c r="C19" s="12">
        <v>21</v>
      </c>
      <c r="D19" s="8">
        <v>3.37</v>
      </c>
      <c r="E19" s="12">
        <v>8</v>
      </c>
      <c r="F19" s="8">
        <v>2.37</v>
      </c>
      <c r="G19" s="12">
        <v>10</v>
      </c>
      <c r="H19" s="8">
        <v>3.69</v>
      </c>
      <c r="I19" s="12">
        <v>0</v>
      </c>
    </row>
    <row r="20" spans="2:9" ht="15" customHeight="1" x14ac:dyDescent="0.2">
      <c r="B20" s="9" t="s">
        <v>363</v>
      </c>
      <c r="C20" s="12">
        <f>SUM(LTBL_20361[総数／事業所数])</f>
        <v>623</v>
      </c>
      <c r="E20" s="12">
        <f>SUBTOTAL(109,LTBL_20361[個人／事業所数])</f>
        <v>338</v>
      </c>
      <c r="G20" s="12">
        <f>SUBTOTAL(109,LTBL_20361[法人／事業所数])</f>
        <v>271</v>
      </c>
      <c r="I20" s="12">
        <f>SUBTOTAL(109,LTBL_20361[法人以外の団体／事業所数])</f>
        <v>1</v>
      </c>
    </row>
    <row r="21" spans="2:9" ht="15" customHeight="1" x14ac:dyDescent="0.2">
      <c r="E21" s="11">
        <f>LTBL_20361[[#Totals],[個人／事業所数]]/LTBL_20361[[#Totals],[総数／事業所数]]</f>
        <v>0.5425361155698234</v>
      </c>
      <c r="G21" s="11">
        <f>LTBL_20361[[#Totals],[法人／事業所数]]/LTBL_20361[[#Totals],[総数／事業所数]]</f>
        <v>0.434991974317817</v>
      </c>
      <c r="I21" s="11">
        <f>LTBL_20361[[#Totals],[法人以外の団体／事業所数]]/LTBL_20361[[#Totals],[総数／事業所数]]</f>
        <v>1.6051364365971107E-3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75</v>
      </c>
      <c r="D24" s="8">
        <v>12.04</v>
      </c>
      <c r="E24" s="12">
        <v>65</v>
      </c>
      <c r="F24" s="8">
        <v>19.23</v>
      </c>
      <c r="G24" s="12">
        <v>10</v>
      </c>
      <c r="H24" s="8">
        <v>3.69</v>
      </c>
      <c r="I24" s="12">
        <v>0</v>
      </c>
    </row>
    <row r="25" spans="2:9" ht="15" customHeight="1" x14ac:dyDescent="0.2">
      <c r="B25" t="s">
        <v>116</v>
      </c>
      <c r="C25" s="12">
        <v>71</v>
      </c>
      <c r="D25" s="8">
        <v>11.4</v>
      </c>
      <c r="E25" s="12">
        <v>57</v>
      </c>
      <c r="F25" s="8">
        <v>16.86</v>
      </c>
      <c r="G25" s="12">
        <v>10</v>
      </c>
      <c r="H25" s="8">
        <v>3.69</v>
      </c>
      <c r="I25" s="12">
        <v>0</v>
      </c>
    </row>
    <row r="26" spans="2:9" ht="15" customHeight="1" x14ac:dyDescent="0.2">
      <c r="B26" t="s">
        <v>101</v>
      </c>
      <c r="C26" s="12">
        <v>38</v>
      </c>
      <c r="D26" s="8">
        <v>6.1</v>
      </c>
      <c r="E26" s="12">
        <v>11</v>
      </c>
      <c r="F26" s="8">
        <v>3.25</v>
      </c>
      <c r="G26" s="12">
        <v>27</v>
      </c>
      <c r="H26" s="8">
        <v>9.9600000000000009</v>
      </c>
      <c r="I26" s="12">
        <v>0</v>
      </c>
    </row>
    <row r="27" spans="2:9" ht="15" customHeight="1" x14ac:dyDescent="0.2">
      <c r="B27" t="s">
        <v>108</v>
      </c>
      <c r="C27" s="12">
        <v>36</v>
      </c>
      <c r="D27" s="8">
        <v>5.78</v>
      </c>
      <c r="E27" s="12">
        <v>26</v>
      </c>
      <c r="F27" s="8">
        <v>7.69</v>
      </c>
      <c r="G27" s="12">
        <v>10</v>
      </c>
      <c r="H27" s="8">
        <v>3.69</v>
      </c>
      <c r="I27" s="12">
        <v>0</v>
      </c>
    </row>
    <row r="28" spans="2:9" ht="15" customHeight="1" x14ac:dyDescent="0.2">
      <c r="B28" t="s">
        <v>111</v>
      </c>
      <c r="C28" s="12">
        <v>36</v>
      </c>
      <c r="D28" s="8">
        <v>5.78</v>
      </c>
      <c r="E28" s="12">
        <v>15</v>
      </c>
      <c r="F28" s="8">
        <v>4.4400000000000004</v>
      </c>
      <c r="G28" s="12">
        <v>21</v>
      </c>
      <c r="H28" s="8">
        <v>7.75</v>
      </c>
      <c r="I28" s="12">
        <v>0</v>
      </c>
    </row>
    <row r="29" spans="2:9" ht="15" customHeight="1" x14ac:dyDescent="0.2">
      <c r="B29" t="s">
        <v>110</v>
      </c>
      <c r="C29" s="12">
        <v>31</v>
      </c>
      <c r="D29" s="8">
        <v>4.9800000000000004</v>
      </c>
      <c r="E29" s="12">
        <v>23</v>
      </c>
      <c r="F29" s="8">
        <v>6.8</v>
      </c>
      <c r="G29" s="12">
        <v>8</v>
      </c>
      <c r="H29" s="8">
        <v>2.95</v>
      </c>
      <c r="I29" s="12">
        <v>0</v>
      </c>
    </row>
    <row r="30" spans="2:9" ht="15" customHeight="1" x14ac:dyDescent="0.2">
      <c r="B30" t="s">
        <v>104</v>
      </c>
      <c r="C30" s="12">
        <v>23</v>
      </c>
      <c r="D30" s="8">
        <v>3.69</v>
      </c>
      <c r="E30" s="12">
        <v>9</v>
      </c>
      <c r="F30" s="8">
        <v>2.66</v>
      </c>
      <c r="G30" s="12">
        <v>14</v>
      </c>
      <c r="H30" s="8">
        <v>5.17</v>
      </c>
      <c r="I30" s="12">
        <v>0</v>
      </c>
    </row>
    <row r="31" spans="2:9" ht="15" customHeight="1" x14ac:dyDescent="0.2">
      <c r="B31" t="s">
        <v>102</v>
      </c>
      <c r="C31" s="12">
        <v>21</v>
      </c>
      <c r="D31" s="8">
        <v>3.37</v>
      </c>
      <c r="E31" s="12">
        <v>11</v>
      </c>
      <c r="F31" s="8">
        <v>3.25</v>
      </c>
      <c r="G31" s="12">
        <v>10</v>
      </c>
      <c r="H31" s="8">
        <v>3.69</v>
      </c>
      <c r="I31" s="12">
        <v>0</v>
      </c>
    </row>
    <row r="32" spans="2:9" ht="15" customHeight="1" x14ac:dyDescent="0.2">
      <c r="B32" t="s">
        <v>117</v>
      </c>
      <c r="C32" s="12">
        <v>21</v>
      </c>
      <c r="D32" s="8">
        <v>3.37</v>
      </c>
      <c r="E32" s="12">
        <v>11</v>
      </c>
      <c r="F32" s="8">
        <v>3.25</v>
      </c>
      <c r="G32" s="12">
        <v>7</v>
      </c>
      <c r="H32" s="8">
        <v>2.58</v>
      </c>
      <c r="I32" s="12">
        <v>0</v>
      </c>
    </row>
    <row r="33" spans="2:9" ht="15" customHeight="1" x14ac:dyDescent="0.2">
      <c r="B33" t="s">
        <v>109</v>
      </c>
      <c r="C33" s="12">
        <v>18</v>
      </c>
      <c r="D33" s="8">
        <v>2.89</v>
      </c>
      <c r="E33" s="12">
        <v>9</v>
      </c>
      <c r="F33" s="8">
        <v>2.66</v>
      </c>
      <c r="G33" s="12">
        <v>9</v>
      </c>
      <c r="H33" s="8">
        <v>3.32</v>
      </c>
      <c r="I33" s="12">
        <v>0</v>
      </c>
    </row>
    <row r="34" spans="2:9" ht="15" customHeight="1" x14ac:dyDescent="0.2">
      <c r="B34" t="s">
        <v>103</v>
      </c>
      <c r="C34" s="12">
        <v>16</v>
      </c>
      <c r="D34" s="8">
        <v>2.57</v>
      </c>
      <c r="E34" s="12">
        <v>6</v>
      </c>
      <c r="F34" s="8">
        <v>1.78</v>
      </c>
      <c r="G34" s="12">
        <v>10</v>
      </c>
      <c r="H34" s="8">
        <v>3.69</v>
      </c>
      <c r="I34" s="12">
        <v>0</v>
      </c>
    </row>
    <row r="35" spans="2:9" ht="15" customHeight="1" x14ac:dyDescent="0.2">
      <c r="B35" t="s">
        <v>105</v>
      </c>
      <c r="C35" s="12">
        <v>16</v>
      </c>
      <c r="D35" s="8">
        <v>2.57</v>
      </c>
      <c r="E35" s="12">
        <v>4</v>
      </c>
      <c r="F35" s="8">
        <v>1.18</v>
      </c>
      <c r="G35" s="12">
        <v>12</v>
      </c>
      <c r="H35" s="8">
        <v>4.43</v>
      </c>
      <c r="I35" s="12">
        <v>0</v>
      </c>
    </row>
    <row r="36" spans="2:9" ht="15" customHeight="1" x14ac:dyDescent="0.2">
      <c r="B36" t="s">
        <v>112</v>
      </c>
      <c r="C36" s="12">
        <v>15</v>
      </c>
      <c r="D36" s="8">
        <v>2.41</v>
      </c>
      <c r="E36" s="12">
        <v>13</v>
      </c>
      <c r="F36" s="8">
        <v>3.85</v>
      </c>
      <c r="G36" s="12">
        <v>2</v>
      </c>
      <c r="H36" s="8">
        <v>0.74</v>
      </c>
      <c r="I36" s="12">
        <v>0</v>
      </c>
    </row>
    <row r="37" spans="2:9" ht="15" customHeight="1" x14ac:dyDescent="0.2">
      <c r="B37" t="s">
        <v>152</v>
      </c>
      <c r="C37" s="12">
        <v>12</v>
      </c>
      <c r="D37" s="8">
        <v>1.93</v>
      </c>
      <c r="E37" s="12">
        <v>5</v>
      </c>
      <c r="F37" s="8">
        <v>1.48</v>
      </c>
      <c r="G37" s="12">
        <v>7</v>
      </c>
      <c r="H37" s="8">
        <v>2.58</v>
      </c>
      <c r="I37" s="12">
        <v>0</v>
      </c>
    </row>
    <row r="38" spans="2:9" ht="15" customHeight="1" x14ac:dyDescent="0.2">
      <c r="B38" t="s">
        <v>113</v>
      </c>
      <c r="C38" s="12">
        <v>12</v>
      </c>
      <c r="D38" s="8">
        <v>1.93</v>
      </c>
      <c r="E38" s="12">
        <v>8</v>
      </c>
      <c r="F38" s="8">
        <v>2.37</v>
      </c>
      <c r="G38" s="12">
        <v>4</v>
      </c>
      <c r="H38" s="8">
        <v>1.48</v>
      </c>
      <c r="I38" s="12">
        <v>0</v>
      </c>
    </row>
    <row r="39" spans="2:9" ht="15" customHeight="1" x14ac:dyDescent="0.2">
      <c r="B39" t="s">
        <v>118</v>
      </c>
      <c r="C39" s="12">
        <v>12</v>
      </c>
      <c r="D39" s="8">
        <v>1.93</v>
      </c>
      <c r="E39" s="12">
        <v>11</v>
      </c>
      <c r="F39" s="8">
        <v>3.25</v>
      </c>
      <c r="G39" s="12">
        <v>1</v>
      </c>
      <c r="H39" s="8">
        <v>0.37</v>
      </c>
      <c r="I39" s="12">
        <v>0</v>
      </c>
    </row>
    <row r="40" spans="2:9" ht="15" customHeight="1" x14ac:dyDescent="0.2">
      <c r="B40" t="s">
        <v>114</v>
      </c>
      <c r="C40" s="12">
        <v>11</v>
      </c>
      <c r="D40" s="8">
        <v>1.77</v>
      </c>
      <c r="E40" s="12">
        <v>7</v>
      </c>
      <c r="F40" s="8">
        <v>2.0699999999999998</v>
      </c>
      <c r="G40" s="12">
        <v>4</v>
      </c>
      <c r="H40" s="8">
        <v>1.48</v>
      </c>
      <c r="I40" s="12">
        <v>0</v>
      </c>
    </row>
    <row r="41" spans="2:9" ht="15" customHeight="1" x14ac:dyDescent="0.2">
      <c r="B41" t="s">
        <v>107</v>
      </c>
      <c r="C41" s="12">
        <v>10</v>
      </c>
      <c r="D41" s="8">
        <v>1.61</v>
      </c>
      <c r="E41" s="12">
        <v>4</v>
      </c>
      <c r="F41" s="8">
        <v>1.18</v>
      </c>
      <c r="G41" s="12">
        <v>6</v>
      </c>
      <c r="H41" s="8">
        <v>2.21</v>
      </c>
      <c r="I41" s="12">
        <v>0</v>
      </c>
    </row>
    <row r="42" spans="2:9" ht="15" customHeight="1" x14ac:dyDescent="0.2">
      <c r="B42" t="s">
        <v>106</v>
      </c>
      <c r="C42" s="12">
        <v>9</v>
      </c>
      <c r="D42" s="8">
        <v>1.44</v>
      </c>
      <c r="E42" s="12">
        <v>2</v>
      </c>
      <c r="F42" s="8">
        <v>0.59</v>
      </c>
      <c r="G42" s="12">
        <v>7</v>
      </c>
      <c r="H42" s="8">
        <v>2.58</v>
      </c>
      <c r="I42" s="12">
        <v>0</v>
      </c>
    </row>
    <row r="43" spans="2:9" ht="15" customHeight="1" x14ac:dyDescent="0.2">
      <c r="B43" t="s">
        <v>126</v>
      </c>
      <c r="C43" s="12">
        <v>7</v>
      </c>
      <c r="D43" s="8">
        <v>1.1200000000000001</v>
      </c>
      <c r="E43" s="12">
        <v>3</v>
      </c>
      <c r="F43" s="8">
        <v>0.89</v>
      </c>
      <c r="G43" s="12">
        <v>4</v>
      </c>
      <c r="H43" s="8">
        <v>1.48</v>
      </c>
      <c r="I43" s="12">
        <v>0</v>
      </c>
    </row>
    <row r="44" spans="2:9" ht="15" customHeight="1" x14ac:dyDescent="0.2">
      <c r="B44" t="s">
        <v>158</v>
      </c>
      <c r="C44" s="12">
        <v>7</v>
      </c>
      <c r="D44" s="8">
        <v>1.1200000000000001</v>
      </c>
      <c r="E44" s="12">
        <v>3</v>
      </c>
      <c r="F44" s="8">
        <v>0.89</v>
      </c>
      <c r="G44" s="12">
        <v>4</v>
      </c>
      <c r="H44" s="8">
        <v>1.48</v>
      </c>
      <c r="I44" s="12">
        <v>0</v>
      </c>
    </row>
    <row r="45" spans="2:9" ht="15" customHeight="1" x14ac:dyDescent="0.2">
      <c r="B45" t="s">
        <v>121</v>
      </c>
      <c r="C45" s="12">
        <v>7</v>
      </c>
      <c r="D45" s="8">
        <v>1.1200000000000001</v>
      </c>
      <c r="E45" s="12">
        <v>2</v>
      </c>
      <c r="F45" s="8">
        <v>0.59</v>
      </c>
      <c r="G45" s="12">
        <v>5</v>
      </c>
      <c r="H45" s="8">
        <v>1.85</v>
      </c>
      <c r="I45" s="12">
        <v>0</v>
      </c>
    </row>
    <row r="46" spans="2:9" ht="15" customHeight="1" x14ac:dyDescent="0.2">
      <c r="B46" t="s">
        <v>120</v>
      </c>
      <c r="C46" s="12">
        <v>7</v>
      </c>
      <c r="D46" s="8">
        <v>1.1200000000000001</v>
      </c>
      <c r="E46" s="12">
        <v>6</v>
      </c>
      <c r="F46" s="8">
        <v>1.78</v>
      </c>
      <c r="G46" s="12">
        <v>1</v>
      </c>
      <c r="H46" s="8">
        <v>0.37</v>
      </c>
      <c r="I46" s="12">
        <v>0</v>
      </c>
    </row>
    <row r="47" spans="2:9" ht="15" customHeight="1" x14ac:dyDescent="0.2">
      <c r="B47" t="s">
        <v>124</v>
      </c>
      <c r="C47" s="12">
        <v>7</v>
      </c>
      <c r="D47" s="8">
        <v>1.1200000000000001</v>
      </c>
      <c r="E47" s="12">
        <v>1</v>
      </c>
      <c r="F47" s="8">
        <v>0.3</v>
      </c>
      <c r="G47" s="12">
        <v>5</v>
      </c>
      <c r="H47" s="8">
        <v>1.85</v>
      </c>
      <c r="I47" s="12">
        <v>0</v>
      </c>
    </row>
    <row r="50" spans="2:9" ht="33" customHeight="1" x14ac:dyDescent="0.2">
      <c r="B50" t="s">
        <v>365</v>
      </c>
      <c r="C50" s="10" t="s">
        <v>94</v>
      </c>
      <c r="D50" s="10" t="s">
        <v>95</v>
      </c>
      <c r="E50" s="10" t="s">
        <v>96</v>
      </c>
      <c r="F50" s="10" t="s">
        <v>97</v>
      </c>
      <c r="G50" s="10" t="s">
        <v>98</v>
      </c>
      <c r="H50" s="10" t="s">
        <v>99</v>
      </c>
      <c r="I50" s="10" t="s">
        <v>100</v>
      </c>
    </row>
    <row r="51" spans="2:9" ht="15" customHeight="1" x14ac:dyDescent="0.2">
      <c r="B51" t="s">
        <v>191</v>
      </c>
      <c r="C51" s="12">
        <v>37</v>
      </c>
      <c r="D51" s="8">
        <v>5.94</v>
      </c>
      <c r="E51" s="12">
        <v>34</v>
      </c>
      <c r="F51" s="8">
        <v>10.06</v>
      </c>
      <c r="G51" s="12">
        <v>3</v>
      </c>
      <c r="H51" s="8">
        <v>1.1100000000000001</v>
      </c>
      <c r="I51" s="12">
        <v>0</v>
      </c>
    </row>
    <row r="52" spans="2:9" ht="15" customHeight="1" x14ac:dyDescent="0.2">
      <c r="B52" t="s">
        <v>183</v>
      </c>
      <c r="C52" s="12">
        <v>21</v>
      </c>
      <c r="D52" s="8">
        <v>3.37</v>
      </c>
      <c r="E52" s="12">
        <v>11</v>
      </c>
      <c r="F52" s="8">
        <v>3.25</v>
      </c>
      <c r="G52" s="12">
        <v>10</v>
      </c>
      <c r="H52" s="8">
        <v>3.69</v>
      </c>
      <c r="I52" s="12">
        <v>0</v>
      </c>
    </row>
    <row r="53" spans="2:9" ht="15" customHeight="1" x14ac:dyDescent="0.2">
      <c r="B53" t="s">
        <v>187</v>
      </c>
      <c r="C53" s="12">
        <v>20</v>
      </c>
      <c r="D53" s="8">
        <v>3.21</v>
      </c>
      <c r="E53" s="12">
        <v>17</v>
      </c>
      <c r="F53" s="8">
        <v>5.03</v>
      </c>
      <c r="G53" s="12">
        <v>3</v>
      </c>
      <c r="H53" s="8">
        <v>1.1100000000000001</v>
      </c>
      <c r="I53" s="12">
        <v>0</v>
      </c>
    </row>
    <row r="54" spans="2:9" ht="15" customHeight="1" x14ac:dyDescent="0.2">
      <c r="B54" t="s">
        <v>190</v>
      </c>
      <c r="C54" s="12">
        <v>18</v>
      </c>
      <c r="D54" s="8">
        <v>2.89</v>
      </c>
      <c r="E54" s="12">
        <v>17</v>
      </c>
      <c r="F54" s="8">
        <v>5.03</v>
      </c>
      <c r="G54" s="12">
        <v>1</v>
      </c>
      <c r="H54" s="8">
        <v>0.37</v>
      </c>
      <c r="I54" s="12">
        <v>0</v>
      </c>
    </row>
    <row r="55" spans="2:9" ht="15" customHeight="1" x14ac:dyDescent="0.2">
      <c r="B55" t="s">
        <v>188</v>
      </c>
      <c r="C55" s="12">
        <v>15</v>
      </c>
      <c r="D55" s="8">
        <v>2.41</v>
      </c>
      <c r="E55" s="12">
        <v>15</v>
      </c>
      <c r="F55" s="8">
        <v>4.4400000000000004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175</v>
      </c>
      <c r="C56" s="12">
        <v>12</v>
      </c>
      <c r="D56" s="8">
        <v>1.93</v>
      </c>
      <c r="E56" s="12">
        <v>2</v>
      </c>
      <c r="F56" s="8">
        <v>0.59</v>
      </c>
      <c r="G56" s="12">
        <v>10</v>
      </c>
      <c r="H56" s="8">
        <v>3.69</v>
      </c>
      <c r="I56" s="12">
        <v>0</v>
      </c>
    </row>
    <row r="57" spans="2:9" ht="15" customHeight="1" x14ac:dyDescent="0.2">
      <c r="B57" t="s">
        <v>179</v>
      </c>
      <c r="C57" s="12">
        <v>12</v>
      </c>
      <c r="D57" s="8">
        <v>1.93</v>
      </c>
      <c r="E57" s="12">
        <v>9</v>
      </c>
      <c r="F57" s="8">
        <v>2.66</v>
      </c>
      <c r="G57" s="12">
        <v>3</v>
      </c>
      <c r="H57" s="8">
        <v>1.1100000000000001</v>
      </c>
      <c r="I57" s="12">
        <v>0</v>
      </c>
    </row>
    <row r="58" spans="2:9" ht="15" customHeight="1" x14ac:dyDescent="0.2">
      <c r="B58" t="s">
        <v>194</v>
      </c>
      <c r="C58" s="12">
        <v>11</v>
      </c>
      <c r="D58" s="8">
        <v>1.77</v>
      </c>
      <c r="E58" s="12">
        <v>8</v>
      </c>
      <c r="F58" s="8">
        <v>2.37</v>
      </c>
      <c r="G58" s="12">
        <v>3</v>
      </c>
      <c r="H58" s="8">
        <v>1.1100000000000001</v>
      </c>
      <c r="I58" s="12">
        <v>0</v>
      </c>
    </row>
    <row r="59" spans="2:9" ht="15" customHeight="1" x14ac:dyDescent="0.2">
      <c r="B59" t="s">
        <v>186</v>
      </c>
      <c r="C59" s="12">
        <v>11</v>
      </c>
      <c r="D59" s="8">
        <v>1.77</v>
      </c>
      <c r="E59" s="12">
        <v>10</v>
      </c>
      <c r="F59" s="8">
        <v>2.96</v>
      </c>
      <c r="G59" s="12">
        <v>1</v>
      </c>
      <c r="H59" s="8">
        <v>0.37</v>
      </c>
      <c r="I59" s="12">
        <v>0</v>
      </c>
    </row>
    <row r="60" spans="2:9" ht="15" customHeight="1" x14ac:dyDescent="0.2">
      <c r="B60" t="s">
        <v>189</v>
      </c>
      <c r="C60" s="12">
        <v>11</v>
      </c>
      <c r="D60" s="8">
        <v>1.77</v>
      </c>
      <c r="E60" s="12">
        <v>10</v>
      </c>
      <c r="F60" s="8">
        <v>2.96</v>
      </c>
      <c r="G60" s="12">
        <v>1</v>
      </c>
      <c r="H60" s="8">
        <v>0.37</v>
      </c>
      <c r="I60" s="12">
        <v>0</v>
      </c>
    </row>
    <row r="61" spans="2:9" ht="15" customHeight="1" x14ac:dyDescent="0.2">
      <c r="B61" t="s">
        <v>174</v>
      </c>
      <c r="C61" s="12">
        <v>10</v>
      </c>
      <c r="D61" s="8">
        <v>1.61</v>
      </c>
      <c r="E61" s="12">
        <v>3</v>
      </c>
      <c r="F61" s="8">
        <v>0.89</v>
      </c>
      <c r="G61" s="12">
        <v>7</v>
      </c>
      <c r="H61" s="8">
        <v>2.58</v>
      </c>
      <c r="I61" s="12">
        <v>0</v>
      </c>
    </row>
    <row r="62" spans="2:9" ht="15" customHeight="1" x14ac:dyDescent="0.2">
      <c r="B62" t="s">
        <v>274</v>
      </c>
      <c r="C62" s="12">
        <v>10</v>
      </c>
      <c r="D62" s="8">
        <v>1.61</v>
      </c>
      <c r="E62" s="12">
        <v>6</v>
      </c>
      <c r="F62" s="8">
        <v>1.78</v>
      </c>
      <c r="G62" s="12">
        <v>4</v>
      </c>
      <c r="H62" s="8">
        <v>1.48</v>
      </c>
      <c r="I62" s="12">
        <v>0</v>
      </c>
    </row>
    <row r="63" spans="2:9" ht="15" customHeight="1" x14ac:dyDescent="0.2">
      <c r="B63" t="s">
        <v>197</v>
      </c>
      <c r="C63" s="12">
        <v>10</v>
      </c>
      <c r="D63" s="8">
        <v>1.61</v>
      </c>
      <c r="E63" s="12">
        <v>6</v>
      </c>
      <c r="F63" s="8">
        <v>1.78</v>
      </c>
      <c r="G63" s="12">
        <v>4</v>
      </c>
      <c r="H63" s="8">
        <v>1.48</v>
      </c>
      <c r="I63" s="12">
        <v>0</v>
      </c>
    </row>
    <row r="64" spans="2:9" ht="15" customHeight="1" x14ac:dyDescent="0.2">
      <c r="B64" t="s">
        <v>180</v>
      </c>
      <c r="C64" s="12">
        <v>10</v>
      </c>
      <c r="D64" s="8">
        <v>1.61</v>
      </c>
      <c r="E64" s="12">
        <v>5</v>
      </c>
      <c r="F64" s="8">
        <v>1.48</v>
      </c>
      <c r="G64" s="12">
        <v>5</v>
      </c>
      <c r="H64" s="8">
        <v>1.85</v>
      </c>
      <c r="I64" s="12">
        <v>0</v>
      </c>
    </row>
    <row r="65" spans="2:9" ht="15" customHeight="1" x14ac:dyDescent="0.2">
      <c r="B65" t="s">
        <v>181</v>
      </c>
      <c r="C65" s="12">
        <v>10</v>
      </c>
      <c r="D65" s="8">
        <v>1.61</v>
      </c>
      <c r="E65" s="12">
        <v>8</v>
      </c>
      <c r="F65" s="8">
        <v>2.37</v>
      </c>
      <c r="G65" s="12">
        <v>2</v>
      </c>
      <c r="H65" s="8">
        <v>0.74</v>
      </c>
      <c r="I65" s="12">
        <v>0</v>
      </c>
    </row>
    <row r="66" spans="2:9" ht="15" customHeight="1" x14ac:dyDescent="0.2">
      <c r="B66" t="s">
        <v>182</v>
      </c>
      <c r="C66" s="12">
        <v>10</v>
      </c>
      <c r="D66" s="8">
        <v>1.61</v>
      </c>
      <c r="E66" s="12">
        <v>2</v>
      </c>
      <c r="F66" s="8">
        <v>0.59</v>
      </c>
      <c r="G66" s="12">
        <v>8</v>
      </c>
      <c r="H66" s="8">
        <v>2.95</v>
      </c>
      <c r="I66" s="12">
        <v>0</v>
      </c>
    </row>
    <row r="67" spans="2:9" ht="15" customHeight="1" x14ac:dyDescent="0.2">
      <c r="B67" t="s">
        <v>198</v>
      </c>
      <c r="C67" s="12">
        <v>10</v>
      </c>
      <c r="D67" s="8">
        <v>1.61</v>
      </c>
      <c r="E67" s="12">
        <v>9</v>
      </c>
      <c r="F67" s="8">
        <v>2.66</v>
      </c>
      <c r="G67" s="12">
        <v>1</v>
      </c>
      <c r="H67" s="8">
        <v>0.37</v>
      </c>
      <c r="I67" s="12">
        <v>0</v>
      </c>
    </row>
    <row r="68" spans="2:9" ht="15" customHeight="1" x14ac:dyDescent="0.2">
      <c r="B68" t="s">
        <v>192</v>
      </c>
      <c r="C68" s="12">
        <v>10</v>
      </c>
      <c r="D68" s="8">
        <v>1.61</v>
      </c>
      <c r="E68" s="12">
        <v>5</v>
      </c>
      <c r="F68" s="8">
        <v>1.48</v>
      </c>
      <c r="G68" s="12">
        <v>5</v>
      </c>
      <c r="H68" s="8">
        <v>1.85</v>
      </c>
      <c r="I68" s="12">
        <v>0</v>
      </c>
    </row>
    <row r="69" spans="2:9" ht="15" customHeight="1" x14ac:dyDescent="0.2">
      <c r="B69" t="s">
        <v>176</v>
      </c>
      <c r="C69" s="12">
        <v>9</v>
      </c>
      <c r="D69" s="8">
        <v>1.44</v>
      </c>
      <c r="E69" s="12">
        <v>4</v>
      </c>
      <c r="F69" s="8">
        <v>1.18</v>
      </c>
      <c r="G69" s="12">
        <v>5</v>
      </c>
      <c r="H69" s="8">
        <v>1.85</v>
      </c>
      <c r="I69" s="12">
        <v>0</v>
      </c>
    </row>
    <row r="70" spans="2:9" ht="15" customHeight="1" x14ac:dyDescent="0.2">
      <c r="B70" t="s">
        <v>204</v>
      </c>
      <c r="C70" s="12">
        <v>8</v>
      </c>
      <c r="D70" s="8">
        <v>1.28</v>
      </c>
      <c r="E70" s="12">
        <v>3</v>
      </c>
      <c r="F70" s="8">
        <v>0.89</v>
      </c>
      <c r="G70" s="12">
        <v>5</v>
      </c>
      <c r="H70" s="8">
        <v>1.85</v>
      </c>
      <c r="I70" s="12">
        <v>0</v>
      </c>
    </row>
    <row r="71" spans="2:9" ht="15" customHeight="1" x14ac:dyDescent="0.2">
      <c r="B71" t="s">
        <v>185</v>
      </c>
      <c r="C71" s="12">
        <v>8</v>
      </c>
      <c r="D71" s="8">
        <v>1.28</v>
      </c>
      <c r="E71" s="12">
        <v>6</v>
      </c>
      <c r="F71" s="8">
        <v>1.78</v>
      </c>
      <c r="G71" s="12">
        <v>2</v>
      </c>
      <c r="H71" s="8">
        <v>0.74</v>
      </c>
      <c r="I71" s="12">
        <v>0</v>
      </c>
    </row>
    <row r="72" spans="2:9" ht="15" customHeight="1" x14ac:dyDescent="0.2">
      <c r="B72" t="s">
        <v>193</v>
      </c>
      <c r="C72" s="12">
        <v>8</v>
      </c>
      <c r="D72" s="8">
        <v>1.28</v>
      </c>
      <c r="E72" s="12">
        <v>7</v>
      </c>
      <c r="F72" s="8">
        <v>2.0699999999999998</v>
      </c>
      <c r="G72" s="12">
        <v>1</v>
      </c>
      <c r="H72" s="8">
        <v>0.37</v>
      </c>
      <c r="I72" s="12">
        <v>0</v>
      </c>
    </row>
    <row r="74" spans="2:9" ht="15" customHeight="1" x14ac:dyDescent="0.2">
      <c r="B74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36E5C-3648-45CD-9819-362280588E09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398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2</v>
      </c>
      <c r="D5" s="8">
        <v>0.53</v>
      </c>
      <c r="E5" s="12">
        <v>0</v>
      </c>
      <c r="F5" s="8">
        <v>0</v>
      </c>
      <c r="G5" s="12">
        <v>2</v>
      </c>
      <c r="H5" s="8">
        <v>0.96</v>
      </c>
      <c r="I5" s="12">
        <v>0</v>
      </c>
    </row>
    <row r="6" spans="2:9" ht="15" customHeight="1" x14ac:dyDescent="0.2">
      <c r="B6" t="s">
        <v>79</v>
      </c>
      <c r="C6" s="12">
        <v>65</v>
      </c>
      <c r="D6" s="8">
        <v>17.329999999999998</v>
      </c>
      <c r="E6" s="12">
        <v>23</v>
      </c>
      <c r="F6" s="8">
        <v>14.47</v>
      </c>
      <c r="G6" s="12">
        <v>42</v>
      </c>
      <c r="H6" s="8">
        <v>20.100000000000001</v>
      </c>
      <c r="I6" s="12">
        <v>0</v>
      </c>
    </row>
    <row r="7" spans="2:9" ht="15" customHeight="1" x14ac:dyDescent="0.2">
      <c r="B7" t="s">
        <v>80</v>
      </c>
      <c r="C7" s="12">
        <v>57</v>
      </c>
      <c r="D7" s="8">
        <v>15.2</v>
      </c>
      <c r="E7" s="12">
        <v>14</v>
      </c>
      <c r="F7" s="8">
        <v>8.81</v>
      </c>
      <c r="G7" s="12">
        <v>43</v>
      </c>
      <c r="H7" s="8">
        <v>20.57</v>
      </c>
      <c r="I7" s="12">
        <v>0</v>
      </c>
    </row>
    <row r="8" spans="2:9" ht="15" customHeight="1" x14ac:dyDescent="0.2">
      <c r="B8" t="s">
        <v>81</v>
      </c>
      <c r="C8" s="12">
        <v>3</v>
      </c>
      <c r="D8" s="8">
        <v>0.8</v>
      </c>
      <c r="E8" s="12">
        <v>0</v>
      </c>
      <c r="F8" s="8">
        <v>0</v>
      </c>
      <c r="G8" s="12">
        <v>3</v>
      </c>
      <c r="H8" s="8">
        <v>1.44</v>
      </c>
      <c r="I8" s="12">
        <v>0</v>
      </c>
    </row>
    <row r="9" spans="2:9" ht="15" customHeight="1" x14ac:dyDescent="0.2">
      <c r="B9" t="s">
        <v>82</v>
      </c>
      <c r="C9" s="12">
        <v>9</v>
      </c>
      <c r="D9" s="8">
        <v>2.4</v>
      </c>
      <c r="E9" s="12">
        <v>1</v>
      </c>
      <c r="F9" s="8">
        <v>0.63</v>
      </c>
      <c r="G9" s="12">
        <v>8</v>
      </c>
      <c r="H9" s="8">
        <v>3.83</v>
      </c>
      <c r="I9" s="12">
        <v>0</v>
      </c>
    </row>
    <row r="10" spans="2:9" ht="15" customHeight="1" x14ac:dyDescent="0.2">
      <c r="B10" t="s">
        <v>83</v>
      </c>
      <c r="C10" s="12">
        <v>5</v>
      </c>
      <c r="D10" s="8">
        <v>1.33</v>
      </c>
      <c r="E10" s="12">
        <v>0</v>
      </c>
      <c r="F10" s="8">
        <v>0</v>
      </c>
      <c r="G10" s="12">
        <v>4</v>
      </c>
      <c r="H10" s="8">
        <v>1.91</v>
      </c>
      <c r="I10" s="12">
        <v>1</v>
      </c>
    </row>
    <row r="11" spans="2:9" ht="15" customHeight="1" x14ac:dyDescent="0.2">
      <c r="B11" t="s">
        <v>84</v>
      </c>
      <c r="C11" s="12">
        <v>74</v>
      </c>
      <c r="D11" s="8">
        <v>19.73</v>
      </c>
      <c r="E11" s="12">
        <v>24</v>
      </c>
      <c r="F11" s="8">
        <v>15.09</v>
      </c>
      <c r="G11" s="12">
        <v>50</v>
      </c>
      <c r="H11" s="8">
        <v>23.92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8</v>
      </c>
      <c r="D13" s="8">
        <v>2.13</v>
      </c>
      <c r="E13" s="12">
        <v>1</v>
      </c>
      <c r="F13" s="8">
        <v>0.63</v>
      </c>
      <c r="G13" s="12">
        <v>7</v>
      </c>
      <c r="H13" s="8">
        <v>3.35</v>
      </c>
      <c r="I13" s="12">
        <v>0</v>
      </c>
    </row>
    <row r="14" spans="2:9" ht="15" customHeight="1" x14ac:dyDescent="0.2">
      <c r="B14" t="s">
        <v>87</v>
      </c>
      <c r="C14" s="12">
        <v>15</v>
      </c>
      <c r="D14" s="8">
        <v>4</v>
      </c>
      <c r="E14" s="12">
        <v>5</v>
      </c>
      <c r="F14" s="8">
        <v>3.14</v>
      </c>
      <c r="G14" s="12">
        <v>9</v>
      </c>
      <c r="H14" s="8">
        <v>4.3099999999999996</v>
      </c>
      <c r="I14" s="12">
        <v>0</v>
      </c>
    </row>
    <row r="15" spans="2:9" ht="15" customHeight="1" x14ac:dyDescent="0.2">
      <c r="B15" t="s">
        <v>88</v>
      </c>
      <c r="C15" s="12">
        <v>71</v>
      </c>
      <c r="D15" s="8">
        <v>18.93</v>
      </c>
      <c r="E15" s="12">
        <v>51</v>
      </c>
      <c r="F15" s="8">
        <v>32.08</v>
      </c>
      <c r="G15" s="12">
        <v>20</v>
      </c>
      <c r="H15" s="8">
        <v>9.57</v>
      </c>
      <c r="I15" s="12">
        <v>0</v>
      </c>
    </row>
    <row r="16" spans="2:9" ht="15" customHeight="1" x14ac:dyDescent="0.2">
      <c r="B16" t="s">
        <v>89</v>
      </c>
      <c r="C16" s="12">
        <v>24</v>
      </c>
      <c r="D16" s="8">
        <v>6.4</v>
      </c>
      <c r="E16" s="12">
        <v>19</v>
      </c>
      <c r="F16" s="8">
        <v>11.95</v>
      </c>
      <c r="G16" s="12">
        <v>4</v>
      </c>
      <c r="H16" s="8">
        <v>1.91</v>
      </c>
      <c r="I16" s="12">
        <v>0</v>
      </c>
    </row>
    <row r="17" spans="2:9" ht="15" customHeight="1" x14ac:dyDescent="0.2">
      <c r="B17" t="s">
        <v>90</v>
      </c>
      <c r="C17" s="12">
        <v>14</v>
      </c>
      <c r="D17" s="8">
        <v>3.73</v>
      </c>
      <c r="E17" s="12">
        <v>6</v>
      </c>
      <c r="F17" s="8">
        <v>3.77</v>
      </c>
      <c r="G17" s="12">
        <v>6</v>
      </c>
      <c r="H17" s="8">
        <v>2.87</v>
      </c>
      <c r="I17" s="12">
        <v>0</v>
      </c>
    </row>
    <row r="18" spans="2:9" ht="15" customHeight="1" x14ac:dyDescent="0.2">
      <c r="B18" t="s">
        <v>91</v>
      </c>
      <c r="C18" s="12">
        <v>12</v>
      </c>
      <c r="D18" s="8">
        <v>3.2</v>
      </c>
      <c r="E18" s="12">
        <v>11</v>
      </c>
      <c r="F18" s="8">
        <v>6.92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92</v>
      </c>
      <c r="C19" s="12">
        <v>16</v>
      </c>
      <c r="D19" s="8">
        <v>4.2699999999999996</v>
      </c>
      <c r="E19" s="12">
        <v>4</v>
      </c>
      <c r="F19" s="8">
        <v>2.52</v>
      </c>
      <c r="G19" s="12">
        <v>11</v>
      </c>
      <c r="H19" s="8">
        <v>5.26</v>
      </c>
      <c r="I19" s="12">
        <v>0</v>
      </c>
    </row>
    <row r="20" spans="2:9" ht="15" customHeight="1" x14ac:dyDescent="0.2">
      <c r="B20" s="9" t="s">
        <v>363</v>
      </c>
      <c r="C20" s="12">
        <f>SUM(LTBL_20362[総数／事業所数])</f>
        <v>375</v>
      </c>
      <c r="E20" s="12">
        <f>SUBTOTAL(109,LTBL_20362[個人／事業所数])</f>
        <v>159</v>
      </c>
      <c r="G20" s="12">
        <f>SUBTOTAL(109,LTBL_20362[法人／事業所数])</f>
        <v>209</v>
      </c>
      <c r="I20" s="12">
        <f>SUBTOTAL(109,LTBL_20362[法人以外の団体／事業所数])</f>
        <v>1</v>
      </c>
    </row>
    <row r="21" spans="2:9" ht="15" customHeight="1" x14ac:dyDescent="0.2">
      <c r="E21" s="11">
        <f>LTBL_20362[[#Totals],[個人／事業所数]]/LTBL_20362[[#Totals],[総数／事業所数]]</f>
        <v>0.42399999999999999</v>
      </c>
      <c r="G21" s="11">
        <f>LTBL_20362[[#Totals],[法人／事業所数]]/LTBL_20362[[#Totals],[総数／事業所数]]</f>
        <v>0.55733333333333335</v>
      </c>
      <c r="I21" s="11">
        <f>LTBL_20362[[#Totals],[法人以外の団体／事業所数]]/LTBL_20362[[#Totals],[総数／事業所数]]</f>
        <v>2.6666666666666666E-3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101</v>
      </c>
      <c r="C24" s="12">
        <v>39</v>
      </c>
      <c r="D24" s="8">
        <v>10.4</v>
      </c>
      <c r="E24" s="12">
        <v>10</v>
      </c>
      <c r="F24" s="8">
        <v>6.29</v>
      </c>
      <c r="G24" s="12">
        <v>29</v>
      </c>
      <c r="H24" s="8">
        <v>13.88</v>
      </c>
      <c r="I24" s="12">
        <v>0</v>
      </c>
    </row>
    <row r="25" spans="2:9" ht="15" customHeight="1" x14ac:dyDescent="0.2">
      <c r="B25" t="s">
        <v>115</v>
      </c>
      <c r="C25" s="12">
        <v>38</v>
      </c>
      <c r="D25" s="8">
        <v>10.130000000000001</v>
      </c>
      <c r="E25" s="12">
        <v>31</v>
      </c>
      <c r="F25" s="8">
        <v>19.5</v>
      </c>
      <c r="G25" s="12">
        <v>7</v>
      </c>
      <c r="H25" s="8">
        <v>3.35</v>
      </c>
      <c r="I25" s="12">
        <v>0</v>
      </c>
    </row>
    <row r="26" spans="2:9" ht="15" customHeight="1" x14ac:dyDescent="0.2">
      <c r="B26" t="s">
        <v>114</v>
      </c>
      <c r="C26" s="12">
        <v>26</v>
      </c>
      <c r="D26" s="8">
        <v>6.93</v>
      </c>
      <c r="E26" s="12">
        <v>20</v>
      </c>
      <c r="F26" s="8">
        <v>12.58</v>
      </c>
      <c r="G26" s="12">
        <v>6</v>
      </c>
      <c r="H26" s="8">
        <v>2.87</v>
      </c>
      <c r="I26" s="12">
        <v>0</v>
      </c>
    </row>
    <row r="27" spans="2:9" ht="15" customHeight="1" x14ac:dyDescent="0.2">
      <c r="B27" t="s">
        <v>116</v>
      </c>
      <c r="C27" s="12">
        <v>22</v>
      </c>
      <c r="D27" s="8">
        <v>5.87</v>
      </c>
      <c r="E27" s="12">
        <v>18</v>
      </c>
      <c r="F27" s="8">
        <v>11.32</v>
      </c>
      <c r="G27" s="12">
        <v>4</v>
      </c>
      <c r="H27" s="8">
        <v>1.91</v>
      </c>
      <c r="I27" s="12">
        <v>0</v>
      </c>
    </row>
    <row r="28" spans="2:9" ht="15" customHeight="1" x14ac:dyDescent="0.2">
      <c r="B28" t="s">
        <v>108</v>
      </c>
      <c r="C28" s="12">
        <v>19</v>
      </c>
      <c r="D28" s="8">
        <v>5.07</v>
      </c>
      <c r="E28" s="12">
        <v>6</v>
      </c>
      <c r="F28" s="8">
        <v>3.77</v>
      </c>
      <c r="G28" s="12">
        <v>13</v>
      </c>
      <c r="H28" s="8">
        <v>6.22</v>
      </c>
      <c r="I28" s="12">
        <v>0</v>
      </c>
    </row>
    <row r="29" spans="2:9" ht="15" customHeight="1" x14ac:dyDescent="0.2">
      <c r="B29" t="s">
        <v>110</v>
      </c>
      <c r="C29" s="12">
        <v>19</v>
      </c>
      <c r="D29" s="8">
        <v>5.07</v>
      </c>
      <c r="E29" s="12">
        <v>6</v>
      </c>
      <c r="F29" s="8">
        <v>3.77</v>
      </c>
      <c r="G29" s="12">
        <v>13</v>
      </c>
      <c r="H29" s="8">
        <v>6.22</v>
      </c>
      <c r="I29" s="12">
        <v>0</v>
      </c>
    </row>
    <row r="30" spans="2:9" ht="15" customHeight="1" x14ac:dyDescent="0.2">
      <c r="B30" t="s">
        <v>102</v>
      </c>
      <c r="C30" s="12">
        <v>18</v>
      </c>
      <c r="D30" s="8">
        <v>4.8</v>
      </c>
      <c r="E30" s="12">
        <v>10</v>
      </c>
      <c r="F30" s="8">
        <v>6.29</v>
      </c>
      <c r="G30" s="12">
        <v>8</v>
      </c>
      <c r="H30" s="8">
        <v>3.83</v>
      </c>
      <c r="I30" s="12">
        <v>0</v>
      </c>
    </row>
    <row r="31" spans="2:9" ht="15" customHeight="1" x14ac:dyDescent="0.2">
      <c r="B31" t="s">
        <v>117</v>
      </c>
      <c r="C31" s="12">
        <v>14</v>
      </c>
      <c r="D31" s="8">
        <v>3.73</v>
      </c>
      <c r="E31" s="12">
        <v>6</v>
      </c>
      <c r="F31" s="8">
        <v>3.77</v>
      </c>
      <c r="G31" s="12">
        <v>6</v>
      </c>
      <c r="H31" s="8">
        <v>2.87</v>
      </c>
      <c r="I31" s="12">
        <v>0</v>
      </c>
    </row>
    <row r="32" spans="2:9" ht="15" customHeight="1" x14ac:dyDescent="0.2">
      <c r="B32" t="s">
        <v>118</v>
      </c>
      <c r="C32" s="12">
        <v>11</v>
      </c>
      <c r="D32" s="8">
        <v>2.93</v>
      </c>
      <c r="E32" s="12">
        <v>11</v>
      </c>
      <c r="F32" s="8">
        <v>6.92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103</v>
      </c>
      <c r="C33" s="12">
        <v>8</v>
      </c>
      <c r="D33" s="8">
        <v>2.13</v>
      </c>
      <c r="E33" s="12">
        <v>3</v>
      </c>
      <c r="F33" s="8">
        <v>1.89</v>
      </c>
      <c r="G33" s="12">
        <v>5</v>
      </c>
      <c r="H33" s="8">
        <v>2.39</v>
      </c>
      <c r="I33" s="12">
        <v>0</v>
      </c>
    </row>
    <row r="34" spans="2:9" ht="15" customHeight="1" x14ac:dyDescent="0.2">
      <c r="B34" t="s">
        <v>113</v>
      </c>
      <c r="C34" s="12">
        <v>8</v>
      </c>
      <c r="D34" s="8">
        <v>2.13</v>
      </c>
      <c r="E34" s="12">
        <v>1</v>
      </c>
      <c r="F34" s="8">
        <v>0.63</v>
      </c>
      <c r="G34" s="12">
        <v>6</v>
      </c>
      <c r="H34" s="8">
        <v>2.87</v>
      </c>
      <c r="I34" s="12">
        <v>0</v>
      </c>
    </row>
    <row r="35" spans="2:9" ht="15" customHeight="1" x14ac:dyDescent="0.2">
      <c r="B35" t="s">
        <v>104</v>
      </c>
      <c r="C35" s="12">
        <v>7</v>
      </c>
      <c r="D35" s="8">
        <v>1.87</v>
      </c>
      <c r="E35" s="12">
        <v>2</v>
      </c>
      <c r="F35" s="8">
        <v>1.26</v>
      </c>
      <c r="G35" s="12">
        <v>5</v>
      </c>
      <c r="H35" s="8">
        <v>2.39</v>
      </c>
      <c r="I35" s="12">
        <v>0</v>
      </c>
    </row>
    <row r="36" spans="2:9" ht="15" customHeight="1" x14ac:dyDescent="0.2">
      <c r="B36" t="s">
        <v>107</v>
      </c>
      <c r="C36" s="12">
        <v>7</v>
      </c>
      <c r="D36" s="8">
        <v>1.87</v>
      </c>
      <c r="E36" s="12">
        <v>4</v>
      </c>
      <c r="F36" s="8">
        <v>2.52</v>
      </c>
      <c r="G36" s="12">
        <v>3</v>
      </c>
      <c r="H36" s="8">
        <v>1.44</v>
      </c>
      <c r="I36" s="12">
        <v>0</v>
      </c>
    </row>
    <row r="37" spans="2:9" ht="15" customHeight="1" x14ac:dyDescent="0.2">
      <c r="B37" t="s">
        <v>109</v>
      </c>
      <c r="C37" s="12">
        <v>7</v>
      </c>
      <c r="D37" s="8">
        <v>1.87</v>
      </c>
      <c r="E37" s="12">
        <v>5</v>
      </c>
      <c r="F37" s="8">
        <v>3.14</v>
      </c>
      <c r="G37" s="12">
        <v>2</v>
      </c>
      <c r="H37" s="8">
        <v>0.96</v>
      </c>
      <c r="I37" s="12">
        <v>0</v>
      </c>
    </row>
    <row r="38" spans="2:9" ht="15" customHeight="1" x14ac:dyDescent="0.2">
      <c r="B38" t="s">
        <v>112</v>
      </c>
      <c r="C38" s="12">
        <v>7</v>
      </c>
      <c r="D38" s="8">
        <v>1.87</v>
      </c>
      <c r="E38" s="12">
        <v>4</v>
      </c>
      <c r="F38" s="8">
        <v>2.52</v>
      </c>
      <c r="G38" s="12">
        <v>3</v>
      </c>
      <c r="H38" s="8">
        <v>1.44</v>
      </c>
      <c r="I38" s="12">
        <v>0</v>
      </c>
    </row>
    <row r="39" spans="2:9" ht="15" customHeight="1" x14ac:dyDescent="0.2">
      <c r="B39" t="s">
        <v>129</v>
      </c>
      <c r="C39" s="12">
        <v>7</v>
      </c>
      <c r="D39" s="8">
        <v>1.87</v>
      </c>
      <c r="E39" s="12">
        <v>0</v>
      </c>
      <c r="F39" s="8">
        <v>0</v>
      </c>
      <c r="G39" s="12">
        <v>7</v>
      </c>
      <c r="H39" s="8">
        <v>3.35</v>
      </c>
      <c r="I39" s="12">
        <v>0</v>
      </c>
    </row>
    <row r="40" spans="2:9" ht="15" customHeight="1" x14ac:dyDescent="0.2">
      <c r="B40" t="s">
        <v>120</v>
      </c>
      <c r="C40" s="12">
        <v>7</v>
      </c>
      <c r="D40" s="8">
        <v>1.87</v>
      </c>
      <c r="E40" s="12">
        <v>3</v>
      </c>
      <c r="F40" s="8">
        <v>1.89</v>
      </c>
      <c r="G40" s="12">
        <v>4</v>
      </c>
      <c r="H40" s="8">
        <v>1.91</v>
      </c>
      <c r="I40" s="12">
        <v>0</v>
      </c>
    </row>
    <row r="41" spans="2:9" ht="15" customHeight="1" x14ac:dyDescent="0.2">
      <c r="B41" t="s">
        <v>143</v>
      </c>
      <c r="C41" s="12">
        <v>6</v>
      </c>
      <c r="D41" s="8">
        <v>1.6</v>
      </c>
      <c r="E41" s="12">
        <v>0</v>
      </c>
      <c r="F41" s="8">
        <v>0</v>
      </c>
      <c r="G41" s="12">
        <v>6</v>
      </c>
      <c r="H41" s="8">
        <v>2.87</v>
      </c>
      <c r="I41" s="12">
        <v>0</v>
      </c>
    </row>
    <row r="42" spans="2:9" ht="15" customHeight="1" x14ac:dyDescent="0.2">
      <c r="B42" t="s">
        <v>105</v>
      </c>
      <c r="C42" s="12">
        <v>6</v>
      </c>
      <c r="D42" s="8">
        <v>1.6</v>
      </c>
      <c r="E42" s="12">
        <v>1</v>
      </c>
      <c r="F42" s="8">
        <v>0.63</v>
      </c>
      <c r="G42" s="12">
        <v>5</v>
      </c>
      <c r="H42" s="8">
        <v>2.39</v>
      </c>
      <c r="I42" s="12">
        <v>0</v>
      </c>
    </row>
    <row r="43" spans="2:9" ht="15" customHeight="1" x14ac:dyDescent="0.2">
      <c r="B43" t="s">
        <v>152</v>
      </c>
      <c r="C43" s="12">
        <v>6</v>
      </c>
      <c r="D43" s="8">
        <v>1.6</v>
      </c>
      <c r="E43" s="12">
        <v>2</v>
      </c>
      <c r="F43" s="8">
        <v>1.26</v>
      </c>
      <c r="G43" s="12">
        <v>4</v>
      </c>
      <c r="H43" s="8">
        <v>1.91</v>
      </c>
      <c r="I43" s="12">
        <v>0</v>
      </c>
    </row>
    <row r="44" spans="2:9" ht="15" customHeight="1" x14ac:dyDescent="0.2">
      <c r="B44" t="s">
        <v>159</v>
      </c>
      <c r="C44" s="12">
        <v>6</v>
      </c>
      <c r="D44" s="8">
        <v>1.6</v>
      </c>
      <c r="E44" s="12">
        <v>1</v>
      </c>
      <c r="F44" s="8">
        <v>0.63</v>
      </c>
      <c r="G44" s="12">
        <v>5</v>
      </c>
      <c r="H44" s="8">
        <v>2.39</v>
      </c>
      <c r="I44" s="12">
        <v>0</v>
      </c>
    </row>
    <row r="45" spans="2:9" ht="15" customHeight="1" x14ac:dyDescent="0.2">
      <c r="B45" t="s">
        <v>121</v>
      </c>
      <c r="C45" s="12">
        <v>6</v>
      </c>
      <c r="D45" s="8">
        <v>1.6</v>
      </c>
      <c r="E45" s="12">
        <v>0</v>
      </c>
      <c r="F45" s="8">
        <v>0</v>
      </c>
      <c r="G45" s="12">
        <v>6</v>
      </c>
      <c r="H45" s="8">
        <v>2.87</v>
      </c>
      <c r="I45" s="12">
        <v>0</v>
      </c>
    </row>
    <row r="46" spans="2:9" ht="15" customHeight="1" x14ac:dyDescent="0.2">
      <c r="B46" t="s">
        <v>106</v>
      </c>
      <c r="C46" s="12">
        <v>6</v>
      </c>
      <c r="D46" s="8">
        <v>1.6</v>
      </c>
      <c r="E46" s="12">
        <v>0</v>
      </c>
      <c r="F46" s="8">
        <v>0</v>
      </c>
      <c r="G46" s="12">
        <v>6</v>
      </c>
      <c r="H46" s="8">
        <v>2.87</v>
      </c>
      <c r="I46" s="12">
        <v>0</v>
      </c>
    </row>
    <row r="49" spans="2:9" ht="33" customHeight="1" x14ac:dyDescent="0.2">
      <c r="B49" t="s">
        <v>365</v>
      </c>
      <c r="C49" s="10" t="s">
        <v>94</v>
      </c>
      <c r="D49" s="10" t="s">
        <v>95</v>
      </c>
      <c r="E49" s="10" t="s">
        <v>96</v>
      </c>
      <c r="F49" s="10" t="s">
        <v>97</v>
      </c>
      <c r="G49" s="10" t="s">
        <v>98</v>
      </c>
      <c r="H49" s="10" t="s">
        <v>99</v>
      </c>
      <c r="I49" s="10" t="s">
        <v>100</v>
      </c>
    </row>
    <row r="50" spans="2:9" ht="15" customHeight="1" x14ac:dyDescent="0.2">
      <c r="B50" t="s">
        <v>185</v>
      </c>
      <c r="C50" s="12">
        <v>17</v>
      </c>
      <c r="D50" s="8">
        <v>4.53</v>
      </c>
      <c r="E50" s="12">
        <v>15</v>
      </c>
      <c r="F50" s="8">
        <v>9.43</v>
      </c>
      <c r="G50" s="12">
        <v>2</v>
      </c>
      <c r="H50" s="8">
        <v>0.96</v>
      </c>
      <c r="I50" s="12">
        <v>0</v>
      </c>
    </row>
    <row r="51" spans="2:9" ht="15" customHeight="1" x14ac:dyDescent="0.2">
      <c r="B51" t="s">
        <v>176</v>
      </c>
      <c r="C51" s="12">
        <v>12</v>
      </c>
      <c r="D51" s="8">
        <v>3.2</v>
      </c>
      <c r="E51" s="12">
        <v>6</v>
      </c>
      <c r="F51" s="8">
        <v>3.77</v>
      </c>
      <c r="G51" s="12">
        <v>6</v>
      </c>
      <c r="H51" s="8">
        <v>2.87</v>
      </c>
      <c r="I51" s="12">
        <v>0</v>
      </c>
    </row>
    <row r="52" spans="2:9" ht="15" customHeight="1" x14ac:dyDescent="0.2">
      <c r="B52" t="s">
        <v>191</v>
      </c>
      <c r="C52" s="12">
        <v>12</v>
      </c>
      <c r="D52" s="8">
        <v>3.2</v>
      </c>
      <c r="E52" s="12">
        <v>10</v>
      </c>
      <c r="F52" s="8">
        <v>6.29</v>
      </c>
      <c r="G52" s="12">
        <v>2</v>
      </c>
      <c r="H52" s="8">
        <v>0.96</v>
      </c>
      <c r="I52" s="12">
        <v>0</v>
      </c>
    </row>
    <row r="53" spans="2:9" ht="15" customHeight="1" x14ac:dyDescent="0.2">
      <c r="B53" t="s">
        <v>174</v>
      </c>
      <c r="C53" s="12">
        <v>10</v>
      </c>
      <c r="D53" s="8">
        <v>2.67</v>
      </c>
      <c r="E53" s="12">
        <v>1</v>
      </c>
      <c r="F53" s="8">
        <v>0.63</v>
      </c>
      <c r="G53" s="12">
        <v>9</v>
      </c>
      <c r="H53" s="8">
        <v>4.3099999999999996</v>
      </c>
      <c r="I53" s="12">
        <v>0</v>
      </c>
    </row>
    <row r="54" spans="2:9" ht="15" customHeight="1" x14ac:dyDescent="0.2">
      <c r="B54" t="s">
        <v>187</v>
      </c>
      <c r="C54" s="12">
        <v>10</v>
      </c>
      <c r="D54" s="8">
        <v>2.67</v>
      </c>
      <c r="E54" s="12">
        <v>7</v>
      </c>
      <c r="F54" s="8">
        <v>4.4000000000000004</v>
      </c>
      <c r="G54" s="12">
        <v>3</v>
      </c>
      <c r="H54" s="8">
        <v>1.44</v>
      </c>
      <c r="I54" s="12">
        <v>0</v>
      </c>
    </row>
    <row r="55" spans="2:9" ht="15" customHeight="1" x14ac:dyDescent="0.2">
      <c r="B55" t="s">
        <v>192</v>
      </c>
      <c r="C55" s="12">
        <v>10</v>
      </c>
      <c r="D55" s="8">
        <v>2.67</v>
      </c>
      <c r="E55" s="12">
        <v>6</v>
      </c>
      <c r="F55" s="8">
        <v>3.77</v>
      </c>
      <c r="G55" s="12">
        <v>4</v>
      </c>
      <c r="H55" s="8">
        <v>1.91</v>
      </c>
      <c r="I55" s="12">
        <v>0</v>
      </c>
    </row>
    <row r="56" spans="2:9" ht="15" customHeight="1" x14ac:dyDescent="0.2">
      <c r="B56" t="s">
        <v>193</v>
      </c>
      <c r="C56" s="12">
        <v>10</v>
      </c>
      <c r="D56" s="8">
        <v>2.67</v>
      </c>
      <c r="E56" s="12">
        <v>10</v>
      </c>
      <c r="F56" s="8">
        <v>6.29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220</v>
      </c>
      <c r="C57" s="12">
        <v>9</v>
      </c>
      <c r="D57" s="8">
        <v>2.4</v>
      </c>
      <c r="E57" s="12">
        <v>8</v>
      </c>
      <c r="F57" s="8">
        <v>5.03</v>
      </c>
      <c r="G57" s="12">
        <v>1</v>
      </c>
      <c r="H57" s="8">
        <v>0.48</v>
      </c>
      <c r="I57" s="12">
        <v>0</v>
      </c>
    </row>
    <row r="58" spans="2:9" ht="15" customHeight="1" x14ac:dyDescent="0.2">
      <c r="B58" t="s">
        <v>175</v>
      </c>
      <c r="C58" s="12">
        <v>8</v>
      </c>
      <c r="D58" s="8">
        <v>2.13</v>
      </c>
      <c r="E58" s="12">
        <v>1</v>
      </c>
      <c r="F58" s="8">
        <v>0.63</v>
      </c>
      <c r="G58" s="12">
        <v>7</v>
      </c>
      <c r="H58" s="8">
        <v>3.35</v>
      </c>
      <c r="I58" s="12">
        <v>0</v>
      </c>
    </row>
    <row r="59" spans="2:9" ht="15" customHeight="1" x14ac:dyDescent="0.2">
      <c r="B59" t="s">
        <v>197</v>
      </c>
      <c r="C59" s="12">
        <v>8</v>
      </c>
      <c r="D59" s="8">
        <v>2.13</v>
      </c>
      <c r="E59" s="12">
        <v>4</v>
      </c>
      <c r="F59" s="8">
        <v>2.52</v>
      </c>
      <c r="G59" s="12">
        <v>4</v>
      </c>
      <c r="H59" s="8">
        <v>1.91</v>
      </c>
      <c r="I59" s="12">
        <v>0</v>
      </c>
    </row>
    <row r="60" spans="2:9" ht="15" customHeight="1" x14ac:dyDescent="0.2">
      <c r="B60" t="s">
        <v>186</v>
      </c>
      <c r="C60" s="12">
        <v>7</v>
      </c>
      <c r="D60" s="8">
        <v>1.87</v>
      </c>
      <c r="E60" s="12">
        <v>5</v>
      </c>
      <c r="F60" s="8">
        <v>3.14</v>
      </c>
      <c r="G60" s="12">
        <v>2</v>
      </c>
      <c r="H60" s="8">
        <v>0.96</v>
      </c>
      <c r="I60" s="12">
        <v>0</v>
      </c>
    </row>
    <row r="61" spans="2:9" ht="15" customHeight="1" x14ac:dyDescent="0.2">
      <c r="B61" t="s">
        <v>198</v>
      </c>
      <c r="C61" s="12">
        <v>7</v>
      </c>
      <c r="D61" s="8">
        <v>1.87</v>
      </c>
      <c r="E61" s="12">
        <v>7</v>
      </c>
      <c r="F61" s="8">
        <v>4.4000000000000004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207</v>
      </c>
      <c r="C62" s="12">
        <v>7</v>
      </c>
      <c r="D62" s="8">
        <v>1.87</v>
      </c>
      <c r="E62" s="12">
        <v>0</v>
      </c>
      <c r="F62" s="8">
        <v>0</v>
      </c>
      <c r="G62" s="12">
        <v>7</v>
      </c>
      <c r="H62" s="8">
        <v>3.35</v>
      </c>
      <c r="I62" s="12">
        <v>0</v>
      </c>
    </row>
    <row r="63" spans="2:9" ht="15" customHeight="1" x14ac:dyDescent="0.2">
      <c r="B63" t="s">
        <v>200</v>
      </c>
      <c r="C63" s="12">
        <v>7</v>
      </c>
      <c r="D63" s="8">
        <v>1.87</v>
      </c>
      <c r="E63" s="12">
        <v>3</v>
      </c>
      <c r="F63" s="8">
        <v>1.89</v>
      </c>
      <c r="G63" s="12">
        <v>4</v>
      </c>
      <c r="H63" s="8">
        <v>1.91</v>
      </c>
      <c r="I63" s="12">
        <v>0</v>
      </c>
    </row>
    <row r="64" spans="2:9" ht="15" customHeight="1" x14ac:dyDescent="0.2">
      <c r="B64" t="s">
        <v>276</v>
      </c>
      <c r="C64" s="12">
        <v>6</v>
      </c>
      <c r="D64" s="8">
        <v>1.6</v>
      </c>
      <c r="E64" s="12">
        <v>1</v>
      </c>
      <c r="F64" s="8">
        <v>0.63</v>
      </c>
      <c r="G64" s="12">
        <v>5</v>
      </c>
      <c r="H64" s="8">
        <v>2.39</v>
      </c>
      <c r="I64" s="12">
        <v>0</v>
      </c>
    </row>
    <row r="65" spans="2:9" ht="15" customHeight="1" x14ac:dyDescent="0.2">
      <c r="B65" t="s">
        <v>190</v>
      </c>
      <c r="C65" s="12">
        <v>6</v>
      </c>
      <c r="D65" s="8">
        <v>1.6</v>
      </c>
      <c r="E65" s="12">
        <v>6</v>
      </c>
      <c r="F65" s="8">
        <v>3.77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208</v>
      </c>
      <c r="C66" s="12">
        <v>5</v>
      </c>
      <c r="D66" s="8">
        <v>1.33</v>
      </c>
      <c r="E66" s="12">
        <v>2</v>
      </c>
      <c r="F66" s="8">
        <v>1.26</v>
      </c>
      <c r="G66" s="12">
        <v>3</v>
      </c>
      <c r="H66" s="8">
        <v>1.44</v>
      </c>
      <c r="I66" s="12">
        <v>0</v>
      </c>
    </row>
    <row r="67" spans="2:9" ht="15" customHeight="1" x14ac:dyDescent="0.2">
      <c r="B67" t="s">
        <v>210</v>
      </c>
      <c r="C67" s="12">
        <v>5</v>
      </c>
      <c r="D67" s="8">
        <v>1.33</v>
      </c>
      <c r="E67" s="12">
        <v>4</v>
      </c>
      <c r="F67" s="8">
        <v>2.52</v>
      </c>
      <c r="G67" s="12">
        <v>1</v>
      </c>
      <c r="H67" s="8">
        <v>0.48</v>
      </c>
      <c r="I67" s="12">
        <v>0</v>
      </c>
    </row>
    <row r="68" spans="2:9" ht="15" customHeight="1" x14ac:dyDescent="0.2">
      <c r="B68" t="s">
        <v>272</v>
      </c>
      <c r="C68" s="12">
        <v>5</v>
      </c>
      <c r="D68" s="8">
        <v>1.33</v>
      </c>
      <c r="E68" s="12">
        <v>0</v>
      </c>
      <c r="F68" s="8">
        <v>0</v>
      </c>
      <c r="G68" s="12">
        <v>5</v>
      </c>
      <c r="H68" s="8">
        <v>2.39</v>
      </c>
      <c r="I68" s="12">
        <v>0</v>
      </c>
    </row>
    <row r="69" spans="2:9" ht="15" customHeight="1" x14ac:dyDescent="0.2">
      <c r="B69" t="s">
        <v>275</v>
      </c>
      <c r="C69" s="12">
        <v>5</v>
      </c>
      <c r="D69" s="8">
        <v>1.33</v>
      </c>
      <c r="E69" s="12">
        <v>3</v>
      </c>
      <c r="F69" s="8">
        <v>1.89</v>
      </c>
      <c r="G69" s="12">
        <v>2</v>
      </c>
      <c r="H69" s="8">
        <v>0.96</v>
      </c>
      <c r="I69" s="12">
        <v>0</v>
      </c>
    </row>
    <row r="70" spans="2:9" ht="15" customHeight="1" x14ac:dyDescent="0.2">
      <c r="B70" t="s">
        <v>194</v>
      </c>
      <c r="C70" s="12">
        <v>5</v>
      </c>
      <c r="D70" s="8">
        <v>1.33</v>
      </c>
      <c r="E70" s="12">
        <v>1</v>
      </c>
      <c r="F70" s="8">
        <v>0.63</v>
      </c>
      <c r="G70" s="12">
        <v>4</v>
      </c>
      <c r="H70" s="8">
        <v>1.91</v>
      </c>
      <c r="I70" s="12">
        <v>0</v>
      </c>
    </row>
    <row r="71" spans="2:9" ht="15" customHeight="1" x14ac:dyDescent="0.2">
      <c r="B71" t="s">
        <v>247</v>
      </c>
      <c r="C71" s="12">
        <v>5</v>
      </c>
      <c r="D71" s="8">
        <v>1.33</v>
      </c>
      <c r="E71" s="12">
        <v>5</v>
      </c>
      <c r="F71" s="8">
        <v>3.14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84171-7DBA-4481-8F71-DC14562B19E6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399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64</v>
      </c>
      <c r="D6" s="8">
        <v>21.48</v>
      </c>
      <c r="E6" s="12">
        <v>36</v>
      </c>
      <c r="F6" s="8">
        <v>18.559999999999999</v>
      </c>
      <c r="G6" s="12">
        <v>28</v>
      </c>
      <c r="H6" s="8">
        <v>27.45</v>
      </c>
      <c r="I6" s="12">
        <v>0</v>
      </c>
    </row>
    <row r="7" spans="2:9" ht="15" customHeight="1" x14ac:dyDescent="0.2">
      <c r="B7" t="s">
        <v>80</v>
      </c>
      <c r="C7" s="12">
        <v>44</v>
      </c>
      <c r="D7" s="8">
        <v>14.77</v>
      </c>
      <c r="E7" s="12">
        <v>25</v>
      </c>
      <c r="F7" s="8">
        <v>12.89</v>
      </c>
      <c r="G7" s="12">
        <v>19</v>
      </c>
      <c r="H7" s="8">
        <v>18.63</v>
      </c>
      <c r="I7" s="12">
        <v>0</v>
      </c>
    </row>
    <row r="8" spans="2:9" ht="15" customHeight="1" x14ac:dyDescent="0.2">
      <c r="B8" t="s">
        <v>81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4</v>
      </c>
      <c r="D9" s="8">
        <v>1.34</v>
      </c>
      <c r="E9" s="12">
        <v>0</v>
      </c>
      <c r="F9" s="8">
        <v>0</v>
      </c>
      <c r="G9" s="12">
        <v>4</v>
      </c>
      <c r="H9" s="8">
        <v>3.92</v>
      </c>
      <c r="I9" s="12">
        <v>0</v>
      </c>
    </row>
    <row r="10" spans="2:9" ht="15" customHeight="1" x14ac:dyDescent="0.2">
      <c r="B10" t="s">
        <v>83</v>
      </c>
      <c r="C10" s="12">
        <v>1</v>
      </c>
      <c r="D10" s="8">
        <v>0.34</v>
      </c>
      <c r="E10" s="12">
        <v>0</v>
      </c>
      <c r="F10" s="8">
        <v>0</v>
      </c>
      <c r="G10" s="12">
        <v>0</v>
      </c>
      <c r="H10" s="8">
        <v>0</v>
      </c>
      <c r="I10" s="12">
        <v>1</v>
      </c>
    </row>
    <row r="11" spans="2:9" ht="15" customHeight="1" x14ac:dyDescent="0.2">
      <c r="B11" t="s">
        <v>84</v>
      </c>
      <c r="C11" s="12">
        <v>37</v>
      </c>
      <c r="D11" s="8">
        <v>12.42</v>
      </c>
      <c r="E11" s="12">
        <v>23</v>
      </c>
      <c r="F11" s="8">
        <v>11.86</v>
      </c>
      <c r="G11" s="12">
        <v>14</v>
      </c>
      <c r="H11" s="8">
        <v>13.73</v>
      </c>
      <c r="I11" s="12">
        <v>0</v>
      </c>
    </row>
    <row r="12" spans="2:9" ht="15" customHeight="1" x14ac:dyDescent="0.2">
      <c r="B12" t="s">
        <v>85</v>
      </c>
      <c r="C12" s="12">
        <v>1</v>
      </c>
      <c r="D12" s="8">
        <v>0.34</v>
      </c>
      <c r="E12" s="12">
        <v>0</v>
      </c>
      <c r="F12" s="8">
        <v>0</v>
      </c>
      <c r="G12" s="12">
        <v>1</v>
      </c>
      <c r="H12" s="8">
        <v>0.98</v>
      </c>
      <c r="I12" s="12">
        <v>0</v>
      </c>
    </row>
    <row r="13" spans="2:9" ht="15" customHeight="1" x14ac:dyDescent="0.2">
      <c r="B13" t="s">
        <v>86</v>
      </c>
      <c r="C13" s="12">
        <v>8</v>
      </c>
      <c r="D13" s="8">
        <v>2.68</v>
      </c>
      <c r="E13" s="12">
        <v>2</v>
      </c>
      <c r="F13" s="8">
        <v>1.03</v>
      </c>
      <c r="G13" s="12">
        <v>6</v>
      </c>
      <c r="H13" s="8">
        <v>5.88</v>
      </c>
      <c r="I13" s="12">
        <v>0</v>
      </c>
    </row>
    <row r="14" spans="2:9" ht="15" customHeight="1" x14ac:dyDescent="0.2">
      <c r="B14" t="s">
        <v>87</v>
      </c>
      <c r="C14" s="12">
        <v>19</v>
      </c>
      <c r="D14" s="8">
        <v>6.38</v>
      </c>
      <c r="E14" s="12">
        <v>10</v>
      </c>
      <c r="F14" s="8">
        <v>5.15</v>
      </c>
      <c r="G14" s="12">
        <v>8</v>
      </c>
      <c r="H14" s="8">
        <v>7.84</v>
      </c>
      <c r="I14" s="12">
        <v>0</v>
      </c>
    </row>
    <row r="15" spans="2:9" ht="15" customHeight="1" x14ac:dyDescent="0.2">
      <c r="B15" t="s">
        <v>88</v>
      </c>
      <c r="C15" s="12">
        <v>81</v>
      </c>
      <c r="D15" s="8">
        <v>27.18</v>
      </c>
      <c r="E15" s="12">
        <v>71</v>
      </c>
      <c r="F15" s="8">
        <v>36.6</v>
      </c>
      <c r="G15" s="12">
        <v>10</v>
      </c>
      <c r="H15" s="8">
        <v>9.8000000000000007</v>
      </c>
      <c r="I15" s="12">
        <v>0</v>
      </c>
    </row>
    <row r="16" spans="2:9" ht="15" customHeight="1" x14ac:dyDescent="0.2">
      <c r="B16" t="s">
        <v>89</v>
      </c>
      <c r="C16" s="12">
        <v>15</v>
      </c>
      <c r="D16" s="8">
        <v>5.03</v>
      </c>
      <c r="E16" s="12">
        <v>12</v>
      </c>
      <c r="F16" s="8">
        <v>6.19</v>
      </c>
      <c r="G16" s="12">
        <v>3</v>
      </c>
      <c r="H16" s="8">
        <v>2.94</v>
      </c>
      <c r="I16" s="12">
        <v>0</v>
      </c>
    </row>
    <row r="17" spans="2:9" ht="15" customHeight="1" x14ac:dyDescent="0.2">
      <c r="B17" t="s">
        <v>90</v>
      </c>
      <c r="C17" s="12">
        <v>8</v>
      </c>
      <c r="D17" s="8">
        <v>2.68</v>
      </c>
      <c r="E17" s="12">
        <v>7</v>
      </c>
      <c r="F17" s="8">
        <v>3.61</v>
      </c>
      <c r="G17" s="12">
        <v>1</v>
      </c>
      <c r="H17" s="8">
        <v>0.98</v>
      </c>
      <c r="I17" s="12">
        <v>0</v>
      </c>
    </row>
    <row r="18" spans="2:9" ht="15" customHeight="1" x14ac:dyDescent="0.2">
      <c r="B18" t="s">
        <v>91</v>
      </c>
      <c r="C18" s="12">
        <v>5</v>
      </c>
      <c r="D18" s="8">
        <v>1.68</v>
      </c>
      <c r="E18" s="12">
        <v>4</v>
      </c>
      <c r="F18" s="8">
        <v>2.06</v>
      </c>
      <c r="G18" s="12">
        <v>1</v>
      </c>
      <c r="H18" s="8">
        <v>0.98</v>
      </c>
      <c r="I18" s="12">
        <v>0</v>
      </c>
    </row>
    <row r="19" spans="2:9" ht="15" customHeight="1" x14ac:dyDescent="0.2">
      <c r="B19" t="s">
        <v>92</v>
      </c>
      <c r="C19" s="12">
        <v>11</v>
      </c>
      <c r="D19" s="8">
        <v>3.69</v>
      </c>
      <c r="E19" s="12">
        <v>4</v>
      </c>
      <c r="F19" s="8">
        <v>2.06</v>
      </c>
      <c r="G19" s="12">
        <v>7</v>
      </c>
      <c r="H19" s="8">
        <v>6.86</v>
      </c>
      <c r="I19" s="12">
        <v>0</v>
      </c>
    </row>
    <row r="20" spans="2:9" ht="15" customHeight="1" x14ac:dyDescent="0.2">
      <c r="B20" s="9" t="s">
        <v>363</v>
      </c>
      <c r="C20" s="12">
        <f>SUM(LTBL_20363[総数／事業所数])</f>
        <v>298</v>
      </c>
      <c r="E20" s="12">
        <f>SUBTOTAL(109,LTBL_20363[個人／事業所数])</f>
        <v>194</v>
      </c>
      <c r="G20" s="12">
        <f>SUBTOTAL(109,LTBL_20363[法人／事業所数])</f>
        <v>102</v>
      </c>
      <c r="I20" s="12">
        <f>SUBTOTAL(109,LTBL_20363[法人以外の団体／事業所数])</f>
        <v>1</v>
      </c>
    </row>
    <row r="21" spans="2:9" ht="15" customHeight="1" x14ac:dyDescent="0.2">
      <c r="E21" s="11">
        <f>LTBL_20363[[#Totals],[個人／事業所数]]/LTBL_20363[[#Totals],[総数／事業所数]]</f>
        <v>0.65100671140939592</v>
      </c>
      <c r="G21" s="11">
        <f>LTBL_20363[[#Totals],[法人／事業所数]]/LTBL_20363[[#Totals],[総数／事業所数]]</f>
        <v>0.34228187919463088</v>
      </c>
      <c r="I21" s="11">
        <f>LTBL_20363[[#Totals],[法人以外の団体／事業所数]]/LTBL_20363[[#Totals],[総数／事業所数]]</f>
        <v>3.3557046979865771E-3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114</v>
      </c>
      <c r="C24" s="12">
        <v>59</v>
      </c>
      <c r="D24" s="8">
        <v>19.8</v>
      </c>
      <c r="E24" s="12">
        <v>51</v>
      </c>
      <c r="F24" s="8">
        <v>26.29</v>
      </c>
      <c r="G24" s="12">
        <v>8</v>
      </c>
      <c r="H24" s="8">
        <v>7.84</v>
      </c>
      <c r="I24" s="12">
        <v>0</v>
      </c>
    </row>
    <row r="25" spans="2:9" ht="15" customHeight="1" x14ac:dyDescent="0.2">
      <c r="B25" t="s">
        <v>101</v>
      </c>
      <c r="C25" s="12">
        <v>33</v>
      </c>
      <c r="D25" s="8">
        <v>11.07</v>
      </c>
      <c r="E25" s="12">
        <v>16</v>
      </c>
      <c r="F25" s="8">
        <v>8.25</v>
      </c>
      <c r="G25" s="12">
        <v>17</v>
      </c>
      <c r="H25" s="8">
        <v>16.670000000000002</v>
      </c>
      <c r="I25" s="12">
        <v>0</v>
      </c>
    </row>
    <row r="26" spans="2:9" ht="15" customHeight="1" x14ac:dyDescent="0.2">
      <c r="B26" t="s">
        <v>115</v>
      </c>
      <c r="C26" s="12">
        <v>20</v>
      </c>
      <c r="D26" s="8">
        <v>6.71</v>
      </c>
      <c r="E26" s="12">
        <v>20</v>
      </c>
      <c r="F26" s="8">
        <v>10.31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102</v>
      </c>
      <c r="C27" s="12">
        <v>17</v>
      </c>
      <c r="D27" s="8">
        <v>5.7</v>
      </c>
      <c r="E27" s="12">
        <v>11</v>
      </c>
      <c r="F27" s="8">
        <v>5.67</v>
      </c>
      <c r="G27" s="12">
        <v>6</v>
      </c>
      <c r="H27" s="8">
        <v>5.88</v>
      </c>
      <c r="I27" s="12">
        <v>0</v>
      </c>
    </row>
    <row r="28" spans="2:9" ht="15" customHeight="1" x14ac:dyDescent="0.2">
      <c r="B28" t="s">
        <v>103</v>
      </c>
      <c r="C28" s="12">
        <v>14</v>
      </c>
      <c r="D28" s="8">
        <v>4.7</v>
      </c>
      <c r="E28" s="12">
        <v>9</v>
      </c>
      <c r="F28" s="8">
        <v>4.6399999999999997</v>
      </c>
      <c r="G28" s="12">
        <v>5</v>
      </c>
      <c r="H28" s="8">
        <v>4.9000000000000004</v>
      </c>
      <c r="I28" s="12">
        <v>0</v>
      </c>
    </row>
    <row r="29" spans="2:9" ht="15" customHeight="1" x14ac:dyDescent="0.2">
      <c r="B29" t="s">
        <v>116</v>
      </c>
      <c r="C29" s="12">
        <v>13</v>
      </c>
      <c r="D29" s="8">
        <v>4.3600000000000003</v>
      </c>
      <c r="E29" s="12">
        <v>11</v>
      </c>
      <c r="F29" s="8">
        <v>5.67</v>
      </c>
      <c r="G29" s="12">
        <v>2</v>
      </c>
      <c r="H29" s="8">
        <v>1.96</v>
      </c>
      <c r="I29" s="12">
        <v>0</v>
      </c>
    </row>
    <row r="30" spans="2:9" ht="15" customHeight="1" x14ac:dyDescent="0.2">
      <c r="B30" t="s">
        <v>110</v>
      </c>
      <c r="C30" s="12">
        <v>10</v>
      </c>
      <c r="D30" s="8">
        <v>3.36</v>
      </c>
      <c r="E30" s="12">
        <v>5</v>
      </c>
      <c r="F30" s="8">
        <v>2.58</v>
      </c>
      <c r="G30" s="12">
        <v>5</v>
      </c>
      <c r="H30" s="8">
        <v>4.9000000000000004</v>
      </c>
      <c r="I30" s="12">
        <v>0</v>
      </c>
    </row>
    <row r="31" spans="2:9" ht="15" customHeight="1" x14ac:dyDescent="0.2">
      <c r="B31" t="s">
        <v>112</v>
      </c>
      <c r="C31" s="12">
        <v>9</v>
      </c>
      <c r="D31" s="8">
        <v>3.02</v>
      </c>
      <c r="E31" s="12">
        <v>6</v>
      </c>
      <c r="F31" s="8">
        <v>3.09</v>
      </c>
      <c r="G31" s="12">
        <v>3</v>
      </c>
      <c r="H31" s="8">
        <v>2.94</v>
      </c>
      <c r="I31" s="12">
        <v>0</v>
      </c>
    </row>
    <row r="32" spans="2:9" ht="15" customHeight="1" x14ac:dyDescent="0.2">
      <c r="B32" t="s">
        <v>113</v>
      </c>
      <c r="C32" s="12">
        <v>9</v>
      </c>
      <c r="D32" s="8">
        <v>3.02</v>
      </c>
      <c r="E32" s="12">
        <v>4</v>
      </c>
      <c r="F32" s="8">
        <v>2.06</v>
      </c>
      <c r="G32" s="12">
        <v>5</v>
      </c>
      <c r="H32" s="8">
        <v>4.9000000000000004</v>
      </c>
      <c r="I32" s="12">
        <v>0</v>
      </c>
    </row>
    <row r="33" spans="2:9" ht="15" customHeight="1" x14ac:dyDescent="0.2">
      <c r="B33" t="s">
        <v>108</v>
      </c>
      <c r="C33" s="12">
        <v>8</v>
      </c>
      <c r="D33" s="8">
        <v>2.68</v>
      </c>
      <c r="E33" s="12">
        <v>6</v>
      </c>
      <c r="F33" s="8">
        <v>3.09</v>
      </c>
      <c r="G33" s="12">
        <v>2</v>
      </c>
      <c r="H33" s="8">
        <v>1.96</v>
      </c>
      <c r="I33" s="12">
        <v>0</v>
      </c>
    </row>
    <row r="34" spans="2:9" ht="15" customHeight="1" x14ac:dyDescent="0.2">
      <c r="B34" t="s">
        <v>117</v>
      </c>
      <c r="C34" s="12">
        <v>8</v>
      </c>
      <c r="D34" s="8">
        <v>2.68</v>
      </c>
      <c r="E34" s="12">
        <v>7</v>
      </c>
      <c r="F34" s="8">
        <v>3.61</v>
      </c>
      <c r="G34" s="12">
        <v>1</v>
      </c>
      <c r="H34" s="8">
        <v>0.98</v>
      </c>
      <c r="I34" s="12">
        <v>0</v>
      </c>
    </row>
    <row r="35" spans="2:9" ht="15" customHeight="1" x14ac:dyDescent="0.2">
      <c r="B35" t="s">
        <v>105</v>
      </c>
      <c r="C35" s="12">
        <v>7</v>
      </c>
      <c r="D35" s="8">
        <v>2.35</v>
      </c>
      <c r="E35" s="12">
        <v>5</v>
      </c>
      <c r="F35" s="8">
        <v>2.58</v>
      </c>
      <c r="G35" s="12">
        <v>2</v>
      </c>
      <c r="H35" s="8">
        <v>1.96</v>
      </c>
      <c r="I35" s="12">
        <v>0</v>
      </c>
    </row>
    <row r="36" spans="2:9" ht="15" customHeight="1" x14ac:dyDescent="0.2">
      <c r="B36" t="s">
        <v>109</v>
      </c>
      <c r="C36" s="12">
        <v>7</v>
      </c>
      <c r="D36" s="8">
        <v>2.35</v>
      </c>
      <c r="E36" s="12">
        <v>6</v>
      </c>
      <c r="F36" s="8">
        <v>3.09</v>
      </c>
      <c r="G36" s="12">
        <v>1</v>
      </c>
      <c r="H36" s="8">
        <v>0.98</v>
      </c>
      <c r="I36" s="12">
        <v>0</v>
      </c>
    </row>
    <row r="37" spans="2:9" ht="15" customHeight="1" x14ac:dyDescent="0.2">
      <c r="B37" t="s">
        <v>127</v>
      </c>
      <c r="C37" s="12">
        <v>6</v>
      </c>
      <c r="D37" s="8">
        <v>2.0099999999999998</v>
      </c>
      <c r="E37" s="12">
        <v>5</v>
      </c>
      <c r="F37" s="8">
        <v>2.58</v>
      </c>
      <c r="G37" s="12">
        <v>1</v>
      </c>
      <c r="H37" s="8">
        <v>0.98</v>
      </c>
      <c r="I37" s="12">
        <v>0</v>
      </c>
    </row>
    <row r="38" spans="2:9" ht="15" customHeight="1" x14ac:dyDescent="0.2">
      <c r="B38" t="s">
        <v>130</v>
      </c>
      <c r="C38" s="12">
        <v>5</v>
      </c>
      <c r="D38" s="8">
        <v>1.68</v>
      </c>
      <c r="E38" s="12">
        <v>5</v>
      </c>
      <c r="F38" s="8">
        <v>2.58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126</v>
      </c>
      <c r="C39" s="12">
        <v>5</v>
      </c>
      <c r="D39" s="8">
        <v>1.68</v>
      </c>
      <c r="E39" s="12">
        <v>3</v>
      </c>
      <c r="F39" s="8">
        <v>1.55</v>
      </c>
      <c r="G39" s="12">
        <v>2</v>
      </c>
      <c r="H39" s="8">
        <v>1.96</v>
      </c>
      <c r="I39" s="12">
        <v>0</v>
      </c>
    </row>
    <row r="40" spans="2:9" ht="15" customHeight="1" x14ac:dyDescent="0.2">
      <c r="B40" t="s">
        <v>135</v>
      </c>
      <c r="C40" s="12">
        <v>5</v>
      </c>
      <c r="D40" s="8">
        <v>1.68</v>
      </c>
      <c r="E40" s="12">
        <v>3</v>
      </c>
      <c r="F40" s="8">
        <v>1.55</v>
      </c>
      <c r="G40" s="12">
        <v>2</v>
      </c>
      <c r="H40" s="8">
        <v>1.96</v>
      </c>
      <c r="I40" s="12">
        <v>0</v>
      </c>
    </row>
    <row r="41" spans="2:9" ht="15" customHeight="1" x14ac:dyDescent="0.2">
      <c r="B41" t="s">
        <v>133</v>
      </c>
      <c r="C41" s="12">
        <v>5</v>
      </c>
      <c r="D41" s="8">
        <v>1.68</v>
      </c>
      <c r="E41" s="12">
        <v>1</v>
      </c>
      <c r="F41" s="8">
        <v>0.52</v>
      </c>
      <c r="G41" s="12">
        <v>4</v>
      </c>
      <c r="H41" s="8">
        <v>3.92</v>
      </c>
      <c r="I41" s="12">
        <v>0</v>
      </c>
    </row>
    <row r="42" spans="2:9" ht="15" customHeight="1" x14ac:dyDescent="0.2">
      <c r="B42" t="s">
        <v>111</v>
      </c>
      <c r="C42" s="12">
        <v>5</v>
      </c>
      <c r="D42" s="8">
        <v>1.68</v>
      </c>
      <c r="E42" s="12">
        <v>1</v>
      </c>
      <c r="F42" s="8">
        <v>0.52</v>
      </c>
      <c r="G42" s="12">
        <v>4</v>
      </c>
      <c r="H42" s="8">
        <v>3.92</v>
      </c>
      <c r="I42" s="12">
        <v>0</v>
      </c>
    </row>
    <row r="43" spans="2:9" ht="15" customHeight="1" x14ac:dyDescent="0.2">
      <c r="B43" t="s">
        <v>118</v>
      </c>
      <c r="C43" s="12">
        <v>4</v>
      </c>
      <c r="D43" s="8">
        <v>1.34</v>
      </c>
      <c r="E43" s="12">
        <v>4</v>
      </c>
      <c r="F43" s="8">
        <v>2.06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120</v>
      </c>
      <c r="C44" s="12">
        <v>4</v>
      </c>
      <c r="D44" s="8">
        <v>1.34</v>
      </c>
      <c r="E44" s="12">
        <v>4</v>
      </c>
      <c r="F44" s="8">
        <v>2.06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365</v>
      </c>
      <c r="C47" s="10" t="s">
        <v>94</v>
      </c>
      <c r="D47" s="10" t="s">
        <v>95</v>
      </c>
      <c r="E47" s="10" t="s">
        <v>96</v>
      </c>
      <c r="F47" s="10" t="s">
        <v>97</v>
      </c>
      <c r="G47" s="10" t="s">
        <v>98</v>
      </c>
      <c r="H47" s="10" t="s">
        <v>99</v>
      </c>
      <c r="I47" s="10" t="s">
        <v>100</v>
      </c>
    </row>
    <row r="48" spans="2:9" ht="15" customHeight="1" x14ac:dyDescent="0.2">
      <c r="B48" t="s">
        <v>185</v>
      </c>
      <c r="C48" s="12">
        <v>53</v>
      </c>
      <c r="D48" s="8">
        <v>17.79</v>
      </c>
      <c r="E48" s="12">
        <v>47</v>
      </c>
      <c r="F48" s="8">
        <v>24.23</v>
      </c>
      <c r="G48" s="12">
        <v>6</v>
      </c>
      <c r="H48" s="8">
        <v>5.88</v>
      </c>
      <c r="I48" s="12">
        <v>0</v>
      </c>
    </row>
    <row r="49" spans="2:9" ht="15" customHeight="1" x14ac:dyDescent="0.2">
      <c r="B49" t="s">
        <v>174</v>
      </c>
      <c r="C49" s="12">
        <v>15</v>
      </c>
      <c r="D49" s="8">
        <v>5.03</v>
      </c>
      <c r="E49" s="12">
        <v>8</v>
      </c>
      <c r="F49" s="8">
        <v>4.12</v>
      </c>
      <c r="G49" s="12">
        <v>7</v>
      </c>
      <c r="H49" s="8">
        <v>6.86</v>
      </c>
      <c r="I49" s="12">
        <v>0</v>
      </c>
    </row>
    <row r="50" spans="2:9" ht="15" customHeight="1" x14ac:dyDescent="0.2">
      <c r="B50" t="s">
        <v>175</v>
      </c>
      <c r="C50" s="12">
        <v>8</v>
      </c>
      <c r="D50" s="8">
        <v>2.68</v>
      </c>
      <c r="E50" s="12">
        <v>3</v>
      </c>
      <c r="F50" s="8">
        <v>1.55</v>
      </c>
      <c r="G50" s="12">
        <v>5</v>
      </c>
      <c r="H50" s="8">
        <v>4.9000000000000004</v>
      </c>
      <c r="I50" s="12">
        <v>0</v>
      </c>
    </row>
    <row r="51" spans="2:9" ht="15" customHeight="1" x14ac:dyDescent="0.2">
      <c r="B51" t="s">
        <v>177</v>
      </c>
      <c r="C51" s="12">
        <v>8</v>
      </c>
      <c r="D51" s="8">
        <v>2.68</v>
      </c>
      <c r="E51" s="12">
        <v>5</v>
      </c>
      <c r="F51" s="8">
        <v>2.58</v>
      </c>
      <c r="G51" s="12">
        <v>3</v>
      </c>
      <c r="H51" s="8">
        <v>2.94</v>
      </c>
      <c r="I51" s="12">
        <v>0</v>
      </c>
    </row>
    <row r="52" spans="2:9" ht="15" customHeight="1" x14ac:dyDescent="0.2">
      <c r="B52" t="s">
        <v>198</v>
      </c>
      <c r="C52" s="12">
        <v>8</v>
      </c>
      <c r="D52" s="8">
        <v>2.68</v>
      </c>
      <c r="E52" s="12">
        <v>8</v>
      </c>
      <c r="F52" s="8">
        <v>4.12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176</v>
      </c>
      <c r="C53" s="12">
        <v>7</v>
      </c>
      <c r="D53" s="8">
        <v>2.35</v>
      </c>
      <c r="E53" s="12">
        <v>5</v>
      </c>
      <c r="F53" s="8">
        <v>2.58</v>
      </c>
      <c r="G53" s="12">
        <v>2</v>
      </c>
      <c r="H53" s="8">
        <v>1.96</v>
      </c>
      <c r="I53" s="12">
        <v>0</v>
      </c>
    </row>
    <row r="54" spans="2:9" ht="15" customHeight="1" x14ac:dyDescent="0.2">
      <c r="B54" t="s">
        <v>178</v>
      </c>
      <c r="C54" s="12">
        <v>6</v>
      </c>
      <c r="D54" s="8">
        <v>2.0099999999999998</v>
      </c>
      <c r="E54" s="12">
        <v>4</v>
      </c>
      <c r="F54" s="8">
        <v>2.06</v>
      </c>
      <c r="G54" s="12">
        <v>2</v>
      </c>
      <c r="H54" s="8">
        <v>1.96</v>
      </c>
      <c r="I54" s="12">
        <v>0</v>
      </c>
    </row>
    <row r="55" spans="2:9" ht="15" customHeight="1" x14ac:dyDescent="0.2">
      <c r="B55" t="s">
        <v>191</v>
      </c>
      <c r="C55" s="12">
        <v>6</v>
      </c>
      <c r="D55" s="8">
        <v>2.0099999999999998</v>
      </c>
      <c r="E55" s="12">
        <v>5</v>
      </c>
      <c r="F55" s="8">
        <v>2.58</v>
      </c>
      <c r="G55" s="12">
        <v>1</v>
      </c>
      <c r="H55" s="8">
        <v>0.98</v>
      </c>
      <c r="I55" s="12">
        <v>0</v>
      </c>
    </row>
    <row r="56" spans="2:9" ht="15" customHeight="1" x14ac:dyDescent="0.2">
      <c r="B56" t="s">
        <v>210</v>
      </c>
      <c r="C56" s="12">
        <v>5</v>
      </c>
      <c r="D56" s="8">
        <v>1.68</v>
      </c>
      <c r="E56" s="12">
        <v>4</v>
      </c>
      <c r="F56" s="8">
        <v>2.06</v>
      </c>
      <c r="G56" s="12">
        <v>1</v>
      </c>
      <c r="H56" s="8">
        <v>0.98</v>
      </c>
      <c r="I56" s="12">
        <v>0</v>
      </c>
    </row>
    <row r="57" spans="2:9" ht="15" customHeight="1" x14ac:dyDescent="0.2">
      <c r="B57" t="s">
        <v>202</v>
      </c>
      <c r="C57" s="12">
        <v>5</v>
      </c>
      <c r="D57" s="8">
        <v>1.68</v>
      </c>
      <c r="E57" s="12">
        <v>3</v>
      </c>
      <c r="F57" s="8">
        <v>1.55</v>
      </c>
      <c r="G57" s="12">
        <v>2</v>
      </c>
      <c r="H57" s="8">
        <v>1.96</v>
      </c>
      <c r="I57" s="12">
        <v>0</v>
      </c>
    </row>
    <row r="58" spans="2:9" ht="15" customHeight="1" x14ac:dyDescent="0.2">
      <c r="B58" t="s">
        <v>180</v>
      </c>
      <c r="C58" s="12">
        <v>5</v>
      </c>
      <c r="D58" s="8">
        <v>1.68</v>
      </c>
      <c r="E58" s="12">
        <v>4</v>
      </c>
      <c r="F58" s="8">
        <v>2.06</v>
      </c>
      <c r="G58" s="12">
        <v>1</v>
      </c>
      <c r="H58" s="8">
        <v>0.98</v>
      </c>
      <c r="I58" s="12">
        <v>0</v>
      </c>
    </row>
    <row r="59" spans="2:9" ht="15" customHeight="1" x14ac:dyDescent="0.2">
      <c r="B59" t="s">
        <v>242</v>
      </c>
      <c r="C59" s="12">
        <v>5</v>
      </c>
      <c r="D59" s="8">
        <v>1.68</v>
      </c>
      <c r="E59" s="12">
        <v>1</v>
      </c>
      <c r="F59" s="8">
        <v>0.52</v>
      </c>
      <c r="G59" s="12">
        <v>4</v>
      </c>
      <c r="H59" s="8">
        <v>3.92</v>
      </c>
      <c r="I59" s="12">
        <v>0</v>
      </c>
    </row>
    <row r="60" spans="2:9" ht="15" customHeight="1" x14ac:dyDescent="0.2">
      <c r="B60" t="s">
        <v>184</v>
      </c>
      <c r="C60" s="12">
        <v>5</v>
      </c>
      <c r="D60" s="8">
        <v>1.68</v>
      </c>
      <c r="E60" s="12">
        <v>2</v>
      </c>
      <c r="F60" s="8">
        <v>1.03</v>
      </c>
      <c r="G60" s="12">
        <v>3</v>
      </c>
      <c r="H60" s="8">
        <v>2.94</v>
      </c>
      <c r="I60" s="12">
        <v>0</v>
      </c>
    </row>
    <row r="61" spans="2:9" ht="15" customHeight="1" x14ac:dyDescent="0.2">
      <c r="B61" t="s">
        <v>247</v>
      </c>
      <c r="C61" s="12">
        <v>5</v>
      </c>
      <c r="D61" s="8">
        <v>1.68</v>
      </c>
      <c r="E61" s="12">
        <v>4</v>
      </c>
      <c r="F61" s="8">
        <v>2.06</v>
      </c>
      <c r="G61" s="12">
        <v>1</v>
      </c>
      <c r="H61" s="8">
        <v>0.98</v>
      </c>
      <c r="I61" s="12">
        <v>0</v>
      </c>
    </row>
    <row r="62" spans="2:9" ht="15" customHeight="1" x14ac:dyDescent="0.2">
      <c r="B62" t="s">
        <v>201</v>
      </c>
      <c r="C62" s="12">
        <v>4</v>
      </c>
      <c r="D62" s="8">
        <v>1.34</v>
      </c>
      <c r="E62" s="12">
        <v>3</v>
      </c>
      <c r="F62" s="8">
        <v>1.55</v>
      </c>
      <c r="G62" s="12">
        <v>1</v>
      </c>
      <c r="H62" s="8">
        <v>0.98</v>
      </c>
      <c r="I62" s="12">
        <v>0</v>
      </c>
    </row>
    <row r="63" spans="2:9" ht="15" customHeight="1" x14ac:dyDescent="0.2">
      <c r="B63" t="s">
        <v>197</v>
      </c>
      <c r="C63" s="12">
        <v>4</v>
      </c>
      <c r="D63" s="8">
        <v>1.34</v>
      </c>
      <c r="E63" s="12">
        <v>3</v>
      </c>
      <c r="F63" s="8">
        <v>1.55</v>
      </c>
      <c r="G63" s="12">
        <v>1</v>
      </c>
      <c r="H63" s="8">
        <v>0.98</v>
      </c>
      <c r="I63" s="12">
        <v>0</v>
      </c>
    </row>
    <row r="64" spans="2:9" ht="15" customHeight="1" x14ac:dyDescent="0.2">
      <c r="B64" t="s">
        <v>220</v>
      </c>
      <c r="C64" s="12">
        <v>4</v>
      </c>
      <c r="D64" s="8">
        <v>1.34</v>
      </c>
      <c r="E64" s="12">
        <v>4</v>
      </c>
      <c r="F64" s="8">
        <v>2.06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190</v>
      </c>
      <c r="C65" s="12">
        <v>4</v>
      </c>
      <c r="D65" s="8">
        <v>1.34</v>
      </c>
      <c r="E65" s="12">
        <v>4</v>
      </c>
      <c r="F65" s="8">
        <v>2.06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192</v>
      </c>
      <c r="C66" s="12">
        <v>4</v>
      </c>
      <c r="D66" s="8">
        <v>1.34</v>
      </c>
      <c r="E66" s="12">
        <v>4</v>
      </c>
      <c r="F66" s="8">
        <v>2.06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200</v>
      </c>
      <c r="C67" s="12">
        <v>4</v>
      </c>
      <c r="D67" s="8">
        <v>1.34</v>
      </c>
      <c r="E67" s="12">
        <v>4</v>
      </c>
      <c r="F67" s="8">
        <v>2.06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FA8BA-10A4-44D2-8475-3E3A17277C43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400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1</v>
      </c>
      <c r="D5" s="8">
        <v>0.18</v>
      </c>
      <c r="E5" s="12">
        <v>0</v>
      </c>
      <c r="F5" s="8">
        <v>0</v>
      </c>
      <c r="G5" s="12">
        <v>1</v>
      </c>
      <c r="H5" s="8">
        <v>0.41</v>
      </c>
      <c r="I5" s="12">
        <v>0</v>
      </c>
    </row>
    <row r="6" spans="2:9" ht="15" customHeight="1" x14ac:dyDescent="0.2">
      <c r="B6" t="s">
        <v>79</v>
      </c>
      <c r="C6" s="12">
        <v>90</v>
      </c>
      <c r="D6" s="8">
        <v>15.82</v>
      </c>
      <c r="E6" s="12">
        <v>43</v>
      </c>
      <c r="F6" s="8">
        <v>13.23</v>
      </c>
      <c r="G6" s="12">
        <v>47</v>
      </c>
      <c r="H6" s="8">
        <v>19.420000000000002</v>
      </c>
      <c r="I6" s="12">
        <v>0</v>
      </c>
    </row>
    <row r="7" spans="2:9" ht="15" customHeight="1" x14ac:dyDescent="0.2">
      <c r="B7" t="s">
        <v>80</v>
      </c>
      <c r="C7" s="12">
        <v>104</v>
      </c>
      <c r="D7" s="8">
        <v>18.28</v>
      </c>
      <c r="E7" s="12">
        <v>46</v>
      </c>
      <c r="F7" s="8">
        <v>14.15</v>
      </c>
      <c r="G7" s="12">
        <v>58</v>
      </c>
      <c r="H7" s="8">
        <v>23.97</v>
      </c>
      <c r="I7" s="12">
        <v>0</v>
      </c>
    </row>
    <row r="8" spans="2:9" ht="15" customHeight="1" x14ac:dyDescent="0.2">
      <c r="B8" t="s">
        <v>81</v>
      </c>
      <c r="C8" s="12">
        <v>2</v>
      </c>
      <c r="D8" s="8">
        <v>0.35</v>
      </c>
      <c r="E8" s="12">
        <v>0</v>
      </c>
      <c r="F8" s="8">
        <v>0</v>
      </c>
      <c r="G8" s="12">
        <v>2</v>
      </c>
      <c r="H8" s="8">
        <v>0.83</v>
      </c>
      <c r="I8" s="12">
        <v>0</v>
      </c>
    </row>
    <row r="9" spans="2:9" ht="15" customHeight="1" x14ac:dyDescent="0.2">
      <c r="B9" t="s">
        <v>82</v>
      </c>
      <c r="C9" s="12">
        <v>5</v>
      </c>
      <c r="D9" s="8">
        <v>0.88</v>
      </c>
      <c r="E9" s="12">
        <v>1</v>
      </c>
      <c r="F9" s="8">
        <v>0.31</v>
      </c>
      <c r="G9" s="12">
        <v>4</v>
      </c>
      <c r="H9" s="8">
        <v>1.65</v>
      </c>
      <c r="I9" s="12">
        <v>0</v>
      </c>
    </row>
    <row r="10" spans="2:9" ht="15" customHeight="1" x14ac:dyDescent="0.2">
      <c r="B10" t="s">
        <v>83</v>
      </c>
      <c r="C10" s="12">
        <v>5</v>
      </c>
      <c r="D10" s="8">
        <v>0.88</v>
      </c>
      <c r="E10" s="12">
        <v>3</v>
      </c>
      <c r="F10" s="8">
        <v>0.92</v>
      </c>
      <c r="G10" s="12">
        <v>2</v>
      </c>
      <c r="H10" s="8">
        <v>0.83</v>
      </c>
      <c r="I10" s="12">
        <v>0</v>
      </c>
    </row>
    <row r="11" spans="2:9" ht="15" customHeight="1" x14ac:dyDescent="0.2">
      <c r="B11" t="s">
        <v>84</v>
      </c>
      <c r="C11" s="12">
        <v>125</v>
      </c>
      <c r="D11" s="8">
        <v>21.97</v>
      </c>
      <c r="E11" s="12">
        <v>56</v>
      </c>
      <c r="F11" s="8">
        <v>17.23</v>
      </c>
      <c r="G11" s="12">
        <v>69</v>
      </c>
      <c r="H11" s="8">
        <v>28.51</v>
      </c>
      <c r="I11" s="12">
        <v>0</v>
      </c>
    </row>
    <row r="12" spans="2:9" ht="15" customHeight="1" x14ac:dyDescent="0.2">
      <c r="B12" t="s">
        <v>85</v>
      </c>
      <c r="C12" s="12">
        <v>5</v>
      </c>
      <c r="D12" s="8">
        <v>0.88</v>
      </c>
      <c r="E12" s="12">
        <v>3</v>
      </c>
      <c r="F12" s="8">
        <v>0.92</v>
      </c>
      <c r="G12" s="12">
        <v>2</v>
      </c>
      <c r="H12" s="8">
        <v>0.83</v>
      </c>
      <c r="I12" s="12">
        <v>0</v>
      </c>
    </row>
    <row r="13" spans="2:9" ht="15" customHeight="1" x14ac:dyDescent="0.2">
      <c r="B13" t="s">
        <v>86</v>
      </c>
      <c r="C13" s="12">
        <v>30</v>
      </c>
      <c r="D13" s="8">
        <v>5.27</v>
      </c>
      <c r="E13" s="12">
        <v>21</v>
      </c>
      <c r="F13" s="8">
        <v>6.46</v>
      </c>
      <c r="G13" s="12">
        <v>9</v>
      </c>
      <c r="H13" s="8">
        <v>3.72</v>
      </c>
      <c r="I13" s="12">
        <v>0</v>
      </c>
    </row>
    <row r="14" spans="2:9" ht="15" customHeight="1" x14ac:dyDescent="0.2">
      <c r="B14" t="s">
        <v>87</v>
      </c>
      <c r="C14" s="12">
        <v>28</v>
      </c>
      <c r="D14" s="8">
        <v>4.92</v>
      </c>
      <c r="E14" s="12">
        <v>12</v>
      </c>
      <c r="F14" s="8">
        <v>3.69</v>
      </c>
      <c r="G14" s="12">
        <v>16</v>
      </c>
      <c r="H14" s="8">
        <v>6.61</v>
      </c>
      <c r="I14" s="12">
        <v>0</v>
      </c>
    </row>
    <row r="15" spans="2:9" ht="15" customHeight="1" x14ac:dyDescent="0.2">
      <c r="B15" t="s">
        <v>88</v>
      </c>
      <c r="C15" s="12">
        <v>61</v>
      </c>
      <c r="D15" s="8">
        <v>10.72</v>
      </c>
      <c r="E15" s="12">
        <v>52</v>
      </c>
      <c r="F15" s="8">
        <v>16</v>
      </c>
      <c r="G15" s="12">
        <v>9</v>
      </c>
      <c r="H15" s="8">
        <v>3.72</v>
      </c>
      <c r="I15" s="12">
        <v>0</v>
      </c>
    </row>
    <row r="16" spans="2:9" ht="15" customHeight="1" x14ac:dyDescent="0.2">
      <c r="B16" t="s">
        <v>89</v>
      </c>
      <c r="C16" s="12">
        <v>57</v>
      </c>
      <c r="D16" s="8">
        <v>10.02</v>
      </c>
      <c r="E16" s="12">
        <v>48</v>
      </c>
      <c r="F16" s="8">
        <v>14.77</v>
      </c>
      <c r="G16" s="12">
        <v>9</v>
      </c>
      <c r="H16" s="8">
        <v>3.72</v>
      </c>
      <c r="I16" s="12">
        <v>0</v>
      </c>
    </row>
    <row r="17" spans="2:9" ht="15" customHeight="1" x14ac:dyDescent="0.2">
      <c r="B17" t="s">
        <v>90</v>
      </c>
      <c r="C17" s="12">
        <v>20</v>
      </c>
      <c r="D17" s="8">
        <v>3.51</v>
      </c>
      <c r="E17" s="12">
        <v>16</v>
      </c>
      <c r="F17" s="8">
        <v>4.92</v>
      </c>
      <c r="G17" s="12">
        <v>3</v>
      </c>
      <c r="H17" s="8">
        <v>1.24</v>
      </c>
      <c r="I17" s="12">
        <v>0</v>
      </c>
    </row>
    <row r="18" spans="2:9" ht="15" customHeight="1" x14ac:dyDescent="0.2">
      <c r="B18" t="s">
        <v>91</v>
      </c>
      <c r="C18" s="12">
        <v>20</v>
      </c>
      <c r="D18" s="8">
        <v>3.51</v>
      </c>
      <c r="E18" s="12">
        <v>18</v>
      </c>
      <c r="F18" s="8">
        <v>5.54</v>
      </c>
      <c r="G18" s="12">
        <v>2</v>
      </c>
      <c r="H18" s="8">
        <v>0.83</v>
      </c>
      <c r="I18" s="12">
        <v>0</v>
      </c>
    </row>
    <row r="19" spans="2:9" ht="15" customHeight="1" x14ac:dyDescent="0.2">
      <c r="B19" t="s">
        <v>92</v>
      </c>
      <c r="C19" s="12">
        <v>16</v>
      </c>
      <c r="D19" s="8">
        <v>2.81</v>
      </c>
      <c r="E19" s="12">
        <v>6</v>
      </c>
      <c r="F19" s="8">
        <v>1.85</v>
      </c>
      <c r="G19" s="12">
        <v>9</v>
      </c>
      <c r="H19" s="8">
        <v>3.72</v>
      </c>
      <c r="I19" s="12">
        <v>0</v>
      </c>
    </row>
    <row r="20" spans="2:9" ht="15" customHeight="1" x14ac:dyDescent="0.2">
      <c r="B20" s="9" t="s">
        <v>363</v>
      </c>
      <c r="C20" s="12">
        <f>SUM(LTBL_20382[総数／事業所数])</f>
        <v>569</v>
      </c>
      <c r="E20" s="12">
        <f>SUBTOTAL(109,LTBL_20382[個人／事業所数])</f>
        <v>325</v>
      </c>
      <c r="G20" s="12">
        <f>SUBTOTAL(109,LTBL_20382[法人／事業所数])</f>
        <v>242</v>
      </c>
      <c r="I20" s="12">
        <f>SUBTOTAL(109,LTBL_20382[法人以外の団体／事業所数])</f>
        <v>0</v>
      </c>
    </row>
    <row r="21" spans="2:9" ht="15" customHeight="1" x14ac:dyDescent="0.2">
      <c r="E21" s="11">
        <f>LTBL_20382[[#Totals],[個人／事業所数]]/LTBL_20382[[#Totals],[総数／事業所数]]</f>
        <v>0.5711775043936731</v>
      </c>
      <c r="G21" s="11">
        <f>LTBL_20382[[#Totals],[法人／事業所数]]/LTBL_20382[[#Totals],[総数／事業所数]]</f>
        <v>0.42530755711775042</v>
      </c>
      <c r="I21" s="11">
        <f>LTBL_20382[[#Totals],[法人以外の団体／事業所数]]/LTBL_20382[[#Totals],[総数／事業所数]]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54</v>
      </c>
      <c r="D24" s="8">
        <v>9.49</v>
      </c>
      <c r="E24" s="12">
        <v>51</v>
      </c>
      <c r="F24" s="8">
        <v>15.69</v>
      </c>
      <c r="G24" s="12">
        <v>3</v>
      </c>
      <c r="H24" s="8">
        <v>1.24</v>
      </c>
      <c r="I24" s="12">
        <v>0</v>
      </c>
    </row>
    <row r="25" spans="2:9" ht="15" customHeight="1" x14ac:dyDescent="0.2">
      <c r="B25" t="s">
        <v>116</v>
      </c>
      <c r="C25" s="12">
        <v>54</v>
      </c>
      <c r="D25" s="8">
        <v>9.49</v>
      </c>
      <c r="E25" s="12">
        <v>47</v>
      </c>
      <c r="F25" s="8">
        <v>14.46</v>
      </c>
      <c r="G25" s="12">
        <v>7</v>
      </c>
      <c r="H25" s="8">
        <v>2.89</v>
      </c>
      <c r="I25" s="12">
        <v>0</v>
      </c>
    </row>
    <row r="26" spans="2:9" ht="15" customHeight="1" x14ac:dyDescent="0.2">
      <c r="B26" t="s">
        <v>110</v>
      </c>
      <c r="C26" s="12">
        <v>46</v>
      </c>
      <c r="D26" s="8">
        <v>8.08</v>
      </c>
      <c r="E26" s="12">
        <v>26</v>
      </c>
      <c r="F26" s="8">
        <v>8</v>
      </c>
      <c r="G26" s="12">
        <v>20</v>
      </c>
      <c r="H26" s="8">
        <v>8.26</v>
      </c>
      <c r="I26" s="12">
        <v>0</v>
      </c>
    </row>
    <row r="27" spans="2:9" ht="15" customHeight="1" x14ac:dyDescent="0.2">
      <c r="B27" t="s">
        <v>101</v>
      </c>
      <c r="C27" s="12">
        <v>43</v>
      </c>
      <c r="D27" s="8">
        <v>7.56</v>
      </c>
      <c r="E27" s="12">
        <v>13</v>
      </c>
      <c r="F27" s="8">
        <v>4</v>
      </c>
      <c r="G27" s="12">
        <v>30</v>
      </c>
      <c r="H27" s="8">
        <v>12.4</v>
      </c>
      <c r="I27" s="12">
        <v>0</v>
      </c>
    </row>
    <row r="28" spans="2:9" ht="15" customHeight="1" x14ac:dyDescent="0.2">
      <c r="B28" t="s">
        <v>108</v>
      </c>
      <c r="C28" s="12">
        <v>27</v>
      </c>
      <c r="D28" s="8">
        <v>4.75</v>
      </c>
      <c r="E28" s="12">
        <v>12</v>
      </c>
      <c r="F28" s="8">
        <v>3.69</v>
      </c>
      <c r="G28" s="12">
        <v>15</v>
      </c>
      <c r="H28" s="8">
        <v>6.2</v>
      </c>
      <c r="I28" s="12">
        <v>0</v>
      </c>
    </row>
    <row r="29" spans="2:9" ht="15" customHeight="1" x14ac:dyDescent="0.2">
      <c r="B29" t="s">
        <v>111</v>
      </c>
      <c r="C29" s="12">
        <v>27</v>
      </c>
      <c r="D29" s="8">
        <v>4.75</v>
      </c>
      <c r="E29" s="12">
        <v>19</v>
      </c>
      <c r="F29" s="8">
        <v>5.85</v>
      </c>
      <c r="G29" s="12">
        <v>8</v>
      </c>
      <c r="H29" s="8">
        <v>3.31</v>
      </c>
      <c r="I29" s="12">
        <v>0</v>
      </c>
    </row>
    <row r="30" spans="2:9" ht="15" customHeight="1" x14ac:dyDescent="0.2">
      <c r="B30" t="s">
        <v>102</v>
      </c>
      <c r="C30" s="12">
        <v>24</v>
      </c>
      <c r="D30" s="8">
        <v>4.22</v>
      </c>
      <c r="E30" s="12">
        <v>17</v>
      </c>
      <c r="F30" s="8">
        <v>5.23</v>
      </c>
      <c r="G30" s="12">
        <v>7</v>
      </c>
      <c r="H30" s="8">
        <v>2.89</v>
      </c>
      <c r="I30" s="12">
        <v>0</v>
      </c>
    </row>
    <row r="31" spans="2:9" ht="15" customHeight="1" x14ac:dyDescent="0.2">
      <c r="B31" t="s">
        <v>103</v>
      </c>
      <c r="C31" s="12">
        <v>23</v>
      </c>
      <c r="D31" s="8">
        <v>4.04</v>
      </c>
      <c r="E31" s="12">
        <v>13</v>
      </c>
      <c r="F31" s="8">
        <v>4</v>
      </c>
      <c r="G31" s="12">
        <v>10</v>
      </c>
      <c r="H31" s="8">
        <v>4.13</v>
      </c>
      <c r="I31" s="12">
        <v>0</v>
      </c>
    </row>
    <row r="32" spans="2:9" ht="15" customHeight="1" x14ac:dyDescent="0.2">
      <c r="B32" t="s">
        <v>105</v>
      </c>
      <c r="C32" s="12">
        <v>22</v>
      </c>
      <c r="D32" s="8">
        <v>3.87</v>
      </c>
      <c r="E32" s="12">
        <v>8</v>
      </c>
      <c r="F32" s="8">
        <v>2.46</v>
      </c>
      <c r="G32" s="12">
        <v>14</v>
      </c>
      <c r="H32" s="8">
        <v>5.79</v>
      </c>
      <c r="I32" s="12">
        <v>0</v>
      </c>
    </row>
    <row r="33" spans="2:9" ht="15" customHeight="1" x14ac:dyDescent="0.2">
      <c r="B33" t="s">
        <v>117</v>
      </c>
      <c r="C33" s="12">
        <v>20</v>
      </c>
      <c r="D33" s="8">
        <v>3.51</v>
      </c>
      <c r="E33" s="12">
        <v>16</v>
      </c>
      <c r="F33" s="8">
        <v>4.92</v>
      </c>
      <c r="G33" s="12">
        <v>3</v>
      </c>
      <c r="H33" s="8">
        <v>1.24</v>
      </c>
      <c r="I33" s="12">
        <v>0</v>
      </c>
    </row>
    <row r="34" spans="2:9" ht="15" customHeight="1" x14ac:dyDescent="0.2">
      <c r="B34" t="s">
        <v>118</v>
      </c>
      <c r="C34" s="12">
        <v>18</v>
      </c>
      <c r="D34" s="8">
        <v>3.16</v>
      </c>
      <c r="E34" s="12">
        <v>18</v>
      </c>
      <c r="F34" s="8">
        <v>5.54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152</v>
      </c>
      <c r="C35" s="12">
        <v>16</v>
      </c>
      <c r="D35" s="8">
        <v>2.81</v>
      </c>
      <c r="E35" s="12">
        <v>7</v>
      </c>
      <c r="F35" s="8">
        <v>2.15</v>
      </c>
      <c r="G35" s="12">
        <v>9</v>
      </c>
      <c r="H35" s="8">
        <v>3.72</v>
      </c>
      <c r="I35" s="12">
        <v>0</v>
      </c>
    </row>
    <row r="36" spans="2:9" ht="15" customHeight="1" x14ac:dyDescent="0.2">
      <c r="B36" t="s">
        <v>113</v>
      </c>
      <c r="C36" s="12">
        <v>14</v>
      </c>
      <c r="D36" s="8">
        <v>2.46</v>
      </c>
      <c r="E36" s="12">
        <v>4</v>
      </c>
      <c r="F36" s="8">
        <v>1.23</v>
      </c>
      <c r="G36" s="12">
        <v>10</v>
      </c>
      <c r="H36" s="8">
        <v>4.13</v>
      </c>
      <c r="I36" s="12">
        <v>0</v>
      </c>
    </row>
    <row r="37" spans="2:9" ht="15" customHeight="1" x14ac:dyDescent="0.2">
      <c r="B37" t="s">
        <v>107</v>
      </c>
      <c r="C37" s="12">
        <v>13</v>
      </c>
      <c r="D37" s="8">
        <v>2.2799999999999998</v>
      </c>
      <c r="E37" s="12">
        <v>6</v>
      </c>
      <c r="F37" s="8">
        <v>1.85</v>
      </c>
      <c r="G37" s="12">
        <v>7</v>
      </c>
      <c r="H37" s="8">
        <v>2.89</v>
      </c>
      <c r="I37" s="12">
        <v>0</v>
      </c>
    </row>
    <row r="38" spans="2:9" ht="15" customHeight="1" x14ac:dyDescent="0.2">
      <c r="B38" t="s">
        <v>112</v>
      </c>
      <c r="C38" s="12">
        <v>12</v>
      </c>
      <c r="D38" s="8">
        <v>2.11</v>
      </c>
      <c r="E38" s="12">
        <v>8</v>
      </c>
      <c r="F38" s="8">
        <v>2.46</v>
      </c>
      <c r="G38" s="12">
        <v>4</v>
      </c>
      <c r="H38" s="8">
        <v>1.65</v>
      </c>
      <c r="I38" s="12">
        <v>0</v>
      </c>
    </row>
    <row r="39" spans="2:9" ht="15" customHeight="1" x14ac:dyDescent="0.2">
      <c r="B39" t="s">
        <v>104</v>
      </c>
      <c r="C39" s="12">
        <v>11</v>
      </c>
      <c r="D39" s="8">
        <v>1.93</v>
      </c>
      <c r="E39" s="12">
        <v>5</v>
      </c>
      <c r="F39" s="8">
        <v>1.54</v>
      </c>
      <c r="G39" s="12">
        <v>6</v>
      </c>
      <c r="H39" s="8">
        <v>2.48</v>
      </c>
      <c r="I39" s="12">
        <v>0</v>
      </c>
    </row>
    <row r="40" spans="2:9" ht="15" customHeight="1" x14ac:dyDescent="0.2">
      <c r="B40" t="s">
        <v>109</v>
      </c>
      <c r="C40" s="12">
        <v>10</v>
      </c>
      <c r="D40" s="8">
        <v>1.76</v>
      </c>
      <c r="E40" s="12">
        <v>4</v>
      </c>
      <c r="F40" s="8">
        <v>1.23</v>
      </c>
      <c r="G40" s="12">
        <v>6</v>
      </c>
      <c r="H40" s="8">
        <v>2.48</v>
      </c>
      <c r="I40" s="12">
        <v>0</v>
      </c>
    </row>
    <row r="41" spans="2:9" ht="15" customHeight="1" x14ac:dyDescent="0.2">
      <c r="B41" t="s">
        <v>160</v>
      </c>
      <c r="C41" s="12">
        <v>9</v>
      </c>
      <c r="D41" s="8">
        <v>1.58</v>
      </c>
      <c r="E41" s="12">
        <v>3</v>
      </c>
      <c r="F41" s="8">
        <v>0.92</v>
      </c>
      <c r="G41" s="12">
        <v>6</v>
      </c>
      <c r="H41" s="8">
        <v>2.48</v>
      </c>
      <c r="I41" s="12">
        <v>0</v>
      </c>
    </row>
    <row r="42" spans="2:9" ht="15" customHeight="1" x14ac:dyDescent="0.2">
      <c r="B42" t="s">
        <v>136</v>
      </c>
      <c r="C42" s="12">
        <v>9</v>
      </c>
      <c r="D42" s="8">
        <v>1.58</v>
      </c>
      <c r="E42" s="12">
        <v>5</v>
      </c>
      <c r="F42" s="8">
        <v>1.54</v>
      </c>
      <c r="G42" s="12">
        <v>4</v>
      </c>
      <c r="H42" s="8">
        <v>1.65</v>
      </c>
      <c r="I42" s="12">
        <v>0</v>
      </c>
    </row>
    <row r="43" spans="2:9" ht="15" customHeight="1" x14ac:dyDescent="0.2">
      <c r="B43" t="s">
        <v>122</v>
      </c>
      <c r="C43" s="12">
        <v>8</v>
      </c>
      <c r="D43" s="8">
        <v>1.41</v>
      </c>
      <c r="E43" s="12">
        <v>1</v>
      </c>
      <c r="F43" s="8">
        <v>0.31</v>
      </c>
      <c r="G43" s="12">
        <v>7</v>
      </c>
      <c r="H43" s="8">
        <v>2.89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191</v>
      </c>
      <c r="C47" s="12">
        <v>33</v>
      </c>
      <c r="D47" s="8">
        <v>5.8</v>
      </c>
      <c r="E47" s="12">
        <v>29</v>
      </c>
      <c r="F47" s="8">
        <v>8.92</v>
      </c>
      <c r="G47" s="12">
        <v>4</v>
      </c>
      <c r="H47" s="8">
        <v>1.65</v>
      </c>
      <c r="I47" s="12">
        <v>0</v>
      </c>
    </row>
    <row r="48" spans="2:9" ht="15" customHeight="1" x14ac:dyDescent="0.2">
      <c r="B48" t="s">
        <v>183</v>
      </c>
      <c r="C48" s="12">
        <v>20</v>
      </c>
      <c r="D48" s="8">
        <v>3.51</v>
      </c>
      <c r="E48" s="12">
        <v>14</v>
      </c>
      <c r="F48" s="8">
        <v>4.3099999999999996</v>
      </c>
      <c r="G48" s="12">
        <v>6</v>
      </c>
      <c r="H48" s="8">
        <v>2.48</v>
      </c>
      <c r="I48" s="12">
        <v>0</v>
      </c>
    </row>
    <row r="49" spans="2:9" ht="15" customHeight="1" x14ac:dyDescent="0.2">
      <c r="B49" t="s">
        <v>174</v>
      </c>
      <c r="C49" s="12">
        <v>14</v>
      </c>
      <c r="D49" s="8">
        <v>2.46</v>
      </c>
      <c r="E49" s="12">
        <v>3</v>
      </c>
      <c r="F49" s="8">
        <v>0.92</v>
      </c>
      <c r="G49" s="12">
        <v>11</v>
      </c>
      <c r="H49" s="8">
        <v>4.55</v>
      </c>
      <c r="I49" s="12">
        <v>0</v>
      </c>
    </row>
    <row r="50" spans="2:9" ht="15" customHeight="1" x14ac:dyDescent="0.2">
      <c r="B50" t="s">
        <v>175</v>
      </c>
      <c r="C50" s="12">
        <v>14</v>
      </c>
      <c r="D50" s="8">
        <v>2.46</v>
      </c>
      <c r="E50" s="12">
        <v>4</v>
      </c>
      <c r="F50" s="8">
        <v>1.23</v>
      </c>
      <c r="G50" s="12">
        <v>10</v>
      </c>
      <c r="H50" s="8">
        <v>4.13</v>
      </c>
      <c r="I50" s="12">
        <v>0</v>
      </c>
    </row>
    <row r="51" spans="2:9" ht="15" customHeight="1" x14ac:dyDescent="0.2">
      <c r="B51" t="s">
        <v>186</v>
      </c>
      <c r="C51" s="12">
        <v>14</v>
      </c>
      <c r="D51" s="8">
        <v>2.46</v>
      </c>
      <c r="E51" s="12">
        <v>12</v>
      </c>
      <c r="F51" s="8">
        <v>3.69</v>
      </c>
      <c r="G51" s="12">
        <v>2</v>
      </c>
      <c r="H51" s="8">
        <v>0.83</v>
      </c>
      <c r="I51" s="12">
        <v>0</v>
      </c>
    </row>
    <row r="52" spans="2:9" ht="15" customHeight="1" x14ac:dyDescent="0.2">
      <c r="B52" t="s">
        <v>189</v>
      </c>
      <c r="C52" s="12">
        <v>14</v>
      </c>
      <c r="D52" s="8">
        <v>2.46</v>
      </c>
      <c r="E52" s="12">
        <v>14</v>
      </c>
      <c r="F52" s="8">
        <v>4.3099999999999996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188</v>
      </c>
      <c r="C53" s="12">
        <v>13</v>
      </c>
      <c r="D53" s="8">
        <v>2.2799999999999998</v>
      </c>
      <c r="E53" s="12">
        <v>12</v>
      </c>
      <c r="F53" s="8">
        <v>3.69</v>
      </c>
      <c r="G53" s="12">
        <v>1</v>
      </c>
      <c r="H53" s="8">
        <v>0.41</v>
      </c>
      <c r="I53" s="12">
        <v>0</v>
      </c>
    </row>
    <row r="54" spans="2:9" ht="15" customHeight="1" x14ac:dyDescent="0.2">
      <c r="B54" t="s">
        <v>203</v>
      </c>
      <c r="C54" s="12">
        <v>12</v>
      </c>
      <c r="D54" s="8">
        <v>2.11</v>
      </c>
      <c r="E54" s="12">
        <v>4</v>
      </c>
      <c r="F54" s="8">
        <v>1.23</v>
      </c>
      <c r="G54" s="12">
        <v>8</v>
      </c>
      <c r="H54" s="8">
        <v>3.31</v>
      </c>
      <c r="I54" s="12">
        <v>0</v>
      </c>
    </row>
    <row r="55" spans="2:9" ht="15" customHeight="1" x14ac:dyDescent="0.2">
      <c r="B55" t="s">
        <v>179</v>
      </c>
      <c r="C55" s="12">
        <v>12</v>
      </c>
      <c r="D55" s="8">
        <v>2.11</v>
      </c>
      <c r="E55" s="12">
        <v>7</v>
      </c>
      <c r="F55" s="8">
        <v>2.15</v>
      </c>
      <c r="G55" s="12">
        <v>5</v>
      </c>
      <c r="H55" s="8">
        <v>2.0699999999999998</v>
      </c>
      <c r="I55" s="12">
        <v>0</v>
      </c>
    </row>
    <row r="56" spans="2:9" ht="15" customHeight="1" x14ac:dyDescent="0.2">
      <c r="B56" t="s">
        <v>178</v>
      </c>
      <c r="C56" s="12">
        <v>11</v>
      </c>
      <c r="D56" s="8">
        <v>1.93</v>
      </c>
      <c r="E56" s="12">
        <v>5</v>
      </c>
      <c r="F56" s="8">
        <v>1.54</v>
      </c>
      <c r="G56" s="12">
        <v>6</v>
      </c>
      <c r="H56" s="8">
        <v>2.48</v>
      </c>
      <c r="I56" s="12">
        <v>0</v>
      </c>
    </row>
    <row r="57" spans="2:9" ht="15" customHeight="1" x14ac:dyDescent="0.2">
      <c r="B57" t="s">
        <v>277</v>
      </c>
      <c r="C57" s="12">
        <v>11</v>
      </c>
      <c r="D57" s="8">
        <v>1.93</v>
      </c>
      <c r="E57" s="12">
        <v>5</v>
      </c>
      <c r="F57" s="8">
        <v>1.54</v>
      </c>
      <c r="G57" s="12">
        <v>6</v>
      </c>
      <c r="H57" s="8">
        <v>2.48</v>
      </c>
      <c r="I57" s="12">
        <v>0</v>
      </c>
    </row>
    <row r="58" spans="2:9" ht="15" customHeight="1" x14ac:dyDescent="0.2">
      <c r="B58" t="s">
        <v>194</v>
      </c>
      <c r="C58" s="12">
        <v>11</v>
      </c>
      <c r="D58" s="8">
        <v>1.93</v>
      </c>
      <c r="E58" s="12">
        <v>5</v>
      </c>
      <c r="F58" s="8">
        <v>1.54</v>
      </c>
      <c r="G58" s="12">
        <v>6</v>
      </c>
      <c r="H58" s="8">
        <v>2.48</v>
      </c>
      <c r="I58" s="12">
        <v>0</v>
      </c>
    </row>
    <row r="59" spans="2:9" ht="15" customHeight="1" x14ac:dyDescent="0.2">
      <c r="B59" t="s">
        <v>190</v>
      </c>
      <c r="C59" s="12">
        <v>11</v>
      </c>
      <c r="D59" s="8">
        <v>1.93</v>
      </c>
      <c r="E59" s="12">
        <v>11</v>
      </c>
      <c r="F59" s="8">
        <v>3.38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192</v>
      </c>
      <c r="C60" s="12">
        <v>11</v>
      </c>
      <c r="D60" s="8">
        <v>1.93</v>
      </c>
      <c r="E60" s="12">
        <v>10</v>
      </c>
      <c r="F60" s="8">
        <v>3.08</v>
      </c>
      <c r="G60" s="12">
        <v>1</v>
      </c>
      <c r="H60" s="8">
        <v>0.41</v>
      </c>
      <c r="I60" s="12">
        <v>0</v>
      </c>
    </row>
    <row r="61" spans="2:9" ht="15" customHeight="1" x14ac:dyDescent="0.2">
      <c r="B61" t="s">
        <v>176</v>
      </c>
      <c r="C61" s="12">
        <v>10</v>
      </c>
      <c r="D61" s="8">
        <v>1.76</v>
      </c>
      <c r="E61" s="12">
        <v>3</v>
      </c>
      <c r="F61" s="8">
        <v>0.92</v>
      </c>
      <c r="G61" s="12">
        <v>7</v>
      </c>
      <c r="H61" s="8">
        <v>2.89</v>
      </c>
      <c r="I61" s="12">
        <v>0</v>
      </c>
    </row>
    <row r="62" spans="2:9" ht="15" customHeight="1" x14ac:dyDescent="0.2">
      <c r="B62" t="s">
        <v>177</v>
      </c>
      <c r="C62" s="12">
        <v>10</v>
      </c>
      <c r="D62" s="8">
        <v>1.76</v>
      </c>
      <c r="E62" s="12">
        <v>7</v>
      </c>
      <c r="F62" s="8">
        <v>2.15</v>
      </c>
      <c r="G62" s="12">
        <v>3</v>
      </c>
      <c r="H62" s="8">
        <v>1.24</v>
      </c>
      <c r="I62" s="12">
        <v>0</v>
      </c>
    </row>
    <row r="63" spans="2:9" ht="15" customHeight="1" x14ac:dyDescent="0.2">
      <c r="B63" t="s">
        <v>181</v>
      </c>
      <c r="C63" s="12">
        <v>10</v>
      </c>
      <c r="D63" s="8">
        <v>1.76</v>
      </c>
      <c r="E63" s="12">
        <v>7</v>
      </c>
      <c r="F63" s="8">
        <v>2.15</v>
      </c>
      <c r="G63" s="12">
        <v>3</v>
      </c>
      <c r="H63" s="8">
        <v>1.24</v>
      </c>
      <c r="I63" s="12">
        <v>0</v>
      </c>
    </row>
    <row r="64" spans="2:9" ht="15" customHeight="1" x14ac:dyDescent="0.2">
      <c r="B64" t="s">
        <v>184</v>
      </c>
      <c r="C64" s="12">
        <v>10</v>
      </c>
      <c r="D64" s="8">
        <v>1.76</v>
      </c>
      <c r="E64" s="12">
        <v>3</v>
      </c>
      <c r="F64" s="8">
        <v>0.92</v>
      </c>
      <c r="G64" s="12">
        <v>7</v>
      </c>
      <c r="H64" s="8">
        <v>2.89</v>
      </c>
      <c r="I64" s="12">
        <v>0</v>
      </c>
    </row>
    <row r="65" spans="2:9" ht="15" customHeight="1" x14ac:dyDescent="0.2">
      <c r="B65" t="s">
        <v>193</v>
      </c>
      <c r="C65" s="12">
        <v>8</v>
      </c>
      <c r="D65" s="8">
        <v>1.41</v>
      </c>
      <c r="E65" s="12">
        <v>8</v>
      </c>
      <c r="F65" s="8">
        <v>2.46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266</v>
      </c>
      <c r="C66" s="12">
        <v>7</v>
      </c>
      <c r="D66" s="8">
        <v>1.23</v>
      </c>
      <c r="E66" s="12">
        <v>3</v>
      </c>
      <c r="F66" s="8">
        <v>0.92</v>
      </c>
      <c r="G66" s="12">
        <v>4</v>
      </c>
      <c r="H66" s="8">
        <v>1.65</v>
      </c>
      <c r="I66" s="12">
        <v>0</v>
      </c>
    </row>
    <row r="67" spans="2:9" ht="15" customHeight="1" x14ac:dyDescent="0.2">
      <c r="B67" t="s">
        <v>204</v>
      </c>
      <c r="C67" s="12">
        <v>7</v>
      </c>
      <c r="D67" s="8">
        <v>1.23</v>
      </c>
      <c r="E67" s="12">
        <v>2</v>
      </c>
      <c r="F67" s="8">
        <v>0.62</v>
      </c>
      <c r="G67" s="12">
        <v>5</v>
      </c>
      <c r="H67" s="8">
        <v>2.0699999999999998</v>
      </c>
      <c r="I67" s="12">
        <v>0</v>
      </c>
    </row>
    <row r="68" spans="2:9" ht="15" customHeight="1" x14ac:dyDescent="0.2">
      <c r="B68" t="s">
        <v>216</v>
      </c>
      <c r="C68" s="12">
        <v>7</v>
      </c>
      <c r="D68" s="8">
        <v>1.23</v>
      </c>
      <c r="E68" s="12">
        <v>0</v>
      </c>
      <c r="F68" s="8">
        <v>0</v>
      </c>
      <c r="G68" s="12">
        <v>7</v>
      </c>
      <c r="H68" s="8">
        <v>2.89</v>
      </c>
      <c r="I68" s="12">
        <v>0</v>
      </c>
    </row>
    <row r="69" spans="2:9" ht="15" customHeight="1" x14ac:dyDescent="0.2">
      <c r="B69" t="s">
        <v>199</v>
      </c>
      <c r="C69" s="12">
        <v>7</v>
      </c>
      <c r="D69" s="8">
        <v>1.23</v>
      </c>
      <c r="E69" s="12">
        <v>5</v>
      </c>
      <c r="F69" s="8">
        <v>1.54</v>
      </c>
      <c r="G69" s="12">
        <v>2</v>
      </c>
      <c r="H69" s="8">
        <v>0.83</v>
      </c>
      <c r="I69" s="12">
        <v>0</v>
      </c>
    </row>
    <row r="70" spans="2:9" ht="15" customHeight="1" x14ac:dyDescent="0.2">
      <c r="B70" t="s">
        <v>278</v>
      </c>
      <c r="C70" s="12">
        <v>7</v>
      </c>
      <c r="D70" s="8">
        <v>1.23</v>
      </c>
      <c r="E70" s="12">
        <v>7</v>
      </c>
      <c r="F70" s="8">
        <v>2.15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A01D1-D4E8-49CF-8678-6588E8F4DC2A}">
  <sheetPr>
    <pageSetUpPr fitToPage="1"/>
  </sheetPr>
  <dimension ref="A1:I2168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172</v>
      </c>
      <c r="B1" s="3" t="s">
        <v>360</v>
      </c>
      <c r="C1" s="7" t="s">
        <v>94</v>
      </c>
      <c r="D1" s="7" t="s">
        <v>95</v>
      </c>
      <c r="E1" s="7" t="s">
        <v>96</v>
      </c>
      <c r="F1" s="7" t="s">
        <v>97</v>
      </c>
      <c r="G1" s="7" t="s">
        <v>98</v>
      </c>
      <c r="H1" s="7" t="s">
        <v>99</v>
      </c>
      <c r="I1" s="7" t="s">
        <v>100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183</v>
      </c>
      <c r="C3" s="4">
        <v>3240</v>
      </c>
      <c r="D3" s="8">
        <v>5.25</v>
      </c>
      <c r="E3" s="4">
        <v>2394</v>
      </c>
      <c r="F3" s="8">
        <v>7.42</v>
      </c>
      <c r="G3" s="4">
        <v>839</v>
      </c>
      <c r="H3" s="8">
        <v>2.94</v>
      </c>
      <c r="I3" s="4">
        <v>1</v>
      </c>
    </row>
    <row r="4" spans="1:9" x14ac:dyDescent="0.2">
      <c r="A4" s="2">
        <v>2</v>
      </c>
      <c r="B4" s="1" t="s">
        <v>191</v>
      </c>
      <c r="C4" s="4">
        <v>3127</v>
      </c>
      <c r="D4" s="8">
        <v>5.07</v>
      </c>
      <c r="E4" s="4">
        <v>2837</v>
      </c>
      <c r="F4" s="8">
        <v>8.7899999999999991</v>
      </c>
      <c r="G4" s="4">
        <v>290</v>
      </c>
      <c r="H4" s="8">
        <v>1.02</v>
      </c>
      <c r="I4" s="4">
        <v>0</v>
      </c>
    </row>
    <row r="5" spans="1:9" x14ac:dyDescent="0.2">
      <c r="A5" s="2">
        <v>3</v>
      </c>
      <c r="B5" s="1" t="s">
        <v>185</v>
      </c>
      <c r="C5" s="4">
        <v>1726</v>
      </c>
      <c r="D5" s="8">
        <v>2.8</v>
      </c>
      <c r="E5" s="4">
        <v>1258</v>
      </c>
      <c r="F5" s="8">
        <v>3.9</v>
      </c>
      <c r="G5" s="4">
        <v>464</v>
      </c>
      <c r="H5" s="8">
        <v>1.63</v>
      </c>
      <c r="I5" s="4">
        <v>2</v>
      </c>
    </row>
    <row r="6" spans="1:9" x14ac:dyDescent="0.2">
      <c r="A6" s="2">
        <v>4</v>
      </c>
      <c r="B6" s="1" t="s">
        <v>187</v>
      </c>
      <c r="C6" s="4">
        <v>1648</v>
      </c>
      <c r="D6" s="8">
        <v>2.67</v>
      </c>
      <c r="E6" s="4">
        <v>1278</v>
      </c>
      <c r="F6" s="8">
        <v>3.96</v>
      </c>
      <c r="G6" s="4">
        <v>370</v>
      </c>
      <c r="H6" s="8">
        <v>1.3</v>
      </c>
      <c r="I6" s="4">
        <v>0</v>
      </c>
    </row>
    <row r="7" spans="1:9" x14ac:dyDescent="0.2">
      <c r="A7" s="2">
        <v>5</v>
      </c>
      <c r="B7" s="1" t="s">
        <v>190</v>
      </c>
      <c r="C7" s="4">
        <v>1533</v>
      </c>
      <c r="D7" s="8">
        <v>2.48</v>
      </c>
      <c r="E7" s="4">
        <v>1438</v>
      </c>
      <c r="F7" s="8">
        <v>4.46</v>
      </c>
      <c r="G7" s="4">
        <v>95</v>
      </c>
      <c r="H7" s="8">
        <v>0.33</v>
      </c>
      <c r="I7" s="4">
        <v>0</v>
      </c>
    </row>
    <row r="8" spans="1:9" x14ac:dyDescent="0.2">
      <c r="A8" s="2">
        <v>6</v>
      </c>
      <c r="B8" s="1" t="s">
        <v>174</v>
      </c>
      <c r="C8" s="4">
        <v>1403</v>
      </c>
      <c r="D8" s="8">
        <v>2.27</v>
      </c>
      <c r="E8" s="4">
        <v>295</v>
      </c>
      <c r="F8" s="8">
        <v>0.91</v>
      </c>
      <c r="G8" s="4">
        <v>1108</v>
      </c>
      <c r="H8" s="8">
        <v>3.89</v>
      </c>
      <c r="I8" s="4">
        <v>0</v>
      </c>
    </row>
    <row r="9" spans="1:9" x14ac:dyDescent="0.2">
      <c r="A9" s="2">
        <v>7</v>
      </c>
      <c r="B9" s="1" t="s">
        <v>188</v>
      </c>
      <c r="C9" s="4">
        <v>1310</v>
      </c>
      <c r="D9" s="8">
        <v>2.12</v>
      </c>
      <c r="E9" s="4">
        <v>1158</v>
      </c>
      <c r="F9" s="8">
        <v>3.59</v>
      </c>
      <c r="G9" s="4">
        <v>152</v>
      </c>
      <c r="H9" s="8">
        <v>0.53</v>
      </c>
      <c r="I9" s="4">
        <v>0</v>
      </c>
    </row>
    <row r="10" spans="1:9" x14ac:dyDescent="0.2">
      <c r="A10" s="2">
        <v>8</v>
      </c>
      <c r="B10" s="1" t="s">
        <v>193</v>
      </c>
      <c r="C10" s="4">
        <v>1297</v>
      </c>
      <c r="D10" s="8">
        <v>2.1</v>
      </c>
      <c r="E10" s="4">
        <v>1197</v>
      </c>
      <c r="F10" s="8">
        <v>3.71</v>
      </c>
      <c r="G10" s="4">
        <v>99</v>
      </c>
      <c r="H10" s="8">
        <v>0.35</v>
      </c>
      <c r="I10" s="4">
        <v>1</v>
      </c>
    </row>
    <row r="11" spans="1:9" x14ac:dyDescent="0.2">
      <c r="A11" s="2">
        <v>9</v>
      </c>
      <c r="B11" s="1" t="s">
        <v>189</v>
      </c>
      <c r="C11" s="4">
        <v>1241</v>
      </c>
      <c r="D11" s="8">
        <v>2.0099999999999998</v>
      </c>
      <c r="E11" s="4">
        <v>1194</v>
      </c>
      <c r="F11" s="8">
        <v>3.7</v>
      </c>
      <c r="G11" s="4">
        <v>47</v>
      </c>
      <c r="H11" s="8">
        <v>0.16</v>
      </c>
      <c r="I11" s="4">
        <v>0</v>
      </c>
    </row>
    <row r="12" spans="1:9" x14ac:dyDescent="0.2">
      <c r="A12" s="2">
        <v>10</v>
      </c>
      <c r="B12" s="1" t="s">
        <v>181</v>
      </c>
      <c r="C12" s="4">
        <v>1136</v>
      </c>
      <c r="D12" s="8">
        <v>1.84</v>
      </c>
      <c r="E12" s="4">
        <v>664</v>
      </c>
      <c r="F12" s="8">
        <v>2.06</v>
      </c>
      <c r="G12" s="4">
        <v>471</v>
      </c>
      <c r="H12" s="8">
        <v>1.65</v>
      </c>
      <c r="I12" s="4">
        <v>0</v>
      </c>
    </row>
    <row r="13" spans="1:9" x14ac:dyDescent="0.2">
      <c r="A13" s="2">
        <v>11</v>
      </c>
      <c r="B13" s="1" t="s">
        <v>180</v>
      </c>
      <c r="C13" s="4">
        <v>1132</v>
      </c>
      <c r="D13" s="8">
        <v>1.83</v>
      </c>
      <c r="E13" s="4">
        <v>516</v>
      </c>
      <c r="F13" s="8">
        <v>1.6</v>
      </c>
      <c r="G13" s="4">
        <v>616</v>
      </c>
      <c r="H13" s="8">
        <v>2.16</v>
      </c>
      <c r="I13" s="4">
        <v>0</v>
      </c>
    </row>
    <row r="14" spans="1:9" x14ac:dyDescent="0.2">
      <c r="A14" s="2">
        <v>12</v>
      </c>
      <c r="B14" s="1" t="s">
        <v>192</v>
      </c>
      <c r="C14" s="4">
        <v>1106</v>
      </c>
      <c r="D14" s="8">
        <v>1.79</v>
      </c>
      <c r="E14" s="4">
        <v>835</v>
      </c>
      <c r="F14" s="8">
        <v>2.59</v>
      </c>
      <c r="G14" s="4">
        <v>269</v>
      </c>
      <c r="H14" s="8">
        <v>0.94</v>
      </c>
      <c r="I14" s="4">
        <v>2</v>
      </c>
    </row>
    <row r="15" spans="1:9" x14ac:dyDescent="0.2">
      <c r="A15" s="2">
        <v>13</v>
      </c>
      <c r="B15" s="1" t="s">
        <v>176</v>
      </c>
      <c r="C15" s="4">
        <v>1093</v>
      </c>
      <c r="D15" s="8">
        <v>1.77</v>
      </c>
      <c r="E15" s="4">
        <v>510</v>
      </c>
      <c r="F15" s="8">
        <v>1.58</v>
      </c>
      <c r="G15" s="4">
        <v>583</v>
      </c>
      <c r="H15" s="8">
        <v>2.0499999999999998</v>
      </c>
      <c r="I15" s="4">
        <v>0</v>
      </c>
    </row>
    <row r="16" spans="1:9" x14ac:dyDescent="0.2">
      <c r="A16" s="2">
        <v>14</v>
      </c>
      <c r="B16" s="1" t="s">
        <v>175</v>
      </c>
      <c r="C16" s="4">
        <v>1004</v>
      </c>
      <c r="D16" s="8">
        <v>1.63</v>
      </c>
      <c r="E16" s="4">
        <v>240</v>
      </c>
      <c r="F16" s="8">
        <v>0.74</v>
      </c>
      <c r="G16" s="4">
        <v>764</v>
      </c>
      <c r="H16" s="8">
        <v>2.68</v>
      </c>
      <c r="I16" s="4">
        <v>0</v>
      </c>
    </row>
    <row r="17" spans="1:9" x14ac:dyDescent="0.2">
      <c r="A17" s="2">
        <v>15</v>
      </c>
      <c r="B17" s="1" t="s">
        <v>186</v>
      </c>
      <c r="C17" s="4">
        <v>876</v>
      </c>
      <c r="D17" s="8">
        <v>1.42</v>
      </c>
      <c r="E17" s="4">
        <v>654</v>
      </c>
      <c r="F17" s="8">
        <v>2.0299999999999998</v>
      </c>
      <c r="G17" s="4">
        <v>221</v>
      </c>
      <c r="H17" s="8">
        <v>0.78</v>
      </c>
      <c r="I17" s="4">
        <v>1</v>
      </c>
    </row>
    <row r="18" spans="1:9" x14ac:dyDescent="0.2">
      <c r="A18" s="2">
        <v>16</v>
      </c>
      <c r="B18" s="1" t="s">
        <v>184</v>
      </c>
      <c r="C18" s="4">
        <v>865</v>
      </c>
      <c r="D18" s="8">
        <v>1.4</v>
      </c>
      <c r="E18" s="4">
        <v>325</v>
      </c>
      <c r="F18" s="8">
        <v>1.01</v>
      </c>
      <c r="G18" s="4">
        <v>510</v>
      </c>
      <c r="H18" s="8">
        <v>1.79</v>
      </c>
      <c r="I18" s="4">
        <v>1</v>
      </c>
    </row>
    <row r="19" spans="1:9" x14ac:dyDescent="0.2">
      <c r="A19" s="2">
        <v>17</v>
      </c>
      <c r="B19" s="1" t="s">
        <v>179</v>
      </c>
      <c r="C19" s="4">
        <v>814</v>
      </c>
      <c r="D19" s="8">
        <v>1.32</v>
      </c>
      <c r="E19" s="4">
        <v>497</v>
      </c>
      <c r="F19" s="8">
        <v>1.54</v>
      </c>
      <c r="G19" s="4">
        <v>310</v>
      </c>
      <c r="H19" s="8">
        <v>1.0900000000000001</v>
      </c>
      <c r="I19" s="4">
        <v>6</v>
      </c>
    </row>
    <row r="20" spans="1:9" x14ac:dyDescent="0.2">
      <c r="A20" s="2">
        <v>18</v>
      </c>
      <c r="B20" s="1" t="s">
        <v>178</v>
      </c>
      <c r="C20" s="4">
        <v>803</v>
      </c>
      <c r="D20" s="8">
        <v>1.3</v>
      </c>
      <c r="E20" s="4">
        <v>252</v>
      </c>
      <c r="F20" s="8">
        <v>0.78</v>
      </c>
      <c r="G20" s="4">
        <v>551</v>
      </c>
      <c r="H20" s="8">
        <v>1.93</v>
      </c>
      <c r="I20" s="4">
        <v>0</v>
      </c>
    </row>
    <row r="21" spans="1:9" x14ac:dyDescent="0.2">
      <c r="A21" s="2">
        <v>19</v>
      </c>
      <c r="B21" s="1" t="s">
        <v>182</v>
      </c>
      <c r="C21" s="4">
        <v>793</v>
      </c>
      <c r="D21" s="8">
        <v>1.28</v>
      </c>
      <c r="E21" s="4">
        <v>186</v>
      </c>
      <c r="F21" s="8">
        <v>0.57999999999999996</v>
      </c>
      <c r="G21" s="4">
        <v>603</v>
      </c>
      <c r="H21" s="8">
        <v>2.12</v>
      </c>
      <c r="I21" s="4">
        <v>2</v>
      </c>
    </row>
    <row r="22" spans="1:9" x14ac:dyDescent="0.2">
      <c r="A22" s="2">
        <v>20</v>
      </c>
      <c r="B22" s="1" t="s">
        <v>177</v>
      </c>
      <c r="C22" s="4">
        <v>785</v>
      </c>
      <c r="D22" s="8">
        <v>1.27</v>
      </c>
      <c r="E22" s="4">
        <v>292</v>
      </c>
      <c r="F22" s="8">
        <v>0.9</v>
      </c>
      <c r="G22" s="4">
        <v>493</v>
      </c>
      <c r="H22" s="8">
        <v>1.73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183</v>
      </c>
      <c r="C25" s="4">
        <v>931</v>
      </c>
      <c r="D25" s="8">
        <v>9.19</v>
      </c>
      <c r="E25" s="4">
        <v>705</v>
      </c>
      <c r="F25" s="8">
        <v>15.09</v>
      </c>
      <c r="G25" s="4">
        <v>225</v>
      </c>
      <c r="H25" s="8">
        <v>4.1900000000000004</v>
      </c>
      <c r="I25" s="4">
        <v>0</v>
      </c>
    </row>
    <row r="26" spans="1:9" x14ac:dyDescent="0.2">
      <c r="A26" s="2">
        <v>2</v>
      </c>
      <c r="B26" s="1" t="s">
        <v>191</v>
      </c>
      <c r="C26" s="4">
        <v>513</v>
      </c>
      <c r="D26" s="8">
        <v>5.0599999999999996</v>
      </c>
      <c r="E26" s="4">
        <v>444</v>
      </c>
      <c r="F26" s="8">
        <v>9.51</v>
      </c>
      <c r="G26" s="4">
        <v>69</v>
      </c>
      <c r="H26" s="8">
        <v>1.28</v>
      </c>
      <c r="I26" s="4">
        <v>0</v>
      </c>
    </row>
    <row r="27" spans="1:9" x14ac:dyDescent="0.2">
      <c r="A27" s="2">
        <v>3</v>
      </c>
      <c r="B27" s="1" t="s">
        <v>190</v>
      </c>
      <c r="C27" s="4">
        <v>250</v>
      </c>
      <c r="D27" s="8">
        <v>2.4700000000000002</v>
      </c>
      <c r="E27" s="4">
        <v>223</v>
      </c>
      <c r="F27" s="8">
        <v>4.7699999999999996</v>
      </c>
      <c r="G27" s="4">
        <v>27</v>
      </c>
      <c r="H27" s="8">
        <v>0.5</v>
      </c>
      <c r="I27" s="4">
        <v>0</v>
      </c>
    </row>
    <row r="28" spans="1:9" x14ac:dyDescent="0.2">
      <c r="A28" s="2">
        <v>4</v>
      </c>
      <c r="B28" s="1" t="s">
        <v>182</v>
      </c>
      <c r="C28" s="4">
        <v>245</v>
      </c>
      <c r="D28" s="8">
        <v>2.42</v>
      </c>
      <c r="E28" s="4">
        <v>79</v>
      </c>
      <c r="F28" s="8">
        <v>1.69</v>
      </c>
      <c r="G28" s="4">
        <v>166</v>
      </c>
      <c r="H28" s="8">
        <v>3.09</v>
      </c>
      <c r="I28" s="4">
        <v>0</v>
      </c>
    </row>
    <row r="29" spans="1:9" x14ac:dyDescent="0.2">
      <c r="A29" s="2">
        <v>5</v>
      </c>
      <c r="B29" s="1" t="s">
        <v>188</v>
      </c>
      <c r="C29" s="4">
        <v>209</v>
      </c>
      <c r="D29" s="8">
        <v>2.06</v>
      </c>
      <c r="E29" s="4">
        <v>173</v>
      </c>
      <c r="F29" s="8">
        <v>3.7</v>
      </c>
      <c r="G29" s="4">
        <v>36</v>
      </c>
      <c r="H29" s="8">
        <v>0.67</v>
      </c>
      <c r="I29" s="4">
        <v>0</v>
      </c>
    </row>
    <row r="30" spans="1:9" x14ac:dyDescent="0.2">
      <c r="A30" s="2">
        <v>6</v>
      </c>
      <c r="B30" s="1" t="s">
        <v>189</v>
      </c>
      <c r="C30" s="4">
        <v>205</v>
      </c>
      <c r="D30" s="8">
        <v>2.02</v>
      </c>
      <c r="E30" s="4">
        <v>196</v>
      </c>
      <c r="F30" s="8">
        <v>4.2</v>
      </c>
      <c r="G30" s="4">
        <v>9</v>
      </c>
      <c r="H30" s="8">
        <v>0.17</v>
      </c>
      <c r="I30" s="4">
        <v>0</v>
      </c>
    </row>
    <row r="31" spans="1:9" x14ac:dyDescent="0.2">
      <c r="A31" s="2">
        <v>7</v>
      </c>
      <c r="B31" s="1" t="s">
        <v>193</v>
      </c>
      <c r="C31" s="4">
        <v>202</v>
      </c>
      <c r="D31" s="8">
        <v>1.99</v>
      </c>
      <c r="E31" s="4">
        <v>176</v>
      </c>
      <c r="F31" s="8">
        <v>3.77</v>
      </c>
      <c r="G31" s="4">
        <v>26</v>
      </c>
      <c r="H31" s="8">
        <v>0.48</v>
      </c>
      <c r="I31" s="4">
        <v>0</v>
      </c>
    </row>
    <row r="32" spans="1:9" x14ac:dyDescent="0.2">
      <c r="A32" s="2">
        <v>8</v>
      </c>
      <c r="B32" s="1" t="s">
        <v>192</v>
      </c>
      <c r="C32" s="4">
        <v>201</v>
      </c>
      <c r="D32" s="8">
        <v>1.98</v>
      </c>
      <c r="E32" s="4">
        <v>143</v>
      </c>
      <c r="F32" s="8">
        <v>3.06</v>
      </c>
      <c r="G32" s="4">
        <v>58</v>
      </c>
      <c r="H32" s="8">
        <v>1.08</v>
      </c>
      <c r="I32" s="4">
        <v>0</v>
      </c>
    </row>
    <row r="33" spans="1:9" x14ac:dyDescent="0.2">
      <c r="A33" s="2">
        <v>9</v>
      </c>
      <c r="B33" s="1" t="s">
        <v>174</v>
      </c>
      <c r="C33" s="4">
        <v>198</v>
      </c>
      <c r="D33" s="8">
        <v>1.95</v>
      </c>
      <c r="E33" s="4">
        <v>41</v>
      </c>
      <c r="F33" s="8">
        <v>0.88</v>
      </c>
      <c r="G33" s="4">
        <v>157</v>
      </c>
      <c r="H33" s="8">
        <v>2.92</v>
      </c>
      <c r="I33" s="4">
        <v>0</v>
      </c>
    </row>
    <row r="34" spans="1:9" x14ac:dyDescent="0.2">
      <c r="A34" s="2">
        <v>10</v>
      </c>
      <c r="B34" s="1" t="s">
        <v>187</v>
      </c>
      <c r="C34" s="4">
        <v>197</v>
      </c>
      <c r="D34" s="8">
        <v>1.94</v>
      </c>
      <c r="E34" s="4">
        <v>142</v>
      </c>
      <c r="F34" s="8">
        <v>3.04</v>
      </c>
      <c r="G34" s="4">
        <v>55</v>
      </c>
      <c r="H34" s="8">
        <v>1.02</v>
      </c>
      <c r="I34" s="4">
        <v>0</v>
      </c>
    </row>
    <row r="35" spans="1:9" x14ac:dyDescent="0.2">
      <c r="A35" s="2">
        <v>11</v>
      </c>
      <c r="B35" s="1" t="s">
        <v>181</v>
      </c>
      <c r="C35" s="4">
        <v>185</v>
      </c>
      <c r="D35" s="8">
        <v>1.83</v>
      </c>
      <c r="E35" s="4">
        <v>85</v>
      </c>
      <c r="F35" s="8">
        <v>1.82</v>
      </c>
      <c r="G35" s="4">
        <v>99</v>
      </c>
      <c r="H35" s="8">
        <v>1.84</v>
      </c>
      <c r="I35" s="4">
        <v>0</v>
      </c>
    </row>
    <row r="36" spans="1:9" x14ac:dyDescent="0.2">
      <c r="A36" s="2">
        <v>11</v>
      </c>
      <c r="B36" s="1" t="s">
        <v>184</v>
      </c>
      <c r="C36" s="4">
        <v>185</v>
      </c>
      <c r="D36" s="8">
        <v>1.83</v>
      </c>
      <c r="E36" s="4">
        <v>56</v>
      </c>
      <c r="F36" s="8">
        <v>1.2</v>
      </c>
      <c r="G36" s="4">
        <v>124</v>
      </c>
      <c r="H36" s="8">
        <v>2.31</v>
      </c>
      <c r="I36" s="4">
        <v>1</v>
      </c>
    </row>
    <row r="37" spans="1:9" x14ac:dyDescent="0.2">
      <c r="A37" s="2">
        <v>13</v>
      </c>
      <c r="B37" s="1" t="s">
        <v>180</v>
      </c>
      <c r="C37" s="4">
        <v>156</v>
      </c>
      <c r="D37" s="8">
        <v>1.54</v>
      </c>
      <c r="E37" s="4">
        <v>53</v>
      </c>
      <c r="F37" s="8">
        <v>1.1299999999999999</v>
      </c>
      <c r="G37" s="4">
        <v>103</v>
      </c>
      <c r="H37" s="8">
        <v>1.92</v>
      </c>
      <c r="I37" s="4">
        <v>0</v>
      </c>
    </row>
    <row r="38" spans="1:9" x14ac:dyDescent="0.2">
      <c r="A38" s="2">
        <v>14</v>
      </c>
      <c r="B38" s="1" t="s">
        <v>176</v>
      </c>
      <c r="C38" s="4">
        <v>151</v>
      </c>
      <c r="D38" s="8">
        <v>1.49</v>
      </c>
      <c r="E38" s="4">
        <v>40</v>
      </c>
      <c r="F38" s="8">
        <v>0.86</v>
      </c>
      <c r="G38" s="4">
        <v>111</v>
      </c>
      <c r="H38" s="8">
        <v>2.0699999999999998</v>
      </c>
      <c r="I38" s="4">
        <v>0</v>
      </c>
    </row>
    <row r="39" spans="1:9" x14ac:dyDescent="0.2">
      <c r="A39" s="2">
        <v>15</v>
      </c>
      <c r="B39" s="1" t="s">
        <v>175</v>
      </c>
      <c r="C39" s="4">
        <v>148</v>
      </c>
      <c r="D39" s="8">
        <v>1.46</v>
      </c>
      <c r="E39" s="4">
        <v>29</v>
      </c>
      <c r="F39" s="8">
        <v>0.62</v>
      </c>
      <c r="G39" s="4">
        <v>119</v>
      </c>
      <c r="H39" s="8">
        <v>2.21</v>
      </c>
      <c r="I39" s="4">
        <v>0</v>
      </c>
    </row>
    <row r="40" spans="1:9" x14ac:dyDescent="0.2">
      <c r="A40" s="2">
        <v>16</v>
      </c>
      <c r="B40" s="1" t="s">
        <v>195</v>
      </c>
      <c r="C40" s="4">
        <v>144</v>
      </c>
      <c r="D40" s="8">
        <v>1.42</v>
      </c>
      <c r="E40" s="4">
        <v>97</v>
      </c>
      <c r="F40" s="8">
        <v>2.08</v>
      </c>
      <c r="G40" s="4">
        <v>47</v>
      </c>
      <c r="H40" s="8">
        <v>0.87</v>
      </c>
      <c r="I40" s="4">
        <v>0</v>
      </c>
    </row>
    <row r="41" spans="1:9" x14ac:dyDescent="0.2">
      <c r="A41" s="2">
        <v>17</v>
      </c>
      <c r="B41" s="1" t="s">
        <v>194</v>
      </c>
      <c r="C41" s="4">
        <v>132</v>
      </c>
      <c r="D41" s="8">
        <v>1.3</v>
      </c>
      <c r="E41" s="4">
        <v>46</v>
      </c>
      <c r="F41" s="8">
        <v>0.98</v>
      </c>
      <c r="G41" s="4">
        <v>86</v>
      </c>
      <c r="H41" s="8">
        <v>1.6</v>
      </c>
      <c r="I41" s="4">
        <v>0</v>
      </c>
    </row>
    <row r="42" spans="1:9" x14ac:dyDescent="0.2">
      <c r="A42" s="2">
        <v>18</v>
      </c>
      <c r="B42" s="1" t="s">
        <v>186</v>
      </c>
      <c r="C42" s="4">
        <v>129</v>
      </c>
      <c r="D42" s="8">
        <v>1.27</v>
      </c>
      <c r="E42" s="4">
        <v>79</v>
      </c>
      <c r="F42" s="8">
        <v>1.69</v>
      </c>
      <c r="G42" s="4">
        <v>50</v>
      </c>
      <c r="H42" s="8">
        <v>0.93</v>
      </c>
      <c r="I42" s="4">
        <v>0</v>
      </c>
    </row>
    <row r="43" spans="1:9" x14ac:dyDescent="0.2">
      <c r="A43" s="2">
        <v>19</v>
      </c>
      <c r="B43" s="1" t="s">
        <v>178</v>
      </c>
      <c r="C43" s="4">
        <v>123</v>
      </c>
      <c r="D43" s="8">
        <v>1.21</v>
      </c>
      <c r="E43" s="4">
        <v>18</v>
      </c>
      <c r="F43" s="8">
        <v>0.39</v>
      </c>
      <c r="G43" s="4">
        <v>105</v>
      </c>
      <c r="H43" s="8">
        <v>1.95</v>
      </c>
      <c r="I43" s="4">
        <v>0</v>
      </c>
    </row>
    <row r="44" spans="1:9" x14ac:dyDescent="0.2">
      <c r="A44" s="2">
        <v>20</v>
      </c>
      <c r="B44" s="1" t="s">
        <v>177</v>
      </c>
      <c r="C44" s="4">
        <v>121</v>
      </c>
      <c r="D44" s="8">
        <v>1.19</v>
      </c>
      <c r="E44" s="4">
        <v>33</v>
      </c>
      <c r="F44" s="8">
        <v>0.71</v>
      </c>
      <c r="G44" s="4">
        <v>88</v>
      </c>
      <c r="H44" s="8">
        <v>1.64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183</v>
      </c>
      <c r="C47" s="4">
        <v>511</v>
      </c>
      <c r="D47" s="8">
        <v>6.95</v>
      </c>
      <c r="E47" s="4">
        <v>385</v>
      </c>
      <c r="F47" s="8">
        <v>10.67</v>
      </c>
      <c r="G47" s="4">
        <v>126</v>
      </c>
      <c r="H47" s="8">
        <v>3.47</v>
      </c>
      <c r="I47" s="4">
        <v>0</v>
      </c>
    </row>
    <row r="48" spans="1:9" x14ac:dyDescent="0.2">
      <c r="A48" s="2">
        <v>2</v>
      </c>
      <c r="B48" s="1" t="s">
        <v>191</v>
      </c>
      <c r="C48" s="4">
        <v>397</v>
      </c>
      <c r="D48" s="8">
        <v>5.4</v>
      </c>
      <c r="E48" s="4">
        <v>353</v>
      </c>
      <c r="F48" s="8">
        <v>9.7899999999999991</v>
      </c>
      <c r="G48" s="4">
        <v>44</v>
      </c>
      <c r="H48" s="8">
        <v>1.21</v>
      </c>
      <c r="I48" s="4">
        <v>0</v>
      </c>
    </row>
    <row r="49" spans="1:9" x14ac:dyDescent="0.2">
      <c r="A49" s="2">
        <v>3</v>
      </c>
      <c r="B49" s="1" t="s">
        <v>187</v>
      </c>
      <c r="C49" s="4">
        <v>255</v>
      </c>
      <c r="D49" s="8">
        <v>3.47</v>
      </c>
      <c r="E49" s="4">
        <v>204</v>
      </c>
      <c r="F49" s="8">
        <v>5.66</v>
      </c>
      <c r="G49" s="4">
        <v>51</v>
      </c>
      <c r="H49" s="8">
        <v>1.41</v>
      </c>
      <c r="I49" s="4">
        <v>0</v>
      </c>
    </row>
    <row r="50" spans="1:9" x14ac:dyDescent="0.2">
      <c r="A50" s="2">
        <v>4</v>
      </c>
      <c r="B50" s="1" t="s">
        <v>188</v>
      </c>
      <c r="C50" s="4">
        <v>212</v>
      </c>
      <c r="D50" s="8">
        <v>2.88</v>
      </c>
      <c r="E50" s="4">
        <v>193</v>
      </c>
      <c r="F50" s="8">
        <v>5.35</v>
      </c>
      <c r="G50" s="4">
        <v>19</v>
      </c>
      <c r="H50" s="8">
        <v>0.52</v>
      </c>
      <c r="I50" s="4">
        <v>0</v>
      </c>
    </row>
    <row r="51" spans="1:9" x14ac:dyDescent="0.2">
      <c r="A51" s="2">
        <v>5</v>
      </c>
      <c r="B51" s="1" t="s">
        <v>189</v>
      </c>
      <c r="C51" s="4">
        <v>192</v>
      </c>
      <c r="D51" s="8">
        <v>2.61</v>
      </c>
      <c r="E51" s="4">
        <v>185</v>
      </c>
      <c r="F51" s="8">
        <v>5.13</v>
      </c>
      <c r="G51" s="4">
        <v>7</v>
      </c>
      <c r="H51" s="8">
        <v>0.19</v>
      </c>
      <c r="I51" s="4">
        <v>0</v>
      </c>
    </row>
    <row r="52" spans="1:9" x14ac:dyDescent="0.2">
      <c r="A52" s="2">
        <v>6</v>
      </c>
      <c r="B52" s="1" t="s">
        <v>192</v>
      </c>
      <c r="C52" s="4">
        <v>166</v>
      </c>
      <c r="D52" s="8">
        <v>2.2599999999999998</v>
      </c>
      <c r="E52" s="4">
        <v>126</v>
      </c>
      <c r="F52" s="8">
        <v>3.49</v>
      </c>
      <c r="G52" s="4">
        <v>39</v>
      </c>
      <c r="H52" s="8">
        <v>1.07</v>
      </c>
      <c r="I52" s="4">
        <v>1</v>
      </c>
    </row>
    <row r="53" spans="1:9" x14ac:dyDescent="0.2">
      <c r="A53" s="2">
        <v>7</v>
      </c>
      <c r="B53" s="1" t="s">
        <v>193</v>
      </c>
      <c r="C53" s="4">
        <v>163</v>
      </c>
      <c r="D53" s="8">
        <v>2.2200000000000002</v>
      </c>
      <c r="E53" s="4">
        <v>155</v>
      </c>
      <c r="F53" s="8">
        <v>4.3</v>
      </c>
      <c r="G53" s="4">
        <v>8</v>
      </c>
      <c r="H53" s="8">
        <v>0.22</v>
      </c>
      <c r="I53" s="4">
        <v>0</v>
      </c>
    </row>
    <row r="54" spans="1:9" x14ac:dyDescent="0.2">
      <c r="A54" s="2">
        <v>8</v>
      </c>
      <c r="B54" s="1" t="s">
        <v>190</v>
      </c>
      <c r="C54" s="4">
        <v>155</v>
      </c>
      <c r="D54" s="8">
        <v>2.11</v>
      </c>
      <c r="E54" s="4">
        <v>139</v>
      </c>
      <c r="F54" s="8">
        <v>3.85</v>
      </c>
      <c r="G54" s="4">
        <v>16</v>
      </c>
      <c r="H54" s="8">
        <v>0.44</v>
      </c>
      <c r="I54" s="4">
        <v>0</v>
      </c>
    </row>
    <row r="55" spans="1:9" x14ac:dyDescent="0.2">
      <c r="A55" s="2">
        <v>9</v>
      </c>
      <c r="B55" s="1" t="s">
        <v>181</v>
      </c>
      <c r="C55" s="4">
        <v>151</v>
      </c>
      <c r="D55" s="8">
        <v>2.0499999999999998</v>
      </c>
      <c r="E55" s="4">
        <v>81</v>
      </c>
      <c r="F55" s="8">
        <v>2.25</v>
      </c>
      <c r="G55" s="4">
        <v>70</v>
      </c>
      <c r="H55" s="8">
        <v>1.93</v>
      </c>
      <c r="I55" s="4">
        <v>0</v>
      </c>
    </row>
    <row r="56" spans="1:9" x14ac:dyDescent="0.2">
      <c r="A56" s="2">
        <v>10</v>
      </c>
      <c r="B56" s="1" t="s">
        <v>182</v>
      </c>
      <c r="C56" s="4">
        <v>148</v>
      </c>
      <c r="D56" s="8">
        <v>2.0099999999999998</v>
      </c>
      <c r="E56" s="4">
        <v>34</v>
      </c>
      <c r="F56" s="8">
        <v>0.94</v>
      </c>
      <c r="G56" s="4">
        <v>113</v>
      </c>
      <c r="H56" s="8">
        <v>3.11</v>
      </c>
      <c r="I56" s="4">
        <v>1</v>
      </c>
    </row>
    <row r="57" spans="1:9" x14ac:dyDescent="0.2">
      <c r="A57" s="2">
        <v>11</v>
      </c>
      <c r="B57" s="1" t="s">
        <v>180</v>
      </c>
      <c r="C57" s="4">
        <v>123</v>
      </c>
      <c r="D57" s="8">
        <v>1.67</v>
      </c>
      <c r="E57" s="4">
        <v>54</v>
      </c>
      <c r="F57" s="8">
        <v>1.5</v>
      </c>
      <c r="G57" s="4">
        <v>69</v>
      </c>
      <c r="H57" s="8">
        <v>1.9</v>
      </c>
      <c r="I57" s="4">
        <v>0</v>
      </c>
    </row>
    <row r="58" spans="1:9" x14ac:dyDescent="0.2">
      <c r="A58" s="2">
        <v>12</v>
      </c>
      <c r="B58" s="1" t="s">
        <v>185</v>
      </c>
      <c r="C58" s="4">
        <v>120</v>
      </c>
      <c r="D58" s="8">
        <v>1.63</v>
      </c>
      <c r="E58" s="4">
        <v>72</v>
      </c>
      <c r="F58" s="8">
        <v>2</v>
      </c>
      <c r="G58" s="4">
        <v>48</v>
      </c>
      <c r="H58" s="8">
        <v>1.32</v>
      </c>
      <c r="I58" s="4">
        <v>0</v>
      </c>
    </row>
    <row r="59" spans="1:9" x14ac:dyDescent="0.2">
      <c r="A59" s="2">
        <v>13</v>
      </c>
      <c r="B59" s="1" t="s">
        <v>184</v>
      </c>
      <c r="C59" s="4">
        <v>101</v>
      </c>
      <c r="D59" s="8">
        <v>1.37</v>
      </c>
      <c r="E59" s="4">
        <v>30</v>
      </c>
      <c r="F59" s="8">
        <v>0.83</v>
      </c>
      <c r="G59" s="4">
        <v>67</v>
      </c>
      <c r="H59" s="8">
        <v>1.85</v>
      </c>
      <c r="I59" s="4">
        <v>0</v>
      </c>
    </row>
    <row r="60" spans="1:9" x14ac:dyDescent="0.2">
      <c r="A60" s="2">
        <v>14</v>
      </c>
      <c r="B60" s="1" t="s">
        <v>179</v>
      </c>
      <c r="C60" s="4">
        <v>98</v>
      </c>
      <c r="D60" s="8">
        <v>1.33</v>
      </c>
      <c r="E60" s="4">
        <v>53</v>
      </c>
      <c r="F60" s="8">
        <v>1.47</v>
      </c>
      <c r="G60" s="4">
        <v>43</v>
      </c>
      <c r="H60" s="8">
        <v>1.18</v>
      </c>
      <c r="I60" s="4">
        <v>2</v>
      </c>
    </row>
    <row r="61" spans="1:9" x14ac:dyDescent="0.2">
      <c r="A61" s="2">
        <v>15</v>
      </c>
      <c r="B61" s="1" t="s">
        <v>175</v>
      </c>
      <c r="C61" s="4">
        <v>94</v>
      </c>
      <c r="D61" s="8">
        <v>1.28</v>
      </c>
      <c r="E61" s="4">
        <v>11</v>
      </c>
      <c r="F61" s="8">
        <v>0.3</v>
      </c>
      <c r="G61" s="4">
        <v>83</v>
      </c>
      <c r="H61" s="8">
        <v>2.29</v>
      </c>
      <c r="I61" s="4">
        <v>0</v>
      </c>
    </row>
    <row r="62" spans="1:9" x14ac:dyDescent="0.2">
      <c r="A62" s="2">
        <v>15</v>
      </c>
      <c r="B62" s="1" t="s">
        <v>196</v>
      </c>
      <c r="C62" s="4">
        <v>94</v>
      </c>
      <c r="D62" s="8">
        <v>1.28</v>
      </c>
      <c r="E62" s="4">
        <v>33</v>
      </c>
      <c r="F62" s="8">
        <v>0.91</v>
      </c>
      <c r="G62" s="4">
        <v>61</v>
      </c>
      <c r="H62" s="8">
        <v>1.68</v>
      </c>
      <c r="I62" s="4">
        <v>0</v>
      </c>
    </row>
    <row r="63" spans="1:9" x14ac:dyDescent="0.2">
      <c r="A63" s="2">
        <v>17</v>
      </c>
      <c r="B63" s="1" t="s">
        <v>197</v>
      </c>
      <c r="C63" s="4">
        <v>90</v>
      </c>
      <c r="D63" s="8">
        <v>1.22</v>
      </c>
      <c r="E63" s="4">
        <v>52</v>
      </c>
      <c r="F63" s="8">
        <v>1.44</v>
      </c>
      <c r="G63" s="4">
        <v>38</v>
      </c>
      <c r="H63" s="8">
        <v>1.05</v>
      </c>
      <c r="I63" s="4">
        <v>0</v>
      </c>
    </row>
    <row r="64" spans="1:9" x14ac:dyDescent="0.2">
      <c r="A64" s="2">
        <v>18</v>
      </c>
      <c r="B64" s="1" t="s">
        <v>199</v>
      </c>
      <c r="C64" s="4">
        <v>87</v>
      </c>
      <c r="D64" s="8">
        <v>1.18</v>
      </c>
      <c r="E64" s="4">
        <v>37</v>
      </c>
      <c r="F64" s="8">
        <v>1.03</v>
      </c>
      <c r="G64" s="4">
        <v>50</v>
      </c>
      <c r="H64" s="8">
        <v>1.38</v>
      </c>
      <c r="I64" s="4">
        <v>0</v>
      </c>
    </row>
    <row r="65" spans="1:9" x14ac:dyDescent="0.2">
      <c r="A65" s="2">
        <v>18</v>
      </c>
      <c r="B65" s="1" t="s">
        <v>200</v>
      </c>
      <c r="C65" s="4">
        <v>87</v>
      </c>
      <c r="D65" s="8">
        <v>1.18</v>
      </c>
      <c r="E65" s="4">
        <v>51</v>
      </c>
      <c r="F65" s="8">
        <v>1.41</v>
      </c>
      <c r="G65" s="4">
        <v>36</v>
      </c>
      <c r="H65" s="8">
        <v>0.99</v>
      </c>
      <c r="I65" s="4">
        <v>0</v>
      </c>
    </row>
    <row r="66" spans="1:9" x14ac:dyDescent="0.2">
      <c r="A66" s="2">
        <v>20</v>
      </c>
      <c r="B66" s="1" t="s">
        <v>198</v>
      </c>
      <c r="C66" s="4">
        <v>86</v>
      </c>
      <c r="D66" s="8">
        <v>1.17</v>
      </c>
      <c r="E66" s="4">
        <v>74</v>
      </c>
      <c r="F66" s="8">
        <v>2.0499999999999998</v>
      </c>
      <c r="G66" s="4">
        <v>12</v>
      </c>
      <c r="H66" s="8">
        <v>0.33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183</v>
      </c>
      <c r="C69" s="4">
        <v>251</v>
      </c>
      <c r="D69" s="8">
        <v>5.83</v>
      </c>
      <c r="E69" s="4">
        <v>184</v>
      </c>
      <c r="F69" s="8">
        <v>8.35</v>
      </c>
      <c r="G69" s="4">
        <v>67</v>
      </c>
      <c r="H69" s="8">
        <v>3.26</v>
      </c>
      <c r="I69" s="4">
        <v>0</v>
      </c>
    </row>
    <row r="70" spans="1:9" x14ac:dyDescent="0.2">
      <c r="A70" s="2">
        <v>2</v>
      </c>
      <c r="B70" s="1" t="s">
        <v>191</v>
      </c>
      <c r="C70" s="4">
        <v>228</v>
      </c>
      <c r="D70" s="8">
        <v>5.3</v>
      </c>
      <c r="E70" s="4">
        <v>211</v>
      </c>
      <c r="F70" s="8">
        <v>9.58</v>
      </c>
      <c r="G70" s="4">
        <v>17</v>
      </c>
      <c r="H70" s="8">
        <v>0.83</v>
      </c>
      <c r="I70" s="4">
        <v>0</v>
      </c>
    </row>
    <row r="71" spans="1:9" x14ac:dyDescent="0.2">
      <c r="A71" s="2">
        <v>3</v>
      </c>
      <c r="B71" s="1" t="s">
        <v>190</v>
      </c>
      <c r="C71" s="4">
        <v>112</v>
      </c>
      <c r="D71" s="8">
        <v>2.6</v>
      </c>
      <c r="E71" s="4">
        <v>107</v>
      </c>
      <c r="F71" s="8">
        <v>4.8600000000000003</v>
      </c>
      <c r="G71" s="4">
        <v>5</v>
      </c>
      <c r="H71" s="8">
        <v>0.24</v>
      </c>
      <c r="I71" s="4">
        <v>0</v>
      </c>
    </row>
    <row r="72" spans="1:9" x14ac:dyDescent="0.2">
      <c r="A72" s="2">
        <v>4</v>
      </c>
      <c r="B72" s="1" t="s">
        <v>188</v>
      </c>
      <c r="C72" s="4">
        <v>107</v>
      </c>
      <c r="D72" s="8">
        <v>2.4900000000000002</v>
      </c>
      <c r="E72" s="4">
        <v>94</v>
      </c>
      <c r="F72" s="8">
        <v>4.2699999999999996</v>
      </c>
      <c r="G72" s="4">
        <v>13</v>
      </c>
      <c r="H72" s="8">
        <v>0.63</v>
      </c>
      <c r="I72" s="4">
        <v>0</v>
      </c>
    </row>
    <row r="73" spans="1:9" x14ac:dyDescent="0.2">
      <c r="A73" s="2">
        <v>5</v>
      </c>
      <c r="B73" s="1" t="s">
        <v>187</v>
      </c>
      <c r="C73" s="4">
        <v>102</v>
      </c>
      <c r="D73" s="8">
        <v>2.37</v>
      </c>
      <c r="E73" s="4">
        <v>77</v>
      </c>
      <c r="F73" s="8">
        <v>3.5</v>
      </c>
      <c r="G73" s="4">
        <v>25</v>
      </c>
      <c r="H73" s="8">
        <v>1.22</v>
      </c>
      <c r="I73" s="4">
        <v>0</v>
      </c>
    </row>
    <row r="74" spans="1:9" x14ac:dyDescent="0.2">
      <c r="A74" s="2">
        <v>6</v>
      </c>
      <c r="B74" s="1" t="s">
        <v>174</v>
      </c>
      <c r="C74" s="4">
        <v>92</v>
      </c>
      <c r="D74" s="8">
        <v>2.14</v>
      </c>
      <c r="E74" s="4">
        <v>27</v>
      </c>
      <c r="F74" s="8">
        <v>1.23</v>
      </c>
      <c r="G74" s="4">
        <v>65</v>
      </c>
      <c r="H74" s="8">
        <v>3.16</v>
      </c>
      <c r="I74" s="4">
        <v>0</v>
      </c>
    </row>
    <row r="75" spans="1:9" x14ac:dyDescent="0.2">
      <c r="A75" s="2">
        <v>7</v>
      </c>
      <c r="B75" s="1" t="s">
        <v>193</v>
      </c>
      <c r="C75" s="4">
        <v>89</v>
      </c>
      <c r="D75" s="8">
        <v>2.0699999999999998</v>
      </c>
      <c r="E75" s="4">
        <v>83</v>
      </c>
      <c r="F75" s="8">
        <v>3.77</v>
      </c>
      <c r="G75" s="4">
        <v>6</v>
      </c>
      <c r="H75" s="8">
        <v>0.28999999999999998</v>
      </c>
      <c r="I75" s="4">
        <v>0</v>
      </c>
    </row>
    <row r="76" spans="1:9" x14ac:dyDescent="0.2">
      <c r="A76" s="2">
        <v>8</v>
      </c>
      <c r="B76" s="1" t="s">
        <v>180</v>
      </c>
      <c r="C76" s="4">
        <v>88</v>
      </c>
      <c r="D76" s="8">
        <v>2.0499999999999998</v>
      </c>
      <c r="E76" s="4">
        <v>36</v>
      </c>
      <c r="F76" s="8">
        <v>1.63</v>
      </c>
      <c r="G76" s="4">
        <v>52</v>
      </c>
      <c r="H76" s="8">
        <v>2.5299999999999998</v>
      </c>
      <c r="I76" s="4">
        <v>0</v>
      </c>
    </row>
    <row r="77" spans="1:9" x14ac:dyDescent="0.2">
      <c r="A77" s="2">
        <v>9</v>
      </c>
      <c r="B77" s="1" t="s">
        <v>181</v>
      </c>
      <c r="C77" s="4">
        <v>76</v>
      </c>
      <c r="D77" s="8">
        <v>1.77</v>
      </c>
      <c r="E77" s="4">
        <v>44</v>
      </c>
      <c r="F77" s="8">
        <v>2</v>
      </c>
      <c r="G77" s="4">
        <v>32</v>
      </c>
      <c r="H77" s="8">
        <v>1.56</v>
      </c>
      <c r="I77" s="4">
        <v>0</v>
      </c>
    </row>
    <row r="78" spans="1:9" x14ac:dyDescent="0.2">
      <c r="A78" s="2">
        <v>10</v>
      </c>
      <c r="B78" s="1" t="s">
        <v>185</v>
      </c>
      <c r="C78" s="4">
        <v>73</v>
      </c>
      <c r="D78" s="8">
        <v>1.7</v>
      </c>
      <c r="E78" s="4">
        <v>44</v>
      </c>
      <c r="F78" s="8">
        <v>2</v>
      </c>
      <c r="G78" s="4">
        <v>29</v>
      </c>
      <c r="H78" s="8">
        <v>1.41</v>
      </c>
      <c r="I78" s="4">
        <v>0</v>
      </c>
    </row>
    <row r="79" spans="1:9" x14ac:dyDescent="0.2">
      <c r="A79" s="2">
        <v>11</v>
      </c>
      <c r="B79" s="1" t="s">
        <v>176</v>
      </c>
      <c r="C79" s="4">
        <v>72</v>
      </c>
      <c r="D79" s="8">
        <v>1.67</v>
      </c>
      <c r="E79" s="4">
        <v>30</v>
      </c>
      <c r="F79" s="8">
        <v>1.36</v>
      </c>
      <c r="G79" s="4">
        <v>42</v>
      </c>
      <c r="H79" s="8">
        <v>2.04</v>
      </c>
      <c r="I79" s="4">
        <v>0</v>
      </c>
    </row>
    <row r="80" spans="1:9" x14ac:dyDescent="0.2">
      <c r="A80" s="2">
        <v>12</v>
      </c>
      <c r="B80" s="1" t="s">
        <v>184</v>
      </c>
      <c r="C80" s="4">
        <v>68</v>
      </c>
      <c r="D80" s="8">
        <v>1.58</v>
      </c>
      <c r="E80" s="4">
        <v>30</v>
      </c>
      <c r="F80" s="8">
        <v>1.36</v>
      </c>
      <c r="G80" s="4">
        <v>37</v>
      </c>
      <c r="H80" s="8">
        <v>1.8</v>
      </c>
      <c r="I80" s="4">
        <v>0</v>
      </c>
    </row>
    <row r="81" spans="1:9" x14ac:dyDescent="0.2">
      <c r="A81" s="2">
        <v>13</v>
      </c>
      <c r="B81" s="1" t="s">
        <v>175</v>
      </c>
      <c r="C81" s="4">
        <v>65</v>
      </c>
      <c r="D81" s="8">
        <v>1.51</v>
      </c>
      <c r="E81" s="4">
        <v>15</v>
      </c>
      <c r="F81" s="8">
        <v>0.68</v>
      </c>
      <c r="G81" s="4">
        <v>50</v>
      </c>
      <c r="H81" s="8">
        <v>2.4300000000000002</v>
      </c>
      <c r="I81" s="4">
        <v>0</v>
      </c>
    </row>
    <row r="82" spans="1:9" x14ac:dyDescent="0.2">
      <c r="A82" s="2">
        <v>14</v>
      </c>
      <c r="B82" s="1" t="s">
        <v>200</v>
      </c>
      <c r="C82" s="4">
        <v>63</v>
      </c>
      <c r="D82" s="8">
        <v>1.46</v>
      </c>
      <c r="E82" s="4">
        <v>38</v>
      </c>
      <c r="F82" s="8">
        <v>1.72</v>
      </c>
      <c r="G82" s="4">
        <v>25</v>
      </c>
      <c r="H82" s="8">
        <v>1.22</v>
      </c>
      <c r="I82" s="4">
        <v>0</v>
      </c>
    </row>
    <row r="83" spans="1:9" x14ac:dyDescent="0.2">
      <c r="A83" s="2">
        <v>15</v>
      </c>
      <c r="B83" s="1" t="s">
        <v>194</v>
      </c>
      <c r="C83" s="4">
        <v>62</v>
      </c>
      <c r="D83" s="8">
        <v>1.44</v>
      </c>
      <c r="E83" s="4">
        <v>16</v>
      </c>
      <c r="F83" s="8">
        <v>0.73</v>
      </c>
      <c r="G83" s="4">
        <v>46</v>
      </c>
      <c r="H83" s="8">
        <v>2.2400000000000002</v>
      </c>
      <c r="I83" s="4">
        <v>0</v>
      </c>
    </row>
    <row r="84" spans="1:9" x14ac:dyDescent="0.2">
      <c r="A84" s="2">
        <v>16</v>
      </c>
      <c r="B84" s="1" t="s">
        <v>177</v>
      </c>
      <c r="C84" s="4">
        <v>60</v>
      </c>
      <c r="D84" s="8">
        <v>1.39</v>
      </c>
      <c r="E84" s="4">
        <v>29</v>
      </c>
      <c r="F84" s="8">
        <v>1.32</v>
      </c>
      <c r="G84" s="4">
        <v>31</v>
      </c>
      <c r="H84" s="8">
        <v>1.51</v>
      </c>
      <c r="I84" s="4">
        <v>0</v>
      </c>
    </row>
    <row r="85" spans="1:9" x14ac:dyDescent="0.2">
      <c r="A85" s="2">
        <v>17</v>
      </c>
      <c r="B85" s="1" t="s">
        <v>186</v>
      </c>
      <c r="C85" s="4">
        <v>59</v>
      </c>
      <c r="D85" s="8">
        <v>1.37</v>
      </c>
      <c r="E85" s="4">
        <v>45</v>
      </c>
      <c r="F85" s="8">
        <v>2.04</v>
      </c>
      <c r="G85" s="4">
        <v>14</v>
      </c>
      <c r="H85" s="8">
        <v>0.68</v>
      </c>
      <c r="I85" s="4">
        <v>0</v>
      </c>
    </row>
    <row r="86" spans="1:9" x14ac:dyDescent="0.2">
      <c r="A86" s="2">
        <v>18</v>
      </c>
      <c r="B86" s="1" t="s">
        <v>189</v>
      </c>
      <c r="C86" s="4">
        <v>57</v>
      </c>
      <c r="D86" s="8">
        <v>1.32</v>
      </c>
      <c r="E86" s="4">
        <v>56</v>
      </c>
      <c r="F86" s="8">
        <v>2.54</v>
      </c>
      <c r="G86" s="4">
        <v>1</v>
      </c>
      <c r="H86" s="8">
        <v>0.05</v>
      </c>
      <c r="I86" s="4">
        <v>0</v>
      </c>
    </row>
    <row r="87" spans="1:9" x14ac:dyDescent="0.2">
      <c r="A87" s="2">
        <v>19</v>
      </c>
      <c r="B87" s="1" t="s">
        <v>192</v>
      </c>
      <c r="C87" s="4">
        <v>56</v>
      </c>
      <c r="D87" s="8">
        <v>1.3</v>
      </c>
      <c r="E87" s="4">
        <v>40</v>
      </c>
      <c r="F87" s="8">
        <v>1.82</v>
      </c>
      <c r="G87" s="4">
        <v>16</v>
      </c>
      <c r="H87" s="8">
        <v>0.78</v>
      </c>
      <c r="I87" s="4">
        <v>0</v>
      </c>
    </row>
    <row r="88" spans="1:9" x14ac:dyDescent="0.2">
      <c r="A88" s="2">
        <v>20</v>
      </c>
      <c r="B88" s="1" t="s">
        <v>182</v>
      </c>
      <c r="C88" s="4">
        <v>55</v>
      </c>
      <c r="D88" s="8">
        <v>1.28</v>
      </c>
      <c r="E88" s="4">
        <v>9</v>
      </c>
      <c r="F88" s="8">
        <v>0.41</v>
      </c>
      <c r="G88" s="4">
        <v>46</v>
      </c>
      <c r="H88" s="8">
        <v>2.2400000000000002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191</v>
      </c>
      <c r="C91" s="4">
        <v>70</v>
      </c>
      <c r="D91" s="8">
        <v>4.54</v>
      </c>
      <c r="E91" s="4">
        <v>68</v>
      </c>
      <c r="F91" s="8">
        <v>9.86</v>
      </c>
      <c r="G91" s="4">
        <v>2</v>
      </c>
      <c r="H91" s="8">
        <v>0.24</v>
      </c>
      <c r="I91" s="4">
        <v>0</v>
      </c>
    </row>
    <row r="92" spans="1:9" x14ac:dyDescent="0.2">
      <c r="A92" s="2">
        <v>2</v>
      </c>
      <c r="B92" s="1" t="s">
        <v>183</v>
      </c>
      <c r="C92" s="4">
        <v>56</v>
      </c>
      <c r="D92" s="8">
        <v>3.63</v>
      </c>
      <c r="E92" s="4">
        <v>37</v>
      </c>
      <c r="F92" s="8">
        <v>5.36</v>
      </c>
      <c r="G92" s="4">
        <v>18</v>
      </c>
      <c r="H92" s="8">
        <v>2.19</v>
      </c>
      <c r="I92" s="4">
        <v>0</v>
      </c>
    </row>
    <row r="93" spans="1:9" x14ac:dyDescent="0.2">
      <c r="A93" s="2">
        <v>3</v>
      </c>
      <c r="B93" s="1" t="s">
        <v>203</v>
      </c>
      <c r="C93" s="4">
        <v>46</v>
      </c>
      <c r="D93" s="8">
        <v>2.98</v>
      </c>
      <c r="E93" s="4">
        <v>15</v>
      </c>
      <c r="F93" s="8">
        <v>2.17</v>
      </c>
      <c r="G93" s="4">
        <v>31</v>
      </c>
      <c r="H93" s="8">
        <v>3.77</v>
      </c>
      <c r="I93" s="4">
        <v>0</v>
      </c>
    </row>
    <row r="94" spans="1:9" x14ac:dyDescent="0.2">
      <c r="A94" s="2">
        <v>4</v>
      </c>
      <c r="B94" s="1" t="s">
        <v>190</v>
      </c>
      <c r="C94" s="4">
        <v>35</v>
      </c>
      <c r="D94" s="8">
        <v>2.27</v>
      </c>
      <c r="E94" s="4">
        <v>34</v>
      </c>
      <c r="F94" s="8">
        <v>4.93</v>
      </c>
      <c r="G94" s="4">
        <v>1</v>
      </c>
      <c r="H94" s="8">
        <v>0.12</v>
      </c>
      <c r="I94" s="4">
        <v>0</v>
      </c>
    </row>
    <row r="95" spans="1:9" x14ac:dyDescent="0.2">
      <c r="A95" s="2">
        <v>5</v>
      </c>
      <c r="B95" s="1" t="s">
        <v>187</v>
      </c>
      <c r="C95" s="4">
        <v>32</v>
      </c>
      <c r="D95" s="8">
        <v>2.0699999999999998</v>
      </c>
      <c r="E95" s="4">
        <v>18</v>
      </c>
      <c r="F95" s="8">
        <v>2.61</v>
      </c>
      <c r="G95" s="4">
        <v>14</v>
      </c>
      <c r="H95" s="8">
        <v>1.7</v>
      </c>
      <c r="I95" s="4">
        <v>0</v>
      </c>
    </row>
    <row r="96" spans="1:9" x14ac:dyDescent="0.2">
      <c r="A96" s="2">
        <v>6</v>
      </c>
      <c r="B96" s="1" t="s">
        <v>189</v>
      </c>
      <c r="C96" s="4">
        <v>31</v>
      </c>
      <c r="D96" s="8">
        <v>2.0099999999999998</v>
      </c>
      <c r="E96" s="4">
        <v>31</v>
      </c>
      <c r="F96" s="8">
        <v>4.49</v>
      </c>
      <c r="G96" s="4">
        <v>0</v>
      </c>
      <c r="H96" s="8">
        <v>0</v>
      </c>
      <c r="I96" s="4">
        <v>0</v>
      </c>
    </row>
    <row r="97" spans="1:9" x14ac:dyDescent="0.2">
      <c r="A97" s="2">
        <v>7</v>
      </c>
      <c r="B97" s="1" t="s">
        <v>180</v>
      </c>
      <c r="C97" s="4">
        <v>30</v>
      </c>
      <c r="D97" s="8">
        <v>1.94</v>
      </c>
      <c r="E97" s="4">
        <v>9</v>
      </c>
      <c r="F97" s="8">
        <v>1.3</v>
      </c>
      <c r="G97" s="4">
        <v>21</v>
      </c>
      <c r="H97" s="8">
        <v>2.5499999999999998</v>
      </c>
      <c r="I97" s="4">
        <v>0</v>
      </c>
    </row>
    <row r="98" spans="1:9" x14ac:dyDescent="0.2">
      <c r="A98" s="2">
        <v>7</v>
      </c>
      <c r="B98" s="1" t="s">
        <v>182</v>
      </c>
      <c r="C98" s="4">
        <v>30</v>
      </c>
      <c r="D98" s="8">
        <v>1.94</v>
      </c>
      <c r="E98" s="4">
        <v>1</v>
      </c>
      <c r="F98" s="8">
        <v>0.14000000000000001</v>
      </c>
      <c r="G98" s="4">
        <v>29</v>
      </c>
      <c r="H98" s="8">
        <v>3.53</v>
      </c>
      <c r="I98" s="4">
        <v>0</v>
      </c>
    </row>
    <row r="99" spans="1:9" x14ac:dyDescent="0.2">
      <c r="A99" s="2">
        <v>9</v>
      </c>
      <c r="B99" s="1" t="s">
        <v>175</v>
      </c>
      <c r="C99" s="4">
        <v>24</v>
      </c>
      <c r="D99" s="8">
        <v>1.56</v>
      </c>
      <c r="E99" s="4">
        <v>1</v>
      </c>
      <c r="F99" s="8">
        <v>0.14000000000000001</v>
      </c>
      <c r="G99" s="4">
        <v>23</v>
      </c>
      <c r="H99" s="8">
        <v>2.8</v>
      </c>
      <c r="I99" s="4">
        <v>0</v>
      </c>
    </row>
    <row r="100" spans="1:9" x14ac:dyDescent="0.2">
      <c r="A100" s="2">
        <v>9</v>
      </c>
      <c r="B100" s="1" t="s">
        <v>194</v>
      </c>
      <c r="C100" s="4">
        <v>24</v>
      </c>
      <c r="D100" s="8">
        <v>1.56</v>
      </c>
      <c r="E100" s="4">
        <v>7</v>
      </c>
      <c r="F100" s="8">
        <v>1.01</v>
      </c>
      <c r="G100" s="4">
        <v>17</v>
      </c>
      <c r="H100" s="8">
        <v>2.0699999999999998</v>
      </c>
      <c r="I100" s="4">
        <v>0</v>
      </c>
    </row>
    <row r="101" spans="1:9" x14ac:dyDescent="0.2">
      <c r="A101" s="2">
        <v>9</v>
      </c>
      <c r="B101" s="1" t="s">
        <v>181</v>
      </c>
      <c r="C101" s="4">
        <v>24</v>
      </c>
      <c r="D101" s="8">
        <v>1.56</v>
      </c>
      <c r="E101" s="4">
        <v>15</v>
      </c>
      <c r="F101" s="8">
        <v>2.17</v>
      </c>
      <c r="G101" s="4">
        <v>9</v>
      </c>
      <c r="H101" s="8">
        <v>1.0900000000000001</v>
      </c>
      <c r="I101" s="4">
        <v>0</v>
      </c>
    </row>
    <row r="102" spans="1:9" x14ac:dyDescent="0.2">
      <c r="A102" s="2">
        <v>12</v>
      </c>
      <c r="B102" s="1" t="s">
        <v>204</v>
      </c>
      <c r="C102" s="4">
        <v>23</v>
      </c>
      <c r="D102" s="8">
        <v>1.49</v>
      </c>
      <c r="E102" s="4">
        <v>6</v>
      </c>
      <c r="F102" s="8">
        <v>0.87</v>
      </c>
      <c r="G102" s="4">
        <v>17</v>
      </c>
      <c r="H102" s="8">
        <v>2.0699999999999998</v>
      </c>
      <c r="I102" s="4">
        <v>0</v>
      </c>
    </row>
    <row r="103" spans="1:9" x14ac:dyDescent="0.2">
      <c r="A103" s="2">
        <v>12</v>
      </c>
      <c r="B103" s="1" t="s">
        <v>192</v>
      </c>
      <c r="C103" s="4">
        <v>23</v>
      </c>
      <c r="D103" s="8">
        <v>1.49</v>
      </c>
      <c r="E103" s="4">
        <v>16</v>
      </c>
      <c r="F103" s="8">
        <v>2.3199999999999998</v>
      </c>
      <c r="G103" s="4">
        <v>7</v>
      </c>
      <c r="H103" s="8">
        <v>0.85</v>
      </c>
      <c r="I103" s="4">
        <v>0</v>
      </c>
    </row>
    <row r="104" spans="1:9" x14ac:dyDescent="0.2">
      <c r="A104" s="2">
        <v>14</v>
      </c>
      <c r="B104" s="1" t="s">
        <v>174</v>
      </c>
      <c r="C104" s="4">
        <v>22</v>
      </c>
      <c r="D104" s="8">
        <v>1.43</v>
      </c>
      <c r="E104" s="4">
        <v>4</v>
      </c>
      <c r="F104" s="8">
        <v>0.57999999999999996</v>
      </c>
      <c r="G104" s="4">
        <v>18</v>
      </c>
      <c r="H104" s="8">
        <v>2.19</v>
      </c>
      <c r="I104" s="4">
        <v>0</v>
      </c>
    </row>
    <row r="105" spans="1:9" x14ac:dyDescent="0.2">
      <c r="A105" s="2">
        <v>14</v>
      </c>
      <c r="B105" s="1" t="s">
        <v>202</v>
      </c>
      <c r="C105" s="4">
        <v>22</v>
      </c>
      <c r="D105" s="8">
        <v>1.43</v>
      </c>
      <c r="E105" s="4">
        <v>3</v>
      </c>
      <c r="F105" s="8">
        <v>0.43</v>
      </c>
      <c r="G105" s="4">
        <v>19</v>
      </c>
      <c r="H105" s="8">
        <v>2.31</v>
      </c>
      <c r="I105" s="4">
        <v>0</v>
      </c>
    </row>
    <row r="106" spans="1:9" x14ac:dyDescent="0.2">
      <c r="A106" s="2">
        <v>14</v>
      </c>
      <c r="B106" s="1" t="s">
        <v>193</v>
      </c>
      <c r="C106" s="4">
        <v>22</v>
      </c>
      <c r="D106" s="8">
        <v>1.43</v>
      </c>
      <c r="E106" s="4">
        <v>22</v>
      </c>
      <c r="F106" s="8">
        <v>3.19</v>
      </c>
      <c r="G106" s="4">
        <v>0</v>
      </c>
      <c r="H106" s="8">
        <v>0</v>
      </c>
      <c r="I106" s="4">
        <v>0</v>
      </c>
    </row>
    <row r="107" spans="1:9" x14ac:dyDescent="0.2">
      <c r="A107" s="2">
        <v>14</v>
      </c>
      <c r="B107" s="1" t="s">
        <v>200</v>
      </c>
      <c r="C107" s="4">
        <v>22</v>
      </c>
      <c r="D107" s="8">
        <v>1.43</v>
      </c>
      <c r="E107" s="4">
        <v>14</v>
      </c>
      <c r="F107" s="8">
        <v>2.0299999999999998</v>
      </c>
      <c r="G107" s="4">
        <v>8</v>
      </c>
      <c r="H107" s="8">
        <v>0.97</v>
      </c>
      <c r="I107" s="4">
        <v>0</v>
      </c>
    </row>
    <row r="108" spans="1:9" x14ac:dyDescent="0.2">
      <c r="A108" s="2">
        <v>18</v>
      </c>
      <c r="B108" s="1" t="s">
        <v>188</v>
      </c>
      <c r="C108" s="4">
        <v>21</v>
      </c>
      <c r="D108" s="8">
        <v>1.36</v>
      </c>
      <c r="E108" s="4">
        <v>16</v>
      </c>
      <c r="F108" s="8">
        <v>2.3199999999999998</v>
      </c>
      <c r="G108" s="4">
        <v>5</v>
      </c>
      <c r="H108" s="8">
        <v>0.61</v>
      </c>
      <c r="I108" s="4">
        <v>0</v>
      </c>
    </row>
    <row r="109" spans="1:9" x14ac:dyDescent="0.2">
      <c r="A109" s="2">
        <v>19</v>
      </c>
      <c r="B109" s="1" t="s">
        <v>184</v>
      </c>
      <c r="C109" s="4">
        <v>20</v>
      </c>
      <c r="D109" s="8">
        <v>1.3</v>
      </c>
      <c r="E109" s="4">
        <v>10</v>
      </c>
      <c r="F109" s="8">
        <v>1.45</v>
      </c>
      <c r="G109" s="4">
        <v>9</v>
      </c>
      <c r="H109" s="8">
        <v>1.0900000000000001</v>
      </c>
      <c r="I109" s="4">
        <v>0</v>
      </c>
    </row>
    <row r="110" spans="1:9" x14ac:dyDescent="0.2">
      <c r="A110" s="2">
        <v>20</v>
      </c>
      <c r="B110" s="1" t="s">
        <v>201</v>
      </c>
      <c r="C110" s="4">
        <v>19</v>
      </c>
      <c r="D110" s="8">
        <v>1.23</v>
      </c>
      <c r="E110" s="4">
        <v>8</v>
      </c>
      <c r="F110" s="8">
        <v>1.1599999999999999</v>
      </c>
      <c r="G110" s="4">
        <v>11</v>
      </c>
      <c r="H110" s="8">
        <v>1.34</v>
      </c>
      <c r="I110" s="4">
        <v>0</v>
      </c>
    </row>
    <row r="111" spans="1:9" x14ac:dyDescent="0.2">
      <c r="A111" s="2">
        <v>20</v>
      </c>
      <c r="B111" s="1" t="s">
        <v>205</v>
      </c>
      <c r="C111" s="4">
        <v>19</v>
      </c>
      <c r="D111" s="8">
        <v>1.23</v>
      </c>
      <c r="E111" s="4">
        <v>9</v>
      </c>
      <c r="F111" s="8">
        <v>1.3</v>
      </c>
      <c r="G111" s="4">
        <v>10</v>
      </c>
      <c r="H111" s="8">
        <v>1.22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183</v>
      </c>
      <c r="C114" s="4">
        <v>280</v>
      </c>
      <c r="D114" s="8">
        <v>7.85</v>
      </c>
      <c r="E114" s="4">
        <v>232</v>
      </c>
      <c r="F114" s="8">
        <v>11.55</v>
      </c>
      <c r="G114" s="4">
        <v>47</v>
      </c>
      <c r="H114" s="8">
        <v>3.15</v>
      </c>
      <c r="I114" s="4">
        <v>0</v>
      </c>
    </row>
    <row r="115" spans="1:9" x14ac:dyDescent="0.2">
      <c r="A115" s="2">
        <v>2</v>
      </c>
      <c r="B115" s="1" t="s">
        <v>191</v>
      </c>
      <c r="C115" s="4">
        <v>205</v>
      </c>
      <c r="D115" s="8">
        <v>5.74</v>
      </c>
      <c r="E115" s="4">
        <v>191</v>
      </c>
      <c r="F115" s="8">
        <v>9.51</v>
      </c>
      <c r="G115" s="4">
        <v>14</v>
      </c>
      <c r="H115" s="8">
        <v>0.94</v>
      </c>
      <c r="I115" s="4">
        <v>0</v>
      </c>
    </row>
    <row r="116" spans="1:9" x14ac:dyDescent="0.2">
      <c r="A116" s="2">
        <v>3</v>
      </c>
      <c r="B116" s="1" t="s">
        <v>187</v>
      </c>
      <c r="C116" s="4">
        <v>127</v>
      </c>
      <c r="D116" s="8">
        <v>3.56</v>
      </c>
      <c r="E116" s="4">
        <v>87</v>
      </c>
      <c r="F116" s="8">
        <v>4.33</v>
      </c>
      <c r="G116" s="4">
        <v>40</v>
      </c>
      <c r="H116" s="8">
        <v>2.68</v>
      </c>
      <c r="I116" s="4">
        <v>0</v>
      </c>
    </row>
    <row r="117" spans="1:9" x14ac:dyDescent="0.2">
      <c r="A117" s="2">
        <v>4</v>
      </c>
      <c r="B117" s="1" t="s">
        <v>188</v>
      </c>
      <c r="C117" s="4">
        <v>120</v>
      </c>
      <c r="D117" s="8">
        <v>3.36</v>
      </c>
      <c r="E117" s="4">
        <v>103</v>
      </c>
      <c r="F117" s="8">
        <v>5.13</v>
      </c>
      <c r="G117" s="4">
        <v>17</v>
      </c>
      <c r="H117" s="8">
        <v>1.1399999999999999</v>
      </c>
      <c r="I117" s="4">
        <v>0</v>
      </c>
    </row>
    <row r="118" spans="1:9" x14ac:dyDescent="0.2">
      <c r="A118" s="2">
        <v>5</v>
      </c>
      <c r="B118" s="1" t="s">
        <v>189</v>
      </c>
      <c r="C118" s="4">
        <v>100</v>
      </c>
      <c r="D118" s="8">
        <v>2.8</v>
      </c>
      <c r="E118" s="4">
        <v>96</v>
      </c>
      <c r="F118" s="8">
        <v>4.78</v>
      </c>
      <c r="G118" s="4">
        <v>4</v>
      </c>
      <c r="H118" s="8">
        <v>0.27</v>
      </c>
      <c r="I118" s="4">
        <v>0</v>
      </c>
    </row>
    <row r="119" spans="1:9" x14ac:dyDescent="0.2">
      <c r="A119" s="2">
        <v>6</v>
      </c>
      <c r="B119" s="1" t="s">
        <v>190</v>
      </c>
      <c r="C119" s="4">
        <v>92</v>
      </c>
      <c r="D119" s="8">
        <v>2.58</v>
      </c>
      <c r="E119" s="4">
        <v>87</v>
      </c>
      <c r="F119" s="8">
        <v>4.33</v>
      </c>
      <c r="G119" s="4">
        <v>5</v>
      </c>
      <c r="H119" s="8">
        <v>0.34</v>
      </c>
      <c r="I119" s="4">
        <v>0</v>
      </c>
    </row>
    <row r="120" spans="1:9" x14ac:dyDescent="0.2">
      <c r="A120" s="2">
        <v>7</v>
      </c>
      <c r="B120" s="1" t="s">
        <v>193</v>
      </c>
      <c r="C120" s="4">
        <v>82</v>
      </c>
      <c r="D120" s="8">
        <v>2.2999999999999998</v>
      </c>
      <c r="E120" s="4">
        <v>78</v>
      </c>
      <c r="F120" s="8">
        <v>3.88</v>
      </c>
      <c r="G120" s="4">
        <v>4</v>
      </c>
      <c r="H120" s="8">
        <v>0.27</v>
      </c>
      <c r="I120" s="4">
        <v>0</v>
      </c>
    </row>
    <row r="121" spans="1:9" x14ac:dyDescent="0.2">
      <c r="A121" s="2">
        <v>8</v>
      </c>
      <c r="B121" s="1" t="s">
        <v>181</v>
      </c>
      <c r="C121" s="4">
        <v>74</v>
      </c>
      <c r="D121" s="8">
        <v>2.0699999999999998</v>
      </c>
      <c r="E121" s="4">
        <v>50</v>
      </c>
      <c r="F121" s="8">
        <v>2.4900000000000002</v>
      </c>
      <c r="G121" s="4">
        <v>24</v>
      </c>
      <c r="H121" s="8">
        <v>1.61</v>
      </c>
      <c r="I121" s="4">
        <v>0</v>
      </c>
    </row>
    <row r="122" spans="1:9" x14ac:dyDescent="0.2">
      <c r="A122" s="2">
        <v>9</v>
      </c>
      <c r="B122" s="1" t="s">
        <v>194</v>
      </c>
      <c r="C122" s="4">
        <v>61</v>
      </c>
      <c r="D122" s="8">
        <v>1.71</v>
      </c>
      <c r="E122" s="4">
        <v>32</v>
      </c>
      <c r="F122" s="8">
        <v>1.59</v>
      </c>
      <c r="G122" s="4">
        <v>29</v>
      </c>
      <c r="H122" s="8">
        <v>1.95</v>
      </c>
      <c r="I122" s="4">
        <v>0</v>
      </c>
    </row>
    <row r="123" spans="1:9" x14ac:dyDescent="0.2">
      <c r="A123" s="2">
        <v>10</v>
      </c>
      <c r="B123" s="1" t="s">
        <v>174</v>
      </c>
      <c r="C123" s="4">
        <v>60</v>
      </c>
      <c r="D123" s="8">
        <v>1.68</v>
      </c>
      <c r="E123" s="4">
        <v>14</v>
      </c>
      <c r="F123" s="8">
        <v>0.7</v>
      </c>
      <c r="G123" s="4">
        <v>46</v>
      </c>
      <c r="H123" s="8">
        <v>3.09</v>
      </c>
      <c r="I123" s="4">
        <v>0</v>
      </c>
    </row>
    <row r="124" spans="1:9" x14ac:dyDescent="0.2">
      <c r="A124" s="2">
        <v>10</v>
      </c>
      <c r="B124" s="1" t="s">
        <v>184</v>
      </c>
      <c r="C124" s="4">
        <v>60</v>
      </c>
      <c r="D124" s="8">
        <v>1.68</v>
      </c>
      <c r="E124" s="4">
        <v>20</v>
      </c>
      <c r="F124" s="8">
        <v>1</v>
      </c>
      <c r="G124" s="4">
        <v>34</v>
      </c>
      <c r="H124" s="8">
        <v>2.2799999999999998</v>
      </c>
      <c r="I124" s="4">
        <v>0</v>
      </c>
    </row>
    <row r="125" spans="1:9" x14ac:dyDescent="0.2">
      <c r="A125" s="2">
        <v>12</v>
      </c>
      <c r="B125" s="1" t="s">
        <v>180</v>
      </c>
      <c r="C125" s="4">
        <v>59</v>
      </c>
      <c r="D125" s="8">
        <v>1.65</v>
      </c>
      <c r="E125" s="4">
        <v>25</v>
      </c>
      <c r="F125" s="8">
        <v>1.25</v>
      </c>
      <c r="G125" s="4">
        <v>34</v>
      </c>
      <c r="H125" s="8">
        <v>2.2799999999999998</v>
      </c>
      <c r="I125" s="4">
        <v>0</v>
      </c>
    </row>
    <row r="126" spans="1:9" x14ac:dyDescent="0.2">
      <c r="A126" s="2">
        <v>13</v>
      </c>
      <c r="B126" s="1" t="s">
        <v>196</v>
      </c>
      <c r="C126" s="4">
        <v>52</v>
      </c>
      <c r="D126" s="8">
        <v>1.46</v>
      </c>
      <c r="E126" s="4">
        <v>29</v>
      </c>
      <c r="F126" s="8">
        <v>1.44</v>
      </c>
      <c r="G126" s="4">
        <v>23</v>
      </c>
      <c r="H126" s="8">
        <v>1.54</v>
      </c>
      <c r="I126" s="4">
        <v>0</v>
      </c>
    </row>
    <row r="127" spans="1:9" x14ac:dyDescent="0.2">
      <c r="A127" s="2">
        <v>13</v>
      </c>
      <c r="B127" s="1" t="s">
        <v>192</v>
      </c>
      <c r="C127" s="4">
        <v>52</v>
      </c>
      <c r="D127" s="8">
        <v>1.46</v>
      </c>
      <c r="E127" s="4">
        <v>42</v>
      </c>
      <c r="F127" s="8">
        <v>2.09</v>
      </c>
      <c r="G127" s="4">
        <v>10</v>
      </c>
      <c r="H127" s="8">
        <v>0.67</v>
      </c>
      <c r="I127" s="4">
        <v>0</v>
      </c>
    </row>
    <row r="128" spans="1:9" x14ac:dyDescent="0.2">
      <c r="A128" s="2">
        <v>15</v>
      </c>
      <c r="B128" s="1" t="s">
        <v>182</v>
      </c>
      <c r="C128" s="4">
        <v>50</v>
      </c>
      <c r="D128" s="8">
        <v>1.4</v>
      </c>
      <c r="E128" s="4">
        <v>7</v>
      </c>
      <c r="F128" s="8">
        <v>0.35</v>
      </c>
      <c r="G128" s="4">
        <v>43</v>
      </c>
      <c r="H128" s="8">
        <v>2.88</v>
      </c>
      <c r="I128" s="4">
        <v>0</v>
      </c>
    </row>
    <row r="129" spans="1:9" x14ac:dyDescent="0.2">
      <c r="A129" s="2">
        <v>16</v>
      </c>
      <c r="B129" s="1" t="s">
        <v>176</v>
      </c>
      <c r="C129" s="4">
        <v>48</v>
      </c>
      <c r="D129" s="8">
        <v>1.34</v>
      </c>
      <c r="E129" s="4">
        <v>19</v>
      </c>
      <c r="F129" s="8">
        <v>0.95</v>
      </c>
      <c r="G129" s="4">
        <v>29</v>
      </c>
      <c r="H129" s="8">
        <v>1.95</v>
      </c>
      <c r="I129" s="4">
        <v>0</v>
      </c>
    </row>
    <row r="130" spans="1:9" x14ac:dyDescent="0.2">
      <c r="A130" s="2">
        <v>16</v>
      </c>
      <c r="B130" s="1" t="s">
        <v>200</v>
      </c>
      <c r="C130" s="4">
        <v>48</v>
      </c>
      <c r="D130" s="8">
        <v>1.34</v>
      </c>
      <c r="E130" s="4">
        <v>32</v>
      </c>
      <c r="F130" s="8">
        <v>1.59</v>
      </c>
      <c r="G130" s="4">
        <v>15</v>
      </c>
      <c r="H130" s="8">
        <v>1.01</v>
      </c>
      <c r="I130" s="4">
        <v>0</v>
      </c>
    </row>
    <row r="131" spans="1:9" x14ac:dyDescent="0.2">
      <c r="A131" s="2">
        <v>18</v>
      </c>
      <c r="B131" s="1" t="s">
        <v>175</v>
      </c>
      <c r="C131" s="4">
        <v>45</v>
      </c>
      <c r="D131" s="8">
        <v>1.26</v>
      </c>
      <c r="E131" s="4">
        <v>12</v>
      </c>
      <c r="F131" s="8">
        <v>0.6</v>
      </c>
      <c r="G131" s="4">
        <v>33</v>
      </c>
      <c r="H131" s="8">
        <v>2.21</v>
      </c>
      <c r="I131" s="4">
        <v>0</v>
      </c>
    </row>
    <row r="132" spans="1:9" x14ac:dyDescent="0.2">
      <c r="A132" s="2">
        <v>18</v>
      </c>
      <c r="B132" s="1" t="s">
        <v>177</v>
      </c>
      <c r="C132" s="4">
        <v>45</v>
      </c>
      <c r="D132" s="8">
        <v>1.26</v>
      </c>
      <c r="E132" s="4">
        <v>12</v>
      </c>
      <c r="F132" s="8">
        <v>0.6</v>
      </c>
      <c r="G132" s="4">
        <v>33</v>
      </c>
      <c r="H132" s="8">
        <v>2.21</v>
      </c>
      <c r="I132" s="4">
        <v>0</v>
      </c>
    </row>
    <row r="133" spans="1:9" x14ac:dyDescent="0.2">
      <c r="A133" s="2">
        <v>20</v>
      </c>
      <c r="B133" s="1" t="s">
        <v>186</v>
      </c>
      <c r="C133" s="4">
        <v>44</v>
      </c>
      <c r="D133" s="8">
        <v>1.23</v>
      </c>
      <c r="E133" s="4">
        <v>34</v>
      </c>
      <c r="F133" s="8">
        <v>1.69</v>
      </c>
      <c r="G133" s="4">
        <v>10</v>
      </c>
      <c r="H133" s="8">
        <v>0.67</v>
      </c>
      <c r="I133" s="4">
        <v>0</v>
      </c>
    </row>
    <row r="134" spans="1:9" x14ac:dyDescent="0.2">
      <c r="A134" s="1"/>
      <c r="C134" s="4"/>
      <c r="D134" s="8"/>
      <c r="E134" s="4"/>
      <c r="F134" s="8"/>
      <c r="G134" s="4"/>
      <c r="H134" s="8"/>
      <c r="I134" s="4"/>
    </row>
    <row r="135" spans="1:9" x14ac:dyDescent="0.2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2">
      <c r="A136" s="2">
        <v>1</v>
      </c>
      <c r="B136" s="1" t="s">
        <v>183</v>
      </c>
      <c r="C136" s="4">
        <v>180</v>
      </c>
      <c r="D136" s="8">
        <v>9.49</v>
      </c>
      <c r="E136" s="4">
        <v>150</v>
      </c>
      <c r="F136" s="8">
        <v>16.38</v>
      </c>
      <c r="G136" s="4">
        <v>30</v>
      </c>
      <c r="H136" s="8">
        <v>3.13</v>
      </c>
      <c r="I136" s="4">
        <v>0</v>
      </c>
    </row>
    <row r="137" spans="1:9" x14ac:dyDescent="0.2">
      <c r="A137" s="2">
        <v>2</v>
      </c>
      <c r="B137" s="1" t="s">
        <v>191</v>
      </c>
      <c r="C137" s="4">
        <v>84</v>
      </c>
      <c r="D137" s="8">
        <v>4.43</v>
      </c>
      <c r="E137" s="4">
        <v>70</v>
      </c>
      <c r="F137" s="8">
        <v>7.64</v>
      </c>
      <c r="G137" s="4">
        <v>14</v>
      </c>
      <c r="H137" s="8">
        <v>1.46</v>
      </c>
      <c r="I137" s="4">
        <v>0</v>
      </c>
    </row>
    <row r="138" spans="1:9" x14ac:dyDescent="0.2">
      <c r="A138" s="2">
        <v>3</v>
      </c>
      <c r="B138" s="1" t="s">
        <v>189</v>
      </c>
      <c r="C138" s="4">
        <v>63</v>
      </c>
      <c r="D138" s="8">
        <v>3.32</v>
      </c>
      <c r="E138" s="4">
        <v>57</v>
      </c>
      <c r="F138" s="8">
        <v>6.22</v>
      </c>
      <c r="G138" s="4">
        <v>6</v>
      </c>
      <c r="H138" s="8">
        <v>0.63</v>
      </c>
      <c r="I138" s="4">
        <v>0</v>
      </c>
    </row>
    <row r="139" spans="1:9" x14ac:dyDescent="0.2">
      <c r="A139" s="2">
        <v>4</v>
      </c>
      <c r="B139" s="1" t="s">
        <v>188</v>
      </c>
      <c r="C139" s="4">
        <v>45</v>
      </c>
      <c r="D139" s="8">
        <v>2.37</v>
      </c>
      <c r="E139" s="4">
        <v>37</v>
      </c>
      <c r="F139" s="8">
        <v>4.04</v>
      </c>
      <c r="G139" s="4">
        <v>8</v>
      </c>
      <c r="H139" s="8">
        <v>0.83</v>
      </c>
      <c r="I139" s="4">
        <v>0</v>
      </c>
    </row>
    <row r="140" spans="1:9" x14ac:dyDescent="0.2">
      <c r="A140" s="2">
        <v>5</v>
      </c>
      <c r="B140" s="1" t="s">
        <v>187</v>
      </c>
      <c r="C140" s="4">
        <v>42</v>
      </c>
      <c r="D140" s="8">
        <v>2.21</v>
      </c>
      <c r="E140" s="4">
        <v>32</v>
      </c>
      <c r="F140" s="8">
        <v>3.49</v>
      </c>
      <c r="G140" s="4">
        <v>10</v>
      </c>
      <c r="H140" s="8">
        <v>1.04</v>
      </c>
      <c r="I140" s="4">
        <v>0</v>
      </c>
    </row>
    <row r="141" spans="1:9" x14ac:dyDescent="0.2">
      <c r="A141" s="2">
        <v>6</v>
      </c>
      <c r="B141" s="1" t="s">
        <v>193</v>
      </c>
      <c r="C141" s="4">
        <v>39</v>
      </c>
      <c r="D141" s="8">
        <v>2.06</v>
      </c>
      <c r="E141" s="4">
        <v>32</v>
      </c>
      <c r="F141" s="8">
        <v>3.49</v>
      </c>
      <c r="G141" s="4">
        <v>7</v>
      </c>
      <c r="H141" s="8">
        <v>0.73</v>
      </c>
      <c r="I141" s="4">
        <v>0</v>
      </c>
    </row>
    <row r="142" spans="1:9" x14ac:dyDescent="0.2">
      <c r="A142" s="2">
        <v>7</v>
      </c>
      <c r="B142" s="1" t="s">
        <v>190</v>
      </c>
      <c r="C142" s="4">
        <v>37</v>
      </c>
      <c r="D142" s="8">
        <v>1.95</v>
      </c>
      <c r="E142" s="4">
        <v>33</v>
      </c>
      <c r="F142" s="8">
        <v>3.6</v>
      </c>
      <c r="G142" s="4">
        <v>4</v>
      </c>
      <c r="H142" s="8">
        <v>0.42</v>
      </c>
      <c r="I142" s="4">
        <v>0</v>
      </c>
    </row>
    <row r="143" spans="1:9" x14ac:dyDescent="0.2">
      <c r="A143" s="2">
        <v>8</v>
      </c>
      <c r="B143" s="1" t="s">
        <v>182</v>
      </c>
      <c r="C143" s="4">
        <v>36</v>
      </c>
      <c r="D143" s="8">
        <v>1.9</v>
      </c>
      <c r="E143" s="4">
        <v>11</v>
      </c>
      <c r="F143" s="8">
        <v>1.2</v>
      </c>
      <c r="G143" s="4">
        <v>24</v>
      </c>
      <c r="H143" s="8">
        <v>2.5</v>
      </c>
      <c r="I143" s="4">
        <v>0</v>
      </c>
    </row>
    <row r="144" spans="1:9" x14ac:dyDescent="0.2">
      <c r="A144" s="2">
        <v>9</v>
      </c>
      <c r="B144" s="1" t="s">
        <v>174</v>
      </c>
      <c r="C144" s="4">
        <v>35</v>
      </c>
      <c r="D144" s="8">
        <v>1.85</v>
      </c>
      <c r="E144" s="4">
        <v>8</v>
      </c>
      <c r="F144" s="8">
        <v>0.87</v>
      </c>
      <c r="G144" s="4">
        <v>27</v>
      </c>
      <c r="H144" s="8">
        <v>2.81</v>
      </c>
      <c r="I144" s="4">
        <v>0</v>
      </c>
    </row>
    <row r="145" spans="1:9" x14ac:dyDescent="0.2">
      <c r="A145" s="2">
        <v>9</v>
      </c>
      <c r="B145" s="1" t="s">
        <v>178</v>
      </c>
      <c r="C145" s="4">
        <v>35</v>
      </c>
      <c r="D145" s="8">
        <v>1.85</v>
      </c>
      <c r="E145" s="4">
        <v>9</v>
      </c>
      <c r="F145" s="8">
        <v>0.98</v>
      </c>
      <c r="G145" s="4">
        <v>26</v>
      </c>
      <c r="H145" s="8">
        <v>2.71</v>
      </c>
      <c r="I145" s="4">
        <v>0</v>
      </c>
    </row>
    <row r="146" spans="1:9" x14ac:dyDescent="0.2">
      <c r="A146" s="2">
        <v>9</v>
      </c>
      <c r="B146" s="1" t="s">
        <v>192</v>
      </c>
      <c r="C146" s="4">
        <v>35</v>
      </c>
      <c r="D146" s="8">
        <v>1.85</v>
      </c>
      <c r="E146" s="4">
        <v>27</v>
      </c>
      <c r="F146" s="8">
        <v>2.95</v>
      </c>
      <c r="G146" s="4">
        <v>8</v>
      </c>
      <c r="H146" s="8">
        <v>0.83</v>
      </c>
      <c r="I146" s="4">
        <v>0</v>
      </c>
    </row>
    <row r="147" spans="1:9" x14ac:dyDescent="0.2">
      <c r="A147" s="2">
        <v>12</v>
      </c>
      <c r="B147" s="1" t="s">
        <v>195</v>
      </c>
      <c r="C147" s="4">
        <v>34</v>
      </c>
      <c r="D147" s="8">
        <v>1.79</v>
      </c>
      <c r="E147" s="4">
        <v>31</v>
      </c>
      <c r="F147" s="8">
        <v>3.38</v>
      </c>
      <c r="G147" s="4">
        <v>3</v>
      </c>
      <c r="H147" s="8">
        <v>0.31</v>
      </c>
      <c r="I147" s="4">
        <v>0</v>
      </c>
    </row>
    <row r="148" spans="1:9" x14ac:dyDescent="0.2">
      <c r="A148" s="2">
        <v>13</v>
      </c>
      <c r="B148" s="1" t="s">
        <v>176</v>
      </c>
      <c r="C148" s="4">
        <v>29</v>
      </c>
      <c r="D148" s="8">
        <v>1.53</v>
      </c>
      <c r="E148" s="4">
        <v>9</v>
      </c>
      <c r="F148" s="8">
        <v>0.98</v>
      </c>
      <c r="G148" s="4">
        <v>20</v>
      </c>
      <c r="H148" s="8">
        <v>2.08</v>
      </c>
      <c r="I148" s="4">
        <v>0</v>
      </c>
    </row>
    <row r="149" spans="1:9" x14ac:dyDescent="0.2">
      <c r="A149" s="2">
        <v>14</v>
      </c>
      <c r="B149" s="1" t="s">
        <v>180</v>
      </c>
      <c r="C149" s="4">
        <v>27</v>
      </c>
      <c r="D149" s="8">
        <v>1.42</v>
      </c>
      <c r="E149" s="4">
        <v>12</v>
      </c>
      <c r="F149" s="8">
        <v>1.31</v>
      </c>
      <c r="G149" s="4">
        <v>15</v>
      </c>
      <c r="H149" s="8">
        <v>1.56</v>
      </c>
      <c r="I149" s="4">
        <v>0</v>
      </c>
    </row>
    <row r="150" spans="1:9" x14ac:dyDescent="0.2">
      <c r="A150" s="2">
        <v>14</v>
      </c>
      <c r="B150" s="1" t="s">
        <v>181</v>
      </c>
      <c r="C150" s="4">
        <v>27</v>
      </c>
      <c r="D150" s="8">
        <v>1.42</v>
      </c>
      <c r="E150" s="4">
        <v>15</v>
      </c>
      <c r="F150" s="8">
        <v>1.64</v>
      </c>
      <c r="G150" s="4">
        <v>12</v>
      </c>
      <c r="H150" s="8">
        <v>1.25</v>
      </c>
      <c r="I150" s="4">
        <v>0</v>
      </c>
    </row>
    <row r="151" spans="1:9" x14ac:dyDescent="0.2">
      <c r="A151" s="2">
        <v>16</v>
      </c>
      <c r="B151" s="1" t="s">
        <v>206</v>
      </c>
      <c r="C151" s="4">
        <v>26</v>
      </c>
      <c r="D151" s="8">
        <v>1.37</v>
      </c>
      <c r="E151" s="4">
        <v>1</v>
      </c>
      <c r="F151" s="8">
        <v>0.11</v>
      </c>
      <c r="G151" s="4">
        <v>25</v>
      </c>
      <c r="H151" s="8">
        <v>2.6</v>
      </c>
      <c r="I151" s="4">
        <v>0</v>
      </c>
    </row>
    <row r="152" spans="1:9" x14ac:dyDescent="0.2">
      <c r="A152" s="2">
        <v>17</v>
      </c>
      <c r="B152" s="1" t="s">
        <v>194</v>
      </c>
      <c r="C152" s="4">
        <v>25</v>
      </c>
      <c r="D152" s="8">
        <v>1.32</v>
      </c>
      <c r="E152" s="4">
        <v>11</v>
      </c>
      <c r="F152" s="8">
        <v>1.2</v>
      </c>
      <c r="G152" s="4">
        <v>14</v>
      </c>
      <c r="H152" s="8">
        <v>1.46</v>
      </c>
      <c r="I152" s="4">
        <v>0</v>
      </c>
    </row>
    <row r="153" spans="1:9" x14ac:dyDescent="0.2">
      <c r="A153" s="2">
        <v>18</v>
      </c>
      <c r="B153" s="1" t="s">
        <v>175</v>
      </c>
      <c r="C153" s="4">
        <v>23</v>
      </c>
      <c r="D153" s="8">
        <v>1.21</v>
      </c>
      <c r="E153" s="4">
        <v>1</v>
      </c>
      <c r="F153" s="8">
        <v>0.11</v>
      </c>
      <c r="G153" s="4">
        <v>22</v>
      </c>
      <c r="H153" s="8">
        <v>2.29</v>
      </c>
      <c r="I153" s="4">
        <v>0</v>
      </c>
    </row>
    <row r="154" spans="1:9" x14ac:dyDescent="0.2">
      <c r="A154" s="2">
        <v>18</v>
      </c>
      <c r="B154" s="1" t="s">
        <v>179</v>
      </c>
      <c r="C154" s="4">
        <v>23</v>
      </c>
      <c r="D154" s="8">
        <v>1.21</v>
      </c>
      <c r="E154" s="4">
        <v>11</v>
      </c>
      <c r="F154" s="8">
        <v>1.2</v>
      </c>
      <c r="G154" s="4">
        <v>12</v>
      </c>
      <c r="H154" s="8">
        <v>1.25</v>
      </c>
      <c r="I154" s="4">
        <v>0</v>
      </c>
    </row>
    <row r="155" spans="1:9" x14ac:dyDescent="0.2">
      <c r="A155" s="2">
        <v>18</v>
      </c>
      <c r="B155" s="1" t="s">
        <v>184</v>
      </c>
      <c r="C155" s="4">
        <v>23</v>
      </c>
      <c r="D155" s="8">
        <v>1.21</v>
      </c>
      <c r="E155" s="4">
        <v>8</v>
      </c>
      <c r="F155" s="8">
        <v>0.87</v>
      </c>
      <c r="G155" s="4">
        <v>15</v>
      </c>
      <c r="H155" s="8">
        <v>1.56</v>
      </c>
      <c r="I155" s="4">
        <v>0</v>
      </c>
    </row>
    <row r="156" spans="1:9" x14ac:dyDescent="0.2">
      <c r="A156" s="2">
        <v>18</v>
      </c>
      <c r="B156" s="1" t="s">
        <v>207</v>
      </c>
      <c r="C156" s="4">
        <v>23</v>
      </c>
      <c r="D156" s="8">
        <v>1.21</v>
      </c>
      <c r="E156" s="4">
        <v>1</v>
      </c>
      <c r="F156" s="8">
        <v>0.11</v>
      </c>
      <c r="G156" s="4">
        <v>22</v>
      </c>
      <c r="H156" s="8">
        <v>2.29</v>
      </c>
      <c r="I156" s="4">
        <v>0</v>
      </c>
    </row>
    <row r="157" spans="1:9" x14ac:dyDescent="0.2">
      <c r="A157" s="1"/>
      <c r="C157" s="4"/>
      <c r="D157" s="8"/>
      <c r="E157" s="4"/>
      <c r="F157" s="8"/>
      <c r="G157" s="4"/>
      <c r="H157" s="8"/>
      <c r="I157" s="4"/>
    </row>
    <row r="158" spans="1:9" x14ac:dyDescent="0.2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2">
      <c r="A159" s="2">
        <v>1</v>
      </c>
      <c r="B159" s="1" t="s">
        <v>191</v>
      </c>
      <c r="C159" s="4">
        <v>74</v>
      </c>
      <c r="D159" s="8">
        <v>5.32</v>
      </c>
      <c r="E159" s="4">
        <v>70</v>
      </c>
      <c r="F159" s="8">
        <v>9.5399999999999991</v>
      </c>
      <c r="G159" s="4">
        <v>4</v>
      </c>
      <c r="H159" s="8">
        <v>0.63</v>
      </c>
      <c r="I159" s="4">
        <v>0</v>
      </c>
    </row>
    <row r="160" spans="1:9" x14ac:dyDescent="0.2">
      <c r="A160" s="2">
        <v>2</v>
      </c>
      <c r="B160" s="1" t="s">
        <v>183</v>
      </c>
      <c r="C160" s="4">
        <v>66</v>
      </c>
      <c r="D160" s="8">
        <v>4.74</v>
      </c>
      <c r="E160" s="4">
        <v>43</v>
      </c>
      <c r="F160" s="8">
        <v>5.86</v>
      </c>
      <c r="G160" s="4">
        <v>23</v>
      </c>
      <c r="H160" s="8">
        <v>3.6</v>
      </c>
      <c r="I160" s="4">
        <v>0</v>
      </c>
    </row>
    <row r="161" spans="1:9" x14ac:dyDescent="0.2">
      <c r="A161" s="2">
        <v>3</v>
      </c>
      <c r="B161" s="1" t="s">
        <v>189</v>
      </c>
      <c r="C161" s="4">
        <v>45</v>
      </c>
      <c r="D161" s="8">
        <v>3.24</v>
      </c>
      <c r="E161" s="4">
        <v>45</v>
      </c>
      <c r="F161" s="8">
        <v>6.13</v>
      </c>
      <c r="G161" s="4">
        <v>0</v>
      </c>
      <c r="H161" s="8">
        <v>0</v>
      </c>
      <c r="I161" s="4">
        <v>0</v>
      </c>
    </row>
    <row r="162" spans="1:9" x14ac:dyDescent="0.2">
      <c r="A162" s="2">
        <v>4</v>
      </c>
      <c r="B162" s="1" t="s">
        <v>185</v>
      </c>
      <c r="C162" s="4">
        <v>40</v>
      </c>
      <c r="D162" s="8">
        <v>2.88</v>
      </c>
      <c r="E162" s="4">
        <v>38</v>
      </c>
      <c r="F162" s="8">
        <v>5.18</v>
      </c>
      <c r="G162" s="4">
        <v>2</v>
      </c>
      <c r="H162" s="8">
        <v>0.31</v>
      </c>
      <c r="I162" s="4">
        <v>0</v>
      </c>
    </row>
    <row r="163" spans="1:9" x14ac:dyDescent="0.2">
      <c r="A163" s="2">
        <v>5</v>
      </c>
      <c r="B163" s="1" t="s">
        <v>190</v>
      </c>
      <c r="C163" s="4">
        <v>37</v>
      </c>
      <c r="D163" s="8">
        <v>2.66</v>
      </c>
      <c r="E163" s="4">
        <v>36</v>
      </c>
      <c r="F163" s="8">
        <v>4.9000000000000004</v>
      </c>
      <c r="G163" s="4">
        <v>1</v>
      </c>
      <c r="H163" s="8">
        <v>0.16</v>
      </c>
      <c r="I163" s="4">
        <v>0</v>
      </c>
    </row>
    <row r="164" spans="1:9" x14ac:dyDescent="0.2">
      <c r="A164" s="2">
        <v>6</v>
      </c>
      <c r="B164" s="1" t="s">
        <v>192</v>
      </c>
      <c r="C164" s="4">
        <v>35</v>
      </c>
      <c r="D164" s="8">
        <v>2.52</v>
      </c>
      <c r="E164" s="4">
        <v>27</v>
      </c>
      <c r="F164" s="8">
        <v>3.68</v>
      </c>
      <c r="G164" s="4">
        <v>8</v>
      </c>
      <c r="H164" s="8">
        <v>1.25</v>
      </c>
      <c r="I164" s="4">
        <v>0</v>
      </c>
    </row>
    <row r="165" spans="1:9" x14ac:dyDescent="0.2">
      <c r="A165" s="2">
        <v>7</v>
      </c>
      <c r="B165" s="1" t="s">
        <v>193</v>
      </c>
      <c r="C165" s="4">
        <v>33</v>
      </c>
      <c r="D165" s="8">
        <v>2.37</v>
      </c>
      <c r="E165" s="4">
        <v>28</v>
      </c>
      <c r="F165" s="8">
        <v>3.81</v>
      </c>
      <c r="G165" s="4">
        <v>5</v>
      </c>
      <c r="H165" s="8">
        <v>0.78</v>
      </c>
      <c r="I165" s="4">
        <v>0</v>
      </c>
    </row>
    <row r="166" spans="1:9" x14ac:dyDescent="0.2">
      <c r="A166" s="2">
        <v>8</v>
      </c>
      <c r="B166" s="1" t="s">
        <v>188</v>
      </c>
      <c r="C166" s="4">
        <v>32</v>
      </c>
      <c r="D166" s="8">
        <v>2.2999999999999998</v>
      </c>
      <c r="E166" s="4">
        <v>31</v>
      </c>
      <c r="F166" s="8">
        <v>4.22</v>
      </c>
      <c r="G166" s="4">
        <v>1</v>
      </c>
      <c r="H166" s="8">
        <v>0.16</v>
      </c>
      <c r="I166" s="4">
        <v>0</v>
      </c>
    </row>
    <row r="167" spans="1:9" x14ac:dyDescent="0.2">
      <c r="A167" s="2">
        <v>9</v>
      </c>
      <c r="B167" s="1" t="s">
        <v>187</v>
      </c>
      <c r="C167" s="4">
        <v>30</v>
      </c>
      <c r="D167" s="8">
        <v>2.16</v>
      </c>
      <c r="E167" s="4">
        <v>24</v>
      </c>
      <c r="F167" s="8">
        <v>3.27</v>
      </c>
      <c r="G167" s="4">
        <v>6</v>
      </c>
      <c r="H167" s="8">
        <v>0.94</v>
      </c>
      <c r="I167" s="4">
        <v>0</v>
      </c>
    </row>
    <row r="168" spans="1:9" x14ac:dyDescent="0.2">
      <c r="A168" s="2">
        <v>10</v>
      </c>
      <c r="B168" s="1" t="s">
        <v>181</v>
      </c>
      <c r="C168" s="4">
        <v>29</v>
      </c>
      <c r="D168" s="8">
        <v>2.08</v>
      </c>
      <c r="E168" s="4">
        <v>20</v>
      </c>
      <c r="F168" s="8">
        <v>2.72</v>
      </c>
      <c r="G168" s="4">
        <v>9</v>
      </c>
      <c r="H168" s="8">
        <v>1.41</v>
      </c>
      <c r="I168" s="4">
        <v>0</v>
      </c>
    </row>
    <row r="169" spans="1:9" x14ac:dyDescent="0.2">
      <c r="A169" s="2">
        <v>11</v>
      </c>
      <c r="B169" s="1" t="s">
        <v>180</v>
      </c>
      <c r="C169" s="4">
        <v>28</v>
      </c>
      <c r="D169" s="8">
        <v>2.0099999999999998</v>
      </c>
      <c r="E169" s="4">
        <v>12</v>
      </c>
      <c r="F169" s="8">
        <v>1.63</v>
      </c>
      <c r="G169" s="4">
        <v>16</v>
      </c>
      <c r="H169" s="8">
        <v>2.5</v>
      </c>
      <c r="I169" s="4">
        <v>0</v>
      </c>
    </row>
    <row r="170" spans="1:9" x14ac:dyDescent="0.2">
      <c r="A170" s="2">
        <v>12</v>
      </c>
      <c r="B170" s="1" t="s">
        <v>176</v>
      </c>
      <c r="C170" s="4">
        <v>25</v>
      </c>
      <c r="D170" s="8">
        <v>1.8</v>
      </c>
      <c r="E170" s="4">
        <v>10</v>
      </c>
      <c r="F170" s="8">
        <v>1.36</v>
      </c>
      <c r="G170" s="4">
        <v>15</v>
      </c>
      <c r="H170" s="8">
        <v>2.35</v>
      </c>
      <c r="I170" s="4">
        <v>0</v>
      </c>
    </row>
    <row r="171" spans="1:9" x14ac:dyDescent="0.2">
      <c r="A171" s="2">
        <v>13</v>
      </c>
      <c r="B171" s="1" t="s">
        <v>178</v>
      </c>
      <c r="C171" s="4">
        <v>24</v>
      </c>
      <c r="D171" s="8">
        <v>1.73</v>
      </c>
      <c r="E171" s="4">
        <v>6</v>
      </c>
      <c r="F171" s="8">
        <v>0.82</v>
      </c>
      <c r="G171" s="4">
        <v>18</v>
      </c>
      <c r="H171" s="8">
        <v>2.82</v>
      </c>
      <c r="I171" s="4">
        <v>0</v>
      </c>
    </row>
    <row r="172" spans="1:9" x14ac:dyDescent="0.2">
      <c r="A172" s="2">
        <v>14</v>
      </c>
      <c r="B172" s="1" t="s">
        <v>177</v>
      </c>
      <c r="C172" s="4">
        <v>22</v>
      </c>
      <c r="D172" s="8">
        <v>1.58</v>
      </c>
      <c r="E172" s="4">
        <v>5</v>
      </c>
      <c r="F172" s="8">
        <v>0.68</v>
      </c>
      <c r="G172" s="4">
        <v>17</v>
      </c>
      <c r="H172" s="8">
        <v>2.66</v>
      </c>
      <c r="I172" s="4">
        <v>0</v>
      </c>
    </row>
    <row r="173" spans="1:9" x14ac:dyDescent="0.2">
      <c r="A173" s="2">
        <v>14</v>
      </c>
      <c r="B173" s="1" t="s">
        <v>186</v>
      </c>
      <c r="C173" s="4">
        <v>22</v>
      </c>
      <c r="D173" s="8">
        <v>1.58</v>
      </c>
      <c r="E173" s="4">
        <v>18</v>
      </c>
      <c r="F173" s="8">
        <v>2.4500000000000002</v>
      </c>
      <c r="G173" s="4">
        <v>4</v>
      </c>
      <c r="H173" s="8">
        <v>0.63</v>
      </c>
      <c r="I173" s="4">
        <v>0</v>
      </c>
    </row>
    <row r="174" spans="1:9" x14ac:dyDescent="0.2">
      <c r="A174" s="2">
        <v>16</v>
      </c>
      <c r="B174" s="1" t="s">
        <v>205</v>
      </c>
      <c r="C174" s="4">
        <v>20</v>
      </c>
      <c r="D174" s="8">
        <v>1.44</v>
      </c>
      <c r="E174" s="4">
        <v>14</v>
      </c>
      <c r="F174" s="8">
        <v>1.91</v>
      </c>
      <c r="G174" s="4">
        <v>6</v>
      </c>
      <c r="H174" s="8">
        <v>0.94</v>
      </c>
      <c r="I174" s="4">
        <v>0</v>
      </c>
    </row>
    <row r="175" spans="1:9" x14ac:dyDescent="0.2">
      <c r="A175" s="2">
        <v>16</v>
      </c>
      <c r="B175" s="1" t="s">
        <v>209</v>
      </c>
      <c r="C175" s="4">
        <v>20</v>
      </c>
      <c r="D175" s="8">
        <v>1.44</v>
      </c>
      <c r="E175" s="4">
        <v>15</v>
      </c>
      <c r="F175" s="8">
        <v>2.04</v>
      </c>
      <c r="G175" s="4">
        <v>5</v>
      </c>
      <c r="H175" s="8">
        <v>0.78</v>
      </c>
      <c r="I175" s="4">
        <v>0</v>
      </c>
    </row>
    <row r="176" spans="1:9" x14ac:dyDescent="0.2">
      <c r="A176" s="2">
        <v>18</v>
      </c>
      <c r="B176" s="1" t="s">
        <v>182</v>
      </c>
      <c r="C176" s="4">
        <v>19</v>
      </c>
      <c r="D176" s="8">
        <v>1.37</v>
      </c>
      <c r="E176" s="4">
        <v>4</v>
      </c>
      <c r="F176" s="8">
        <v>0.54</v>
      </c>
      <c r="G176" s="4">
        <v>14</v>
      </c>
      <c r="H176" s="8">
        <v>2.19</v>
      </c>
      <c r="I176" s="4">
        <v>1</v>
      </c>
    </row>
    <row r="177" spans="1:9" x14ac:dyDescent="0.2">
      <c r="A177" s="2">
        <v>18</v>
      </c>
      <c r="B177" s="1" t="s">
        <v>184</v>
      </c>
      <c r="C177" s="4">
        <v>19</v>
      </c>
      <c r="D177" s="8">
        <v>1.37</v>
      </c>
      <c r="E177" s="4">
        <v>5</v>
      </c>
      <c r="F177" s="8">
        <v>0.68</v>
      </c>
      <c r="G177" s="4">
        <v>14</v>
      </c>
      <c r="H177" s="8">
        <v>2.19</v>
      </c>
      <c r="I177" s="4">
        <v>0</v>
      </c>
    </row>
    <row r="178" spans="1:9" x14ac:dyDescent="0.2">
      <c r="A178" s="2">
        <v>20</v>
      </c>
      <c r="B178" s="1" t="s">
        <v>175</v>
      </c>
      <c r="C178" s="4">
        <v>18</v>
      </c>
      <c r="D178" s="8">
        <v>1.29</v>
      </c>
      <c r="E178" s="4">
        <v>4</v>
      </c>
      <c r="F178" s="8">
        <v>0.54</v>
      </c>
      <c r="G178" s="4">
        <v>14</v>
      </c>
      <c r="H178" s="8">
        <v>2.19</v>
      </c>
      <c r="I178" s="4">
        <v>0</v>
      </c>
    </row>
    <row r="179" spans="1:9" x14ac:dyDescent="0.2">
      <c r="A179" s="2">
        <v>20</v>
      </c>
      <c r="B179" s="1" t="s">
        <v>208</v>
      </c>
      <c r="C179" s="4">
        <v>18</v>
      </c>
      <c r="D179" s="8">
        <v>1.29</v>
      </c>
      <c r="E179" s="4">
        <v>2</v>
      </c>
      <c r="F179" s="8">
        <v>0.27</v>
      </c>
      <c r="G179" s="4">
        <v>16</v>
      </c>
      <c r="H179" s="8">
        <v>2.5</v>
      </c>
      <c r="I179" s="4">
        <v>0</v>
      </c>
    </row>
    <row r="180" spans="1:9" x14ac:dyDescent="0.2">
      <c r="A180" s="2">
        <v>20</v>
      </c>
      <c r="B180" s="1" t="s">
        <v>194</v>
      </c>
      <c r="C180" s="4">
        <v>18</v>
      </c>
      <c r="D180" s="8">
        <v>1.29</v>
      </c>
      <c r="E180" s="4">
        <v>5</v>
      </c>
      <c r="F180" s="8">
        <v>0.68</v>
      </c>
      <c r="G180" s="4">
        <v>13</v>
      </c>
      <c r="H180" s="8">
        <v>2.0299999999999998</v>
      </c>
      <c r="I180" s="4">
        <v>0</v>
      </c>
    </row>
    <row r="181" spans="1:9" x14ac:dyDescent="0.2">
      <c r="A181" s="1"/>
      <c r="C181" s="4"/>
      <c r="D181" s="8"/>
      <c r="E181" s="4"/>
      <c r="F181" s="8"/>
      <c r="G181" s="4"/>
      <c r="H181" s="8"/>
      <c r="I181" s="4"/>
    </row>
    <row r="182" spans="1:9" x14ac:dyDescent="0.2">
      <c r="A182" s="1" t="s">
        <v>8</v>
      </c>
      <c r="C182" s="4"/>
      <c r="D182" s="8"/>
      <c r="E182" s="4"/>
      <c r="F182" s="8"/>
      <c r="G182" s="4"/>
      <c r="H182" s="8"/>
      <c r="I182" s="4"/>
    </row>
    <row r="183" spans="1:9" x14ac:dyDescent="0.2">
      <c r="A183" s="2">
        <v>1</v>
      </c>
      <c r="B183" s="1" t="s">
        <v>191</v>
      </c>
      <c r="C183" s="4">
        <v>56</v>
      </c>
      <c r="D183" s="8">
        <v>4.84</v>
      </c>
      <c r="E183" s="4">
        <v>52</v>
      </c>
      <c r="F183" s="8">
        <v>8.2799999999999994</v>
      </c>
      <c r="G183" s="4">
        <v>4</v>
      </c>
      <c r="H183" s="8">
        <v>0.77</v>
      </c>
      <c r="I183" s="4">
        <v>0</v>
      </c>
    </row>
    <row r="184" spans="1:9" x14ac:dyDescent="0.2">
      <c r="A184" s="2">
        <v>2</v>
      </c>
      <c r="B184" s="1" t="s">
        <v>183</v>
      </c>
      <c r="C184" s="4">
        <v>52</v>
      </c>
      <c r="D184" s="8">
        <v>4.49</v>
      </c>
      <c r="E184" s="4">
        <v>37</v>
      </c>
      <c r="F184" s="8">
        <v>5.89</v>
      </c>
      <c r="G184" s="4">
        <v>15</v>
      </c>
      <c r="H184" s="8">
        <v>2.9</v>
      </c>
      <c r="I184" s="4">
        <v>0</v>
      </c>
    </row>
    <row r="185" spans="1:9" x14ac:dyDescent="0.2">
      <c r="A185" s="2">
        <v>3</v>
      </c>
      <c r="B185" s="1" t="s">
        <v>187</v>
      </c>
      <c r="C185" s="4">
        <v>44</v>
      </c>
      <c r="D185" s="8">
        <v>3.8</v>
      </c>
      <c r="E185" s="4">
        <v>37</v>
      </c>
      <c r="F185" s="8">
        <v>5.89</v>
      </c>
      <c r="G185" s="4">
        <v>7</v>
      </c>
      <c r="H185" s="8">
        <v>1.35</v>
      </c>
      <c r="I185" s="4">
        <v>0</v>
      </c>
    </row>
    <row r="186" spans="1:9" x14ac:dyDescent="0.2">
      <c r="A186" s="2">
        <v>4</v>
      </c>
      <c r="B186" s="1" t="s">
        <v>174</v>
      </c>
      <c r="C186" s="4">
        <v>36</v>
      </c>
      <c r="D186" s="8">
        <v>3.11</v>
      </c>
      <c r="E186" s="4">
        <v>7</v>
      </c>
      <c r="F186" s="8">
        <v>1.1100000000000001</v>
      </c>
      <c r="G186" s="4">
        <v>29</v>
      </c>
      <c r="H186" s="8">
        <v>5.6</v>
      </c>
      <c r="I186" s="4">
        <v>0</v>
      </c>
    </row>
    <row r="187" spans="1:9" x14ac:dyDescent="0.2">
      <c r="A187" s="2">
        <v>4</v>
      </c>
      <c r="B187" s="1" t="s">
        <v>190</v>
      </c>
      <c r="C187" s="4">
        <v>36</v>
      </c>
      <c r="D187" s="8">
        <v>3.11</v>
      </c>
      <c r="E187" s="4">
        <v>35</v>
      </c>
      <c r="F187" s="8">
        <v>5.57</v>
      </c>
      <c r="G187" s="4">
        <v>1</v>
      </c>
      <c r="H187" s="8">
        <v>0.19</v>
      </c>
      <c r="I187" s="4">
        <v>0</v>
      </c>
    </row>
    <row r="188" spans="1:9" x14ac:dyDescent="0.2">
      <c r="A188" s="2">
        <v>6</v>
      </c>
      <c r="B188" s="1" t="s">
        <v>189</v>
      </c>
      <c r="C188" s="4">
        <v>30</v>
      </c>
      <c r="D188" s="8">
        <v>2.59</v>
      </c>
      <c r="E188" s="4">
        <v>30</v>
      </c>
      <c r="F188" s="8">
        <v>4.78</v>
      </c>
      <c r="G188" s="4">
        <v>0</v>
      </c>
      <c r="H188" s="8">
        <v>0</v>
      </c>
      <c r="I188" s="4">
        <v>0</v>
      </c>
    </row>
    <row r="189" spans="1:9" x14ac:dyDescent="0.2">
      <c r="A189" s="2">
        <v>7</v>
      </c>
      <c r="B189" s="1" t="s">
        <v>188</v>
      </c>
      <c r="C189" s="4">
        <v>29</v>
      </c>
      <c r="D189" s="8">
        <v>2.5099999999999998</v>
      </c>
      <c r="E189" s="4">
        <v>28</v>
      </c>
      <c r="F189" s="8">
        <v>4.46</v>
      </c>
      <c r="G189" s="4">
        <v>1</v>
      </c>
      <c r="H189" s="8">
        <v>0.19</v>
      </c>
      <c r="I189" s="4">
        <v>0</v>
      </c>
    </row>
    <row r="190" spans="1:9" x14ac:dyDescent="0.2">
      <c r="A190" s="2">
        <v>8</v>
      </c>
      <c r="B190" s="1" t="s">
        <v>180</v>
      </c>
      <c r="C190" s="4">
        <v>26</v>
      </c>
      <c r="D190" s="8">
        <v>2.25</v>
      </c>
      <c r="E190" s="4">
        <v>12</v>
      </c>
      <c r="F190" s="8">
        <v>1.91</v>
      </c>
      <c r="G190" s="4">
        <v>14</v>
      </c>
      <c r="H190" s="8">
        <v>2.7</v>
      </c>
      <c r="I190" s="4">
        <v>0</v>
      </c>
    </row>
    <row r="191" spans="1:9" x14ac:dyDescent="0.2">
      <c r="A191" s="2">
        <v>9</v>
      </c>
      <c r="B191" s="1" t="s">
        <v>193</v>
      </c>
      <c r="C191" s="4">
        <v>23</v>
      </c>
      <c r="D191" s="8">
        <v>1.99</v>
      </c>
      <c r="E191" s="4">
        <v>19</v>
      </c>
      <c r="F191" s="8">
        <v>3.03</v>
      </c>
      <c r="G191" s="4">
        <v>4</v>
      </c>
      <c r="H191" s="8">
        <v>0.77</v>
      </c>
      <c r="I191" s="4">
        <v>0</v>
      </c>
    </row>
    <row r="192" spans="1:9" x14ac:dyDescent="0.2">
      <c r="A192" s="2">
        <v>10</v>
      </c>
      <c r="B192" s="1" t="s">
        <v>181</v>
      </c>
      <c r="C192" s="4">
        <v>22</v>
      </c>
      <c r="D192" s="8">
        <v>1.9</v>
      </c>
      <c r="E192" s="4">
        <v>11</v>
      </c>
      <c r="F192" s="8">
        <v>1.75</v>
      </c>
      <c r="G192" s="4">
        <v>11</v>
      </c>
      <c r="H192" s="8">
        <v>2.12</v>
      </c>
      <c r="I192" s="4">
        <v>0</v>
      </c>
    </row>
    <row r="193" spans="1:9" x14ac:dyDescent="0.2">
      <c r="A193" s="2">
        <v>11</v>
      </c>
      <c r="B193" s="1" t="s">
        <v>176</v>
      </c>
      <c r="C193" s="4">
        <v>21</v>
      </c>
      <c r="D193" s="8">
        <v>1.82</v>
      </c>
      <c r="E193" s="4">
        <v>9</v>
      </c>
      <c r="F193" s="8">
        <v>1.43</v>
      </c>
      <c r="G193" s="4">
        <v>12</v>
      </c>
      <c r="H193" s="8">
        <v>2.3199999999999998</v>
      </c>
      <c r="I193" s="4">
        <v>0</v>
      </c>
    </row>
    <row r="194" spans="1:9" x14ac:dyDescent="0.2">
      <c r="A194" s="2">
        <v>12</v>
      </c>
      <c r="B194" s="1" t="s">
        <v>177</v>
      </c>
      <c r="C194" s="4">
        <v>19</v>
      </c>
      <c r="D194" s="8">
        <v>1.64</v>
      </c>
      <c r="E194" s="4">
        <v>10</v>
      </c>
      <c r="F194" s="8">
        <v>1.59</v>
      </c>
      <c r="G194" s="4">
        <v>9</v>
      </c>
      <c r="H194" s="8">
        <v>1.74</v>
      </c>
      <c r="I194" s="4">
        <v>0</v>
      </c>
    </row>
    <row r="195" spans="1:9" x14ac:dyDescent="0.2">
      <c r="A195" s="2">
        <v>12</v>
      </c>
      <c r="B195" s="1" t="s">
        <v>184</v>
      </c>
      <c r="C195" s="4">
        <v>19</v>
      </c>
      <c r="D195" s="8">
        <v>1.64</v>
      </c>
      <c r="E195" s="4">
        <v>8</v>
      </c>
      <c r="F195" s="8">
        <v>1.27</v>
      </c>
      <c r="G195" s="4">
        <v>11</v>
      </c>
      <c r="H195" s="8">
        <v>2.12</v>
      </c>
      <c r="I195" s="4">
        <v>0</v>
      </c>
    </row>
    <row r="196" spans="1:9" x14ac:dyDescent="0.2">
      <c r="A196" s="2">
        <v>12</v>
      </c>
      <c r="B196" s="1" t="s">
        <v>200</v>
      </c>
      <c r="C196" s="4">
        <v>19</v>
      </c>
      <c r="D196" s="8">
        <v>1.64</v>
      </c>
      <c r="E196" s="4">
        <v>12</v>
      </c>
      <c r="F196" s="8">
        <v>1.91</v>
      </c>
      <c r="G196" s="4">
        <v>7</v>
      </c>
      <c r="H196" s="8">
        <v>1.35</v>
      </c>
      <c r="I196" s="4">
        <v>0</v>
      </c>
    </row>
    <row r="197" spans="1:9" x14ac:dyDescent="0.2">
      <c r="A197" s="2">
        <v>15</v>
      </c>
      <c r="B197" s="1" t="s">
        <v>197</v>
      </c>
      <c r="C197" s="4">
        <v>18</v>
      </c>
      <c r="D197" s="8">
        <v>1.56</v>
      </c>
      <c r="E197" s="4">
        <v>13</v>
      </c>
      <c r="F197" s="8">
        <v>2.0699999999999998</v>
      </c>
      <c r="G197" s="4">
        <v>5</v>
      </c>
      <c r="H197" s="8">
        <v>0.97</v>
      </c>
      <c r="I197" s="4">
        <v>0</v>
      </c>
    </row>
    <row r="198" spans="1:9" x14ac:dyDescent="0.2">
      <c r="A198" s="2">
        <v>16</v>
      </c>
      <c r="B198" s="1" t="s">
        <v>186</v>
      </c>
      <c r="C198" s="4">
        <v>17</v>
      </c>
      <c r="D198" s="8">
        <v>1.47</v>
      </c>
      <c r="E198" s="4">
        <v>13</v>
      </c>
      <c r="F198" s="8">
        <v>2.0699999999999998</v>
      </c>
      <c r="G198" s="4">
        <v>4</v>
      </c>
      <c r="H198" s="8">
        <v>0.77</v>
      </c>
      <c r="I198" s="4">
        <v>0</v>
      </c>
    </row>
    <row r="199" spans="1:9" x14ac:dyDescent="0.2">
      <c r="A199" s="2">
        <v>17</v>
      </c>
      <c r="B199" s="1" t="s">
        <v>210</v>
      </c>
      <c r="C199" s="4">
        <v>14</v>
      </c>
      <c r="D199" s="8">
        <v>1.21</v>
      </c>
      <c r="E199" s="4">
        <v>9</v>
      </c>
      <c r="F199" s="8">
        <v>1.43</v>
      </c>
      <c r="G199" s="4">
        <v>5</v>
      </c>
      <c r="H199" s="8">
        <v>0.97</v>
      </c>
      <c r="I199" s="4">
        <v>0</v>
      </c>
    </row>
    <row r="200" spans="1:9" x14ac:dyDescent="0.2">
      <c r="A200" s="2">
        <v>17</v>
      </c>
      <c r="B200" s="1" t="s">
        <v>179</v>
      </c>
      <c r="C200" s="4">
        <v>14</v>
      </c>
      <c r="D200" s="8">
        <v>1.21</v>
      </c>
      <c r="E200" s="4">
        <v>9</v>
      </c>
      <c r="F200" s="8">
        <v>1.43</v>
      </c>
      <c r="G200" s="4">
        <v>5</v>
      </c>
      <c r="H200" s="8">
        <v>0.97</v>
      </c>
      <c r="I200" s="4">
        <v>0</v>
      </c>
    </row>
    <row r="201" spans="1:9" x14ac:dyDescent="0.2">
      <c r="A201" s="2">
        <v>17</v>
      </c>
      <c r="B201" s="1" t="s">
        <v>194</v>
      </c>
      <c r="C201" s="4">
        <v>14</v>
      </c>
      <c r="D201" s="8">
        <v>1.21</v>
      </c>
      <c r="E201" s="4">
        <v>2</v>
      </c>
      <c r="F201" s="8">
        <v>0.32</v>
      </c>
      <c r="G201" s="4">
        <v>12</v>
      </c>
      <c r="H201" s="8">
        <v>2.3199999999999998</v>
      </c>
      <c r="I201" s="4">
        <v>0</v>
      </c>
    </row>
    <row r="202" spans="1:9" x14ac:dyDescent="0.2">
      <c r="A202" s="2">
        <v>20</v>
      </c>
      <c r="B202" s="1" t="s">
        <v>175</v>
      </c>
      <c r="C202" s="4">
        <v>13</v>
      </c>
      <c r="D202" s="8">
        <v>1.1200000000000001</v>
      </c>
      <c r="E202" s="4">
        <v>4</v>
      </c>
      <c r="F202" s="8">
        <v>0.64</v>
      </c>
      <c r="G202" s="4">
        <v>9</v>
      </c>
      <c r="H202" s="8">
        <v>1.74</v>
      </c>
      <c r="I202" s="4">
        <v>0</v>
      </c>
    </row>
    <row r="203" spans="1:9" x14ac:dyDescent="0.2">
      <c r="A203" s="2">
        <v>20</v>
      </c>
      <c r="B203" s="1" t="s">
        <v>211</v>
      </c>
      <c r="C203" s="4">
        <v>13</v>
      </c>
      <c r="D203" s="8">
        <v>1.1200000000000001</v>
      </c>
      <c r="E203" s="4">
        <v>2</v>
      </c>
      <c r="F203" s="8">
        <v>0.32</v>
      </c>
      <c r="G203" s="4">
        <v>11</v>
      </c>
      <c r="H203" s="8">
        <v>2.12</v>
      </c>
      <c r="I203" s="4">
        <v>0</v>
      </c>
    </row>
    <row r="204" spans="1:9" x14ac:dyDescent="0.2">
      <c r="A204" s="2">
        <v>20</v>
      </c>
      <c r="B204" s="1" t="s">
        <v>198</v>
      </c>
      <c r="C204" s="4">
        <v>13</v>
      </c>
      <c r="D204" s="8">
        <v>1.1200000000000001</v>
      </c>
      <c r="E204" s="4">
        <v>12</v>
      </c>
      <c r="F204" s="8">
        <v>1.91</v>
      </c>
      <c r="G204" s="4">
        <v>1</v>
      </c>
      <c r="H204" s="8">
        <v>0.19</v>
      </c>
      <c r="I204" s="4">
        <v>0</v>
      </c>
    </row>
    <row r="205" spans="1:9" x14ac:dyDescent="0.2">
      <c r="A205" s="1"/>
      <c r="C205" s="4"/>
      <c r="D205" s="8"/>
      <c r="E205" s="4"/>
      <c r="F205" s="8"/>
      <c r="G205" s="4"/>
      <c r="H205" s="8"/>
      <c r="I205" s="4"/>
    </row>
    <row r="206" spans="1:9" x14ac:dyDescent="0.2">
      <c r="A206" s="1" t="s">
        <v>9</v>
      </c>
      <c r="C206" s="4"/>
      <c r="D206" s="8"/>
      <c r="E206" s="4"/>
      <c r="F206" s="8"/>
      <c r="G206" s="4"/>
      <c r="H206" s="8"/>
      <c r="I206" s="4"/>
    </row>
    <row r="207" spans="1:9" x14ac:dyDescent="0.2">
      <c r="A207" s="2">
        <v>1</v>
      </c>
      <c r="B207" s="1" t="s">
        <v>191</v>
      </c>
      <c r="C207" s="4">
        <v>133</v>
      </c>
      <c r="D207" s="8">
        <v>6.97</v>
      </c>
      <c r="E207" s="4">
        <v>119</v>
      </c>
      <c r="F207" s="8">
        <v>12.27</v>
      </c>
      <c r="G207" s="4">
        <v>14</v>
      </c>
      <c r="H207" s="8">
        <v>1.54</v>
      </c>
      <c r="I207" s="4">
        <v>0</v>
      </c>
    </row>
    <row r="208" spans="1:9" x14ac:dyDescent="0.2">
      <c r="A208" s="2">
        <v>2</v>
      </c>
      <c r="B208" s="1" t="s">
        <v>183</v>
      </c>
      <c r="C208" s="4">
        <v>67</v>
      </c>
      <c r="D208" s="8">
        <v>3.51</v>
      </c>
      <c r="E208" s="4">
        <v>44</v>
      </c>
      <c r="F208" s="8">
        <v>4.54</v>
      </c>
      <c r="G208" s="4">
        <v>22</v>
      </c>
      <c r="H208" s="8">
        <v>2.41</v>
      </c>
      <c r="I208" s="4">
        <v>0</v>
      </c>
    </row>
    <row r="209" spans="1:9" x14ac:dyDescent="0.2">
      <c r="A209" s="2">
        <v>3</v>
      </c>
      <c r="B209" s="1" t="s">
        <v>189</v>
      </c>
      <c r="C209" s="4">
        <v>64</v>
      </c>
      <c r="D209" s="8">
        <v>3.35</v>
      </c>
      <c r="E209" s="4">
        <v>58</v>
      </c>
      <c r="F209" s="8">
        <v>5.98</v>
      </c>
      <c r="G209" s="4">
        <v>6</v>
      </c>
      <c r="H209" s="8">
        <v>0.66</v>
      </c>
      <c r="I209" s="4">
        <v>0</v>
      </c>
    </row>
    <row r="210" spans="1:9" x14ac:dyDescent="0.2">
      <c r="A210" s="2">
        <v>4</v>
      </c>
      <c r="B210" s="1" t="s">
        <v>190</v>
      </c>
      <c r="C210" s="4">
        <v>54</v>
      </c>
      <c r="D210" s="8">
        <v>2.83</v>
      </c>
      <c r="E210" s="4">
        <v>51</v>
      </c>
      <c r="F210" s="8">
        <v>5.26</v>
      </c>
      <c r="G210" s="4">
        <v>3</v>
      </c>
      <c r="H210" s="8">
        <v>0.33</v>
      </c>
      <c r="I210" s="4">
        <v>0</v>
      </c>
    </row>
    <row r="211" spans="1:9" x14ac:dyDescent="0.2">
      <c r="A211" s="2">
        <v>5</v>
      </c>
      <c r="B211" s="1" t="s">
        <v>187</v>
      </c>
      <c r="C211" s="4">
        <v>52</v>
      </c>
      <c r="D211" s="8">
        <v>2.72</v>
      </c>
      <c r="E211" s="4">
        <v>42</v>
      </c>
      <c r="F211" s="8">
        <v>4.33</v>
      </c>
      <c r="G211" s="4">
        <v>10</v>
      </c>
      <c r="H211" s="8">
        <v>1.1000000000000001</v>
      </c>
      <c r="I211" s="4">
        <v>0</v>
      </c>
    </row>
    <row r="212" spans="1:9" x14ac:dyDescent="0.2">
      <c r="A212" s="2">
        <v>6</v>
      </c>
      <c r="B212" s="1" t="s">
        <v>188</v>
      </c>
      <c r="C212" s="4">
        <v>50</v>
      </c>
      <c r="D212" s="8">
        <v>2.62</v>
      </c>
      <c r="E212" s="4">
        <v>41</v>
      </c>
      <c r="F212" s="8">
        <v>4.2300000000000004</v>
      </c>
      <c r="G212" s="4">
        <v>9</v>
      </c>
      <c r="H212" s="8">
        <v>0.99</v>
      </c>
      <c r="I212" s="4">
        <v>0</v>
      </c>
    </row>
    <row r="213" spans="1:9" x14ac:dyDescent="0.2">
      <c r="A213" s="2">
        <v>7</v>
      </c>
      <c r="B213" s="1" t="s">
        <v>174</v>
      </c>
      <c r="C213" s="4">
        <v>42</v>
      </c>
      <c r="D213" s="8">
        <v>2.2000000000000002</v>
      </c>
      <c r="E213" s="4">
        <v>11</v>
      </c>
      <c r="F213" s="8">
        <v>1.1299999999999999</v>
      </c>
      <c r="G213" s="4">
        <v>31</v>
      </c>
      <c r="H213" s="8">
        <v>3.4</v>
      </c>
      <c r="I213" s="4">
        <v>0</v>
      </c>
    </row>
    <row r="214" spans="1:9" x14ac:dyDescent="0.2">
      <c r="A214" s="2">
        <v>8</v>
      </c>
      <c r="B214" s="1" t="s">
        <v>181</v>
      </c>
      <c r="C214" s="4">
        <v>38</v>
      </c>
      <c r="D214" s="8">
        <v>1.99</v>
      </c>
      <c r="E214" s="4">
        <v>18</v>
      </c>
      <c r="F214" s="8">
        <v>1.86</v>
      </c>
      <c r="G214" s="4">
        <v>20</v>
      </c>
      <c r="H214" s="8">
        <v>2.2000000000000002</v>
      </c>
      <c r="I214" s="4">
        <v>0</v>
      </c>
    </row>
    <row r="215" spans="1:9" x14ac:dyDescent="0.2">
      <c r="A215" s="2">
        <v>8</v>
      </c>
      <c r="B215" s="1" t="s">
        <v>193</v>
      </c>
      <c r="C215" s="4">
        <v>38</v>
      </c>
      <c r="D215" s="8">
        <v>1.99</v>
      </c>
      <c r="E215" s="4">
        <v>34</v>
      </c>
      <c r="F215" s="8">
        <v>3.51</v>
      </c>
      <c r="G215" s="4">
        <v>4</v>
      </c>
      <c r="H215" s="8">
        <v>0.44</v>
      </c>
      <c r="I215" s="4">
        <v>0</v>
      </c>
    </row>
    <row r="216" spans="1:9" x14ac:dyDescent="0.2">
      <c r="A216" s="2">
        <v>10</v>
      </c>
      <c r="B216" s="1" t="s">
        <v>180</v>
      </c>
      <c r="C216" s="4">
        <v>37</v>
      </c>
      <c r="D216" s="8">
        <v>1.94</v>
      </c>
      <c r="E216" s="4">
        <v>18</v>
      </c>
      <c r="F216" s="8">
        <v>1.86</v>
      </c>
      <c r="G216" s="4">
        <v>19</v>
      </c>
      <c r="H216" s="8">
        <v>2.09</v>
      </c>
      <c r="I216" s="4">
        <v>0</v>
      </c>
    </row>
    <row r="217" spans="1:9" x14ac:dyDescent="0.2">
      <c r="A217" s="2">
        <v>11</v>
      </c>
      <c r="B217" s="1" t="s">
        <v>175</v>
      </c>
      <c r="C217" s="4">
        <v>36</v>
      </c>
      <c r="D217" s="8">
        <v>1.89</v>
      </c>
      <c r="E217" s="4">
        <v>5</v>
      </c>
      <c r="F217" s="8">
        <v>0.52</v>
      </c>
      <c r="G217" s="4">
        <v>31</v>
      </c>
      <c r="H217" s="8">
        <v>3.4</v>
      </c>
      <c r="I217" s="4">
        <v>0</v>
      </c>
    </row>
    <row r="218" spans="1:9" x14ac:dyDescent="0.2">
      <c r="A218" s="2">
        <v>12</v>
      </c>
      <c r="B218" s="1" t="s">
        <v>192</v>
      </c>
      <c r="C218" s="4">
        <v>35</v>
      </c>
      <c r="D218" s="8">
        <v>1.83</v>
      </c>
      <c r="E218" s="4">
        <v>29</v>
      </c>
      <c r="F218" s="8">
        <v>2.99</v>
      </c>
      <c r="G218" s="4">
        <v>6</v>
      </c>
      <c r="H218" s="8">
        <v>0.66</v>
      </c>
      <c r="I218" s="4">
        <v>0</v>
      </c>
    </row>
    <row r="219" spans="1:9" x14ac:dyDescent="0.2">
      <c r="A219" s="2">
        <v>13</v>
      </c>
      <c r="B219" s="1" t="s">
        <v>184</v>
      </c>
      <c r="C219" s="4">
        <v>34</v>
      </c>
      <c r="D219" s="8">
        <v>1.78</v>
      </c>
      <c r="E219" s="4">
        <v>15</v>
      </c>
      <c r="F219" s="8">
        <v>1.55</v>
      </c>
      <c r="G219" s="4">
        <v>17</v>
      </c>
      <c r="H219" s="8">
        <v>1.87</v>
      </c>
      <c r="I219" s="4">
        <v>0</v>
      </c>
    </row>
    <row r="220" spans="1:9" x14ac:dyDescent="0.2">
      <c r="A220" s="2">
        <v>14</v>
      </c>
      <c r="B220" s="1" t="s">
        <v>200</v>
      </c>
      <c r="C220" s="4">
        <v>32</v>
      </c>
      <c r="D220" s="8">
        <v>1.68</v>
      </c>
      <c r="E220" s="4">
        <v>22</v>
      </c>
      <c r="F220" s="8">
        <v>2.27</v>
      </c>
      <c r="G220" s="4">
        <v>10</v>
      </c>
      <c r="H220" s="8">
        <v>1.1000000000000001</v>
      </c>
      <c r="I220" s="4">
        <v>0</v>
      </c>
    </row>
    <row r="221" spans="1:9" x14ac:dyDescent="0.2">
      <c r="A221" s="2">
        <v>15</v>
      </c>
      <c r="B221" s="1" t="s">
        <v>176</v>
      </c>
      <c r="C221" s="4">
        <v>31</v>
      </c>
      <c r="D221" s="8">
        <v>1.62</v>
      </c>
      <c r="E221" s="4">
        <v>10</v>
      </c>
      <c r="F221" s="8">
        <v>1.03</v>
      </c>
      <c r="G221" s="4">
        <v>21</v>
      </c>
      <c r="H221" s="8">
        <v>2.31</v>
      </c>
      <c r="I221" s="4">
        <v>0</v>
      </c>
    </row>
    <row r="222" spans="1:9" x14ac:dyDescent="0.2">
      <c r="A222" s="2">
        <v>16</v>
      </c>
      <c r="B222" s="1" t="s">
        <v>198</v>
      </c>
      <c r="C222" s="4">
        <v>29</v>
      </c>
      <c r="D222" s="8">
        <v>1.52</v>
      </c>
      <c r="E222" s="4">
        <v>24</v>
      </c>
      <c r="F222" s="8">
        <v>2.4700000000000002</v>
      </c>
      <c r="G222" s="4">
        <v>5</v>
      </c>
      <c r="H222" s="8">
        <v>0.55000000000000004</v>
      </c>
      <c r="I222" s="4">
        <v>0</v>
      </c>
    </row>
    <row r="223" spans="1:9" x14ac:dyDescent="0.2">
      <c r="A223" s="2">
        <v>17</v>
      </c>
      <c r="B223" s="1" t="s">
        <v>179</v>
      </c>
      <c r="C223" s="4">
        <v>28</v>
      </c>
      <c r="D223" s="8">
        <v>1.47</v>
      </c>
      <c r="E223" s="4">
        <v>17</v>
      </c>
      <c r="F223" s="8">
        <v>1.75</v>
      </c>
      <c r="G223" s="4">
        <v>11</v>
      </c>
      <c r="H223" s="8">
        <v>1.21</v>
      </c>
      <c r="I223" s="4">
        <v>0</v>
      </c>
    </row>
    <row r="224" spans="1:9" x14ac:dyDescent="0.2">
      <c r="A224" s="2">
        <v>17</v>
      </c>
      <c r="B224" s="1" t="s">
        <v>186</v>
      </c>
      <c r="C224" s="4">
        <v>28</v>
      </c>
      <c r="D224" s="8">
        <v>1.47</v>
      </c>
      <c r="E224" s="4">
        <v>21</v>
      </c>
      <c r="F224" s="8">
        <v>2.16</v>
      </c>
      <c r="G224" s="4">
        <v>7</v>
      </c>
      <c r="H224" s="8">
        <v>0.77</v>
      </c>
      <c r="I224" s="4">
        <v>0</v>
      </c>
    </row>
    <row r="225" spans="1:9" x14ac:dyDescent="0.2">
      <c r="A225" s="2">
        <v>19</v>
      </c>
      <c r="B225" s="1" t="s">
        <v>196</v>
      </c>
      <c r="C225" s="4">
        <v>27</v>
      </c>
      <c r="D225" s="8">
        <v>1.41</v>
      </c>
      <c r="E225" s="4">
        <v>11</v>
      </c>
      <c r="F225" s="8">
        <v>1.1299999999999999</v>
      </c>
      <c r="G225" s="4">
        <v>16</v>
      </c>
      <c r="H225" s="8">
        <v>1.76</v>
      </c>
      <c r="I225" s="4">
        <v>0</v>
      </c>
    </row>
    <row r="226" spans="1:9" x14ac:dyDescent="0.2">
      <c r="A226" s="2">
        <v>19</v>
      </c>
      <c r="B226" s="1" t="s">
        <v>197</v>
      </c>
      <c r="C226" s="4">
        <v>27</v>
      </c>
      <c r="D226" s="8">
        <v>1.41</v>
      </c>
      <c r="E226" s="4">
        <v>20</v>
      </c>
      <c r="F226" s="8">
        <v>2.06</v>
      </c>
      <c r="G226" s="4">
        <v>7</v>
      </c>
      <c r="H226" s="8">
        <v>0.77</v>
      </c>
      <c r="I226" s="4">
        <v>0</v>
      </c>
    </row>
    <row r="227" spans="1:9" x14ac:dyDescent="0.2">
      <c r="A227" s="2">
        <v>19</v>
      </c>
      <c r="B227" s="1" t="s">
        <v>194</v>
      </c>
      <c r="C227" s="4">
        <v>27</v>
      </c>
      <c r="D227" s="8">
        <v>1.41</v>
      </c>
      <c r="E227" s="4">
        <v>9</v>
      </c>
      <c r="F227" s="8">
        <v>0.93</v>
      </c>
      <c r="G227" s="4">
        <v>18</v>
      </c>
      <c r="H227" s="8">
        <v>1.98</v>
      </c>
      <c r="I227" s="4">
        <v>0</v>
      </c>
    </row>
    <row r="228" spans="1:9" x14ac:dyDescent="0.2">
      <c r="A228" s="1"/>
      <c r="C228" s="4"/>
      <c r="D228" s="8"/>
      <c r="E228" s="4"/>
      <c r="F228" s="8"/>
      <c r="G228" s="4"/>
      <c r="H228" s="8"/>
      <c r="I228" s="4"/>
    </row>
    <row r="229" spans="1:9" x14ac:dyDescent="0.2">
      <c r="A229" s="1" t="s">
        <v>10</v>
      </c>
      <c r="C229" s="4"/>
      <c r="D229" s="8"/>
      <c r="E229" s="4"/>
      <c r="F229" s="8"/>
      <c r="G229" s="4"/>
      <c r="H229" s="8"/>
      <c r="I229" s="4"/>
    </row>
    <row r="230" spans="1:9" x14ac:dyDescent="0.2">
      <c r="A230" s="2">
        <v>1</v>
      </c>
      <c r="B230" s="1" t="s">
        <v>183</v>
      </c>
      <c r="C230" s="4">
        <v>67</v>
      </c>
      <c r="D230" s="8">
        <v>6.54</v>
      </c>
      <c r="E230" s="4">
        <v>54</v>
      </c>
      <c r="F230" s="8">
        <v>9.44</v>
      </c>
      <c r="G230" s="4">
        <v>13</v>
      </c>
      <c r="H230" s="8">
        <v>2.94</v>
      </c>
      <c r="I230" s="4">
        <v>0</v>
      </c>
    </row>
    <row r="231" spans="1:9" x14ac:dyDescent="0.2">
      <c r="A231" s="2">
        <v>2</v>
      </c>
      <c r="B231" s="1" t="s">
        <v>191</v>
      </c>
      <c r="C231" s="4">
        <v>61</v>
      </c>
      <c r="D231" s="8">
        <v>5.96</v>
      </c>
      <c r="E231" s="4">
        <v>53</v>
      </c>
      <c r="F231" s="8">
        <v>9.27</v>
      </c>
      <c r="G231" s="4">
        <v>8</v>
      </c>
      <c r="H231" s="8">
        <v>1.81</v>
      </c>
      <c r="I231" s="4">
        <v>0</v>
      </c>
    </row>
    <row r="232" spans="1:9" x14ac:dyDescent="0.2">
      <c r="A232" s="2">
        <v>3</v>
      </c>
      <c r="B232" s="1" t="s">
        <v>187</v>
      </c>
      <c r="C232" s="4">
        <v>37</v>
      </c>
      <c r="D232" s="8">
        <v>3.61</v>
      </c>
      <c r="E232" s="4">
        <v>26</v>
      </c>
      <c r="F232" s="8">
        <v>4.55</v>
      </c>
      <c r="G232" s="4">
        <v>11</v>
      </c>
      <c r="H232" s="8">
        <v>2.4900000000000002</v>
      </c>
      <c r="I232" s="4">
        <v>0</v>
      </c>
    </row>
    <row r="233" spans="1:9" x14ac:dyDescent="0.2">
      <c r="A233" s="2">
        <v>4</v>
      </c>
      <c r="B233" s="1" t="s">
        <v>190</v>
      </c>
      <c r="C233" s="4">
        <v>30</v>
      </c>
      <c r="D233" s="8">
        <v>2.93</v>
      </c>
      <c r="E233" s="4">
        <v>29</v>
      </c>
      <c r="F233" s="8">
        <v>5.07</v>
      </c>
      <c r="G233" s="4">
        <v>1</v>
      </c>
      <c r="H233" s="8">
        <v>0.23</v>
      </c>
      <c r="I233" s="4">
        <v>0</v>
      </c>
    </row>
    <row r="234" spans="1:9" x14ac:dyDescent="0.2">
      <c r="A234" s="2">
        <v>4</v>
      </c>
      <c r="B234" s="1" t="s">
        <v>193</v>
      </c>
      <c r="C234" s="4">
        <v>30</v>
      </c>
      <c r="D234" s="8">
        <v>2.93</v>
      </c>
      <c r="E234" s="4">
        <v>26</v>
      </c>
      <c r="F234" s="8">
        <v>4.55</v>
      </c>
      <c r="G234" s="4">
        <v>4</v>
      </c>
      <c r="H234" s="8">
        <v>0.9</v>
      </c>
      <c r="I234" s="4">
        <v>0</v>
      </c>
    </row>
    <row r="235" spans="1:9" x14ac:dyDescent="0.2">
      <c r="A235" s="2">
        <v>6</v>
      </c>
      <c r="B235" s="1" t="s">
        <v>189</v>
      </c>
      <c r="C235" s="4">
        <v>26</v>
      </c>
      <c r="D235" s="8">
        <v>2.54</v>
      </c>
      <c r="E235" s="4">
        <v>26</v>
      </c>
      <c r="F235" s="8">
        <v>4.55</v>
      </c>
      <c r="G235" s="4">
        <v>0</v>
      </c>
      <c r="H235" s="8">
        <v>0</v>
      </c>
      <c r="I235" s="4">
        <v>0</v>
      </c>
    </row>
    <row r="236" spans="1:9" x14ac:dyDescent="0.2">
      <c r="A236" s="2">
        <v>6</v>
      </c>
      <c r="B236" s="1" t="s">
        <v>192</v>
      </c>
      <c r="C236" s="4">
        <v>26</v>
      </c>
      <c r="D236" s="8">
        <v>2.54</v>
      </c>
      <c r="E236" s="4">
        <v>22</v>
      </c>
      <c r="F236" s="8">
        <v>3.85</v>
      </c>
      <c r="G236" s="4">
        <v>4</v>
      </c>
      <c r="H236" s="8">
        <v>0.9</v>
      </c>
      <c r="I236" s="4">
        <v>0</v>
      </c>
    </row>
    <row r="237" spans="1:9" x14ac:dyDescent="0.2">
      <c r="A237" s="2">
        <v>8</v>
      </c>
      <c r="B237" s="1" t="s">
        <v>188</v>
      </c>
      <c r="C237" s="4">
        <v>24</v>
      </c>
      <c r="D237" s="8">
        <v>2.34</v>
      </c>
      <c r="E237" s="4">
        <v>20</v>
      </c>
      <c r="F237" s="8">
        <v>3.5</v>
      </c>
      <c r="G237" s="4">
        <v>4</v>
      </c>
      <c r="H237" s="8">
        <v>0.9</v>
      </c>
      <c r="I237" s="4">
        <v>0</v>
      </c>
    </row>
    <row r="238" spans="1:9" x14ac:dyDescent="0.2">
      <c r="A238" s="2">
        <v>9</v>
      </c>
      <c r="B238" s="1" t="s">
        <v>181</v>
      </c>
      <c r="C238" s="4">
        <v>22</v>
      </c>
      <c r="D238" s="8">
        <v>2.15</v>
      </c>
      <c r="E238" s="4">
        <v>15</v>
      </c>
      <c r="F238" s="8">
        <v>2.62</v>
      </c>
      <c r="G238" s="4">
        <v>7</v>
      </c>
      <c r="H238" s="8">
        <v>1.58</v>
      </c>
      <c r="I238" s="4">
        <v>0</v>
      </c>
    </row>
    <row r="239" spans="1:9" x14ac:dyDescent="0.2">
      <c r="A239" s="2">
        <v>10</v>
      </c>
      <c r="B239" s="1" t="s">
        <v>186</v>
      </c>
      <c r="C239" s="4">
        <v>21</v>
      </c>
      <c r="D239" s="8">
        <v>2.0499999999999998</v>
      </c>
      <c r="E239" s="4">
        <v>14</v>
      </c>
      <c r="F239" s="8">
        <v>2.4500000000000002</v>
      </c>
      <c r="G239" s="4">
        <v>7</v>
      </c>
      <c r="H239" s="8">
        <v>1.58</v>
      </c>
      <c r="I239" s="4">
        <v>0</v>
      </c>
    </row>
    <row r="240" spans="1:9" x14ac:dyDescent="0.2">
      <c r="A240" s="2">
        <v>11</v>
      </c>
      <c r="B240" s="1" t="s">
        <v>180</v>
      </c>
      <c r="C240" s="4">
        <v>17</v>
      </c>
      <c r="D240" s="8">
        <v>1.66</v>
      </c>
      <c r="E240" s="4">
        <v>6</v>
      </c>
      <c r="F240" s="8">
        <v>1.05</v>
      </c>
      <c r="G240" s="4">
        <v>11</v>
      </c>
      <c r="H240" s="8">
        <v>2.4900000000000002</v>
      </c>
      <c r="I240" s="4">
        <v>0</v>
      </c>
    </row>
    <row r="241" spans="1:9" x14ac:dyDescent="0.2">
      <c r="A241" s="2">
        <v>12</v>
      </c>
      <c r="B241" s="1" t="s">
        <v>197</v>
      </c>
      <c r="C241" s="4">
        <v>16</v>
      </c>
      <c r="D241" s="8">
        <v>1.56</v>
      </c>
      <c r="E241" s="4">
        <v>13</v>
      </c>
      <c r="F241" s="8">
        <v>2.27</v>
      </c>
      <c r="G241" s="4">
        <v>3</v>
      </c>
      <c r="H241" s="8">
        <v>0.68</v>
      </c>
      <c r="I241" s="4">
        <v>0</v>
      </c>
    </row>
    <row r="242" spans="1:9" x14ac:dyDescent="0.2">
      <c r="A242" s="2">
        <v>12</v>
      </c>
      <c r="B242" s="1" t="s">
        <v>212</v>
      </c>
      <c r="C242" s="4">
        <v>16</v>
      </c>
      <c r="D242" s="8">
        <v>1.56</v>
      </c>
      <c r="E242" s="4">
        <v>7</v>
      </c>
      <c r="F242" s="8">
        <v>1.22</v>
      </c>
      <c r="G242" s="4">
        <v>9</v>
      </c>
      <c r="H242" s="8">
        <v>2.04</v>
      </c>
      <c r="I242" s="4">
        <v>0</v>
      </c>
    </row>
    <row r="243" spans="1:9" x14ac:dyDescent="0.2">
      <c r="A243" s="2">
        <v>14</v>
      </c>
      <c r="B243" s="1" t="s">
        <v>174</v>
      </c>
      <c r="C243" s="4">
        <v>15</v>
      </c>
      <c r="D243" s="8">
        <v>1.46</v>
      </c>
      <c r="E243" s="4">
        <v>3</v>
      </c>
      <c r="F243" s="8">
        <v>0.52</v>
      </c>
      <c r="G243" s="4">
        <v>12</v>
      </c>
      <c r="H243" s="8">
        <v>2.71</v>
      </c>
      <c r="I243" s="4">
        <v>0</v>
      </c>
    </row>
    <row r="244" spans="1:9" x14ac:dyDescent="0.2">
      <c r="A244" s="2">
        <v>14</v>
      </c>
      <c r="B244" s="1" t="s">
        <v>176</v>
      </c>
      <c r="C244" s="4">
        <v>15</v>
      </c>
      <c r="D244" s="8">
        <v>1.46</v>
      </c>
      <c r="E244" s="4">
        <v>7</v>
      </c>
      <c r="F244" s="8">
        <v>1.22</v>
      </c>
      <c r="G244" s="4">
        <v>8</v>
      </c>
      <c r="H244" s="8">
        <v>1.81</v>
      </c>
      <c r="I244" s="4">
        <v>0</v>
      </c>
    </row>
    <row r="245" spans="1:9" x14ac:dyDescent="0.2">
      <c r="A245" s="2">
        <v>14</v>
      </c>
      <c r="B245" s="1" t="s">
        <v>196</v>
      </c>
      <c r="C245" s="4">
        <v>15</v>
      </c>
      <c r="D245" s="8">
        <v>1.46</v>
      </c>
      <c r="E245" s="4">
        <v>4</v>
      </c>
      <c r="F245" s="8">
        <v>0.7</v>
      </c>
      <c r="G245" s="4">
        <v>11</v>
      </c>
      <c r="H245" s="8">
        <v>2.4900000000000002</v>
      </c>
      <c r="I245" s="4">
        <v>0</v>
      </c>
    </row>
    <row r="246" spans="1:9" x14ac:dyDescent="0.2">
      <c r="A246" s="2">
        <v>14</v>
      </c>
      <c r="B246" s="1" t="s">
        <v>179</v>
      </c>
      <c r="C246" s="4">
        <v>15</v>
      </c>
      <c r="D246" s="8">
        <v>1.46</v>
      </c>
      <c r="E246" s="4">
        <v>8</v>
      </c>
      <c r="F246" s="8">
        <v>1.4</v>
      </c>
      <c r="G246" s="4">
        <v>7</v>
      </c>
      <c r="H246" s="8">
        <v>1.58</v>
      </c>
      <c r="I246" s="4">
        <v>0</v>
      </c>
    </row>
    <row r="247" spans="1:9" x14ac:dyDescent="0.2">
      <c r="A247" s="2">
        <v>18</v>
      </c>
      <c r="B247" s="1" t="s">
        <v>210</v>
      </c>
      <c r="C247" s="4">
        <v>14</v>
      </c>
      <c r="D247" s="8">
        <v>1.37</v>
      </c>
      <c r="E247" s="4">
        <v>11</v>
      </c>
      <c r="F247" s="8">
        <v>1.92</v>
      </c>
      <c r="G247" s="4">
        <v>3</v>
      </c>
      <c r="H247" s="8">
        <v>0.68</v>
      </c>
      <c r="I247" s="4">
        <v>0</v>
      </c>
    </row>
    <row r="248" spans="1:9" x14ac:dyDescent="0.2">
      <c r="A248" s="2">
        <v>18</v>
      </c>
      <c r="B248" s="1" t="s">
        <v>184</v>
      </c>
      <c r="C248" s="4">
        <v>14</v>
      </c>
      <c r="D248" s="8">
        <v>1.37</v>
      </c>
      <c r="E248" s="4">
        <v>3</v>
      </c>
      <c r="F248" s="8">
        <v>0.52</v>
      </c>
      <c r="G248" s="4">
        <v>10</v>
      </c>
      <c r="H248" s="8">
        <v>2.2599999999999998</v>
      </c>
      <c r="I248" s="4">
        <v>0</v>
      </c>
    </row>
    <row r="249" spans="1:9" x14ac:dyDescent="0.2">
      <c r="A249" s="2">
        <v>18</v>
      </c>
      <c r="B249" s="1" t="s">
        <v>209</v>
      </c>
      <c r="C249" s="4">
        <v>14</v>
      </c>
      <c r="D249" s="8">
        <v>1.37</v>
      </c>
      <c r="E249" s="4">
        <v>10</v>
      </c>
      <c r="F249" s="8">
        <v>1.75</v>
      </c>
      <c r="G249" s="4">
        <v>4</v>
      </c>
      <c r="H249" s="8">
        <v>0.9</v>
      </c>
      <c r="I249" s="4">
        <v>0</v>
      </c>
    </row>
    <row r="250" spans="1:9" x14ac:dyDescent="0.2">
      <c r="A250" s="1"/>
      <c r="C250" s="4"/>
      <c r="D250" s="8"/>
      <c r="E250" s="4"/>
      <c r="F250" s="8"/>
      <c r="G250" s="4"/>
      <c r="H250" s="8"/>
      <c r="I250" s="4"/>
    </row>
    <row r="251" spans="1:9" x14ac:dyDescent="0.2">
      <c r="A251" s="1" t="s">
        <v>11</v>
      </c>
      <c r="C251" s="4"/>
      <c r="D251" s="8"/>
      <c r="E251" s="4"/>
      <c r="F251" s="8"/>
      <c r="G251" s="4"/>
      <c r="H251" s="8"/>
      <c r="I251" s="4"/>
    </row>
    <row r="252" spans="1:9" x14ac:dyDescent="0.2">
      <c r="A252" s="2">
        <v>1</v>
      </c>
      <c r="B252" s="1" t="s">
        <v>191</v>
      </c>
      <c r="C252" s="4">
        <v>59</v>
      </c>
      <c r="D252" s="8">
        <v>4.88</v>
      </c>
      <c r="E252" s="4">
        <v>54</v>
      </c>
      <c r="F252" s="8">
        <v>8.41</v>
      </c>
      <c r="G252" s="4">
        <v>5</v>
      </c>
      <c r="H252" s="8">
        <v>0.91</v>
      </c>
      <c r="I252" s="4">
        <v>0</v>
      </c>
    </row>
    <row r="253" spans="1:9" x14ac:dyDescent="0.2">
      <c r="A253" s="2">
        <v>2</v>
      </c>
      <c r="B253" s="1" t="s">
        <v>183</v>
      </c>
      <c r="C253" s="4">
        <v>48</v>
      </c>
      <c r="D253" s="8">
        <v>3.97</v>
      </c>
      <c r="E253" s="4">
        <v>36</v>
      </c>
      <c r="F253" s="8">
        <v>5.61</v>
      </c>
      <c r="G253" s="4">
        <v>12</v>
      </c>
      <c r="H253" s="8">
        <v>2.1800000000000002</v>
      </c>
      <c r="I253" s="4">
        <v>0</v>
      </c>
    </row>
    <row r="254" spans="1:9" x14ac:dyDescent="0.2">
      <c r="A254" s="2">
        <v>3</v>
      </c>
      <c r="B254" s="1" t="s">
        <v>190</v>
      </c>
      <c r="C254" s="4">
        <v>40</v>
      </c>
      <c r="D254" s="8">
        <v>3.31</v>
      </c>
      <c r="E254" s="4">
        <v>40</v>
      </c>
      <c r="F254" s="8">
        <v>6.23</v>
      </c>
      <c r="G254" s="4">
        <v>0</v>
      </c>
      <c r="H254" s="8">
        <v>0</v>
      </c>
      <c r="I254" s="4">
        <v>0</v>
      </c>
    </row>
    <row r="255" spans="1:9" x14ac:dyDescent="0.2">
      <c r="A255" s="2">
        <v>4</v>
      </c>
      <c r="B255" s="1" t="s">
        <v>180</v>
      </c>
      <c r="C255" s="4">
        <v>38</v>
      </c>
      <c r="D255" s="8">
        <v>3.15</v>
      </c>
      <c r="E255" s="4">
        <v>22</v>
      </c>
      <c r="F255" s="8">
        <v>3.43</v>
      </c>
      <c r="G255" s="4">
        <v>16</v>
      </c>
      <c r="H255" s="8">
        <v>2.9</v>
      </c>
      <c r="I255" s="4">
        <v>0</v>
      </c>
    </row>
    <row r="256" spans="1:9" x14ac:dyDescent="0.2">
      <c r="A256" s="2">
        <v>5</v>
      </c>
      <c r="B256" s="1" t="s">
        <v>176</v>
      </c>
      <c r="C256" s="4">
        <v>31</v>
      </c>
      <c r="D256" s="8">
        <v>2.57</v>
      </c>
      <c r="E256" s="4">
        <v>18</v>
      </c>
      <c r="F256" s="8">
        <v>2.8</v>
      </c>
      <c r="G256" s="4">
        <v>13</v>
      </c>
      <c r="H256" s="8">
        <v>2.36</v>
      </c>
      <c r="I256" s="4">
        <v>0</v>
      </c>
    </row>
    <row r="257" spans="1:9" x14ac:dyDescent="0.2">
      <c r="A257" s="2">
        <v>6</v>
      </c>
      <c r="B257" s="1" t="s">
        <v>174</v>
      </c>
      <c r="C257" s="4">
        <v>29</v>
      </c>
      <c r="D257" s="8">
        <v>2.4</v>
      </c>
      <c r="E257" s="4">
        <v>1</v>
      </c>
      <c r="F257" s="8">
        <v>0.16</v>
      </c>
      <c r="G257" s="4">
        <v>28</v>
      </c>
      <c r="H257" s="8">
        <v>5.08</v>
      </c>
      <c r="I257" s="4">
        <v>0</v>
      </c>
    </row>
    <row r="258" spans="1:9" x14ac:dyDescent="0.2">
      <c r="A258" s="2">
        <v>7</v>
      </c>
      <c r="B258" s="1" t="s">
        <v>189</v>
      </c>
      <c r="C258" s="4">
        <v>28</v>
      </c>
      <c r="D258" s="8">
        <v>2.3199999999999998</v>
      </c>
      <c r="E258" s="4">
        <v>28</v>
      </c>
      <c r="F258" s="8">
        <v>4.3600000000000003</v>
      </c>
      <c r="G258" s="4">
        <v>0</v>
      </c>
      <c r="H258" s="8">
        <v>0</v>
      </c>
      <c r="I258" s="4">
        <v>0</v>
      </c>
    </row>
    <row r="259" spans="1:9" x14ac:dyDescent="0.2">
      <c r="A259" s="2">
        <v>8</v>
      </c>
      <c r="B259" s="1" t="s">
        <v>193</v>
      </c>
      <c r="C259" s="4">
        <v>27</v>
      </c>
      <c r="D259" s="8">
        <v>2.2400000000000002</v>
      </c>
      <c r="E259" s="4">
        <v>27</v>
      </c>
      <c r="F259" s="8">
        <v>4.21</v>
      </c>
      <c r="G259" s="4">
        <v>0</v>
      </c>
      <c r="H259" s="8">
        <v>0</v>
      </c>
      <c r="I259" s="4">
        <v>0</v>
      </c>
    </row>
    <row r="260" spans="1:9" x14ac:dyDescent="0.2">
      <c r="A260" s="2">
        <v>9</v>
      </c>
      <c r="B260" s="1" t="s">
        <v>187</v>
      </c>
      <c r="C260" s="4">
        <v>26</v>
      </c>
      <c r="D260" s="8">
        <v>2.15</v>
      </c>
      <c r="E260" s="4">
        <v>20</v>
      </c>
      <c r="F260" s="8">
        <v>3.12</v>
      </c>
      <c r="G260" s="4">
        <v>6</v>
      </c>
      <c r="H260" s="8">
        <v>1.0900000000000001</v>
      </c>
      <c r="I260" s="4">
        <v>0</v>
      </c>
    </row>
    <row r="261" spans="1:9" x14ac:dyDescent="0.2">
      <c r="A261" s="2">
        <v>10</v>
      </c>
      <c r="B261" s="1" t="s">
        <v>194</v>
      </c>
      <c r="C261" s="4">
        <v>25</v>
      </c>
      <c r="D261" s="8">
        <v>2.0699999999999998</v>
      </c>
      <c r="E261" s="4">
        <v>7</v>
      </c>
      <c r="F261" s="8">
        <v>1.0900000000000001</v>
      </c>
      <c r="G261" s="4">
        <v>18</v>
      </c>
      <c r="H261" s="8">
        <v>3.27</v>
      </c>
      <c r="I261" s="4">
        <v>0</v>
      </c>
    </row>
    <row r="262" spans="1:9" x14ac:dyDescent="0.2">
      <c r="A262" s="2">
        <v>11</v>
      </c>
      <c r="B262" s="1" t="s">
        <v>181</v>
      </c>
      <c r="C262" s="4">
        <v>23</v>
      </c>
      <c r="D262" s="8">
        <v>1.9</v>
      </c>
      <c r="E262" s="4">
        <v>12</v>
      </c>
      <c r="F262" s="8">
        <v>1.87</v>
      </c>
      <c r="G262" s="4">
        <v>11</v>
      </c>
      <c r="H262" s="8">
        <v>2</v>
      </c>
      <c r="I262" s="4">
        <v>0</v>
      </c>
    </row>
    <row r="263" spans="1:9" x14ac:dyDescent="0.2">
      <c r="A263" s="2">
        <v>11</v>
      </c>
      <c r="B263" s="1" t="s">
        <v>186</v>
      </c>
      <c r="C263" s="4">
        <v>23</v>
      </c>
      <c r="D263" s="8">
        <v>1.9</v>
      </c>
      <c r="E263" s="4">
        <v>19</v>
      </c>
      <c r="F263" s="8">
        <v>2.96</v>
      </c>
      <c r="G263" s="4">
        <v>4</v>
      </c>
      <c r="H263" s="8">
        <v>0.73</v>
      </c>
      <c r="I263" s="4">
        <v>0</v>
      </c>
    </row>
    <row r="264" spans="1:9" x14ac:dyDescent="0.2">
      <c r="A264" s="2">
        <v>13</v>
      </c>
      <c r="B264" s="1" t="s">
        <v>175</v>
      </c>
      <c r="C264" s="4">
        <v>21</v>
      </c>
      <c r="D264" s="8">
        <v>1.74</v>
      </c>
      <c r="E264" s="4">
        <v>8</v>
      </c>
      <c r="F264" s="8">
        <v>1.25</v>
      </c>
      <c r="G264" s="4">
        <v>13</v>
      </c>
      <c r="H264" s="8">
        <v>2.36</v>
      </c>
      <c r="I264" s="4">
        <v>0</v>
      </c>
    </row>
    <row r="265" spans="1:9" x14ac:dyDescent="0.2">
      <c r="A265" s="2">
        <v>13</v>
      </c>
      <c r="B265" s="1" t="s">
        <v>184</v>
      </c>
      <c r="C265" s="4">
        <v>21</v>
      </c>
      <c r="D265" s="8">
        <v>1.74</v>
      </c>
      <c r="E265" s="4">
        <v>9</v>
      </c>
      <c r="F265" s="8">
        <v>1.4</v>
      </c>
      <c r="G265" s="4">
        <v>12</v>
      </c>
      <c r="H265" s="8">
        <v>2.1800000000000002</v>
      </c>
      <c r="I265" s="4">
        <v>0</v>
      </c>
    </row>
    <row r="266" spans="1:9" x14ac:dyDescent="0.2">
      <c r="A266" s="2">
        <v>13</v>
      </c>
      <c r="B266" s="1" t="s">
        <v>188</v>
      </c>
      <c r="C266" s="4">
        <v>21</v>
      </c>
      <c r="D266" s="8">
        <v>1.74</v>
      </c>
      <c r="E266" s="4">
        <v>20</v>
      </c>
      <c r="F266" s="8">
        <v>3.12</v>
      </c>
      <c r="G266" s="4">
        <v>1</v>
      </c>
      <c r="H266" s="8">
        <v>0.18</v>
      </c>
      <c r="I266" s="4">
        <v>0</v>
      </c>
    </row>
    <row r="267" spans="1:9" x14ac:dyDescent="0.2">
      <c r="A267" s="2">
        <v>16</v>
      </c>
      <c r="B267" s="1" t="s">
        <v>179</v>
      </c>
      <c r="C267" s="4">
        <v>20</v>
      </c>
      <c r="D267" s="8">
        <v>1.66</v>
      </c>
      <c r="E267" s="4">
        <v>18</v>
      </c>
      <c r="F267" s="8">
        <v>2.8</v>
      </c>
      <c r="G267" s="4">
        <v>2</v>
      </c>
      <c r="H267" s="8">
        <v>0.36</v>
      </c>
      <c r="I267" s="4">
        <v>0</v>
      </c>
    </row>
    <row r="268" spans="1:9" x14ac:dyDescent="0.2">
      <c r="A268" s="2">
        <v>17</v>
      </c>
      <c r="B268" s="1" t="s">
        <v>209</v>
      </c>
      <c r="C268" s="4">
        <v>19</v>
      </c>
      <c r="D268" s="8">
        <v>1.57</v>
      </c>
      <c r="E268" s="4">
        <v>16</v>
      </c>
      <c r="F268" s="8">
        <v>2.4900000000000002</v>
      </c>
      <c r="G268" s="4">
        <v>3</v>
      </c>
      <c r="H268" s="8">
        <v>0.54</v>
      </c>
      <c r="I268" s="4">
        <v>0</v>
      </c>
    </row>
    <row r="269" spans="1:9" x14ac:dyDescent="0.2">
      <c r="A269" s="2">
        <v>18</v>
      </c>
      <c r="B269" s="1" t="s">
        <v>213</v>
      </c>
      <c r="C269" s="4">
        <v>17</v>
      </c>
      <c r="D269" s="8">
        <v>1.41</v>
      </c>
      <c r="E269" s="4">
        <v>3</v>
      </c>
      <c r="F269" s="8">
        <v>0.47</v>
      </c>
      <c r="G269" s="4">
        <v>14</v>
      </c>
      <c r="H269" s="8">
        <v>2.54</v>
      </c>
      <c r="I269" s="4">
        <v>0</v>
      </c>
    </row>
    <row r="270" spans="1:9" x14ac:dyDescent="0.2">
      <c r="A270" s="2">
        <v>18</v>
      </c>
      <c r="B270" s="1" t="s">
        <v>200</v>
      </c>
      <c r="C270" s="4">
        <v>17</v>
      </c>
      <c r="D270" s="8">
        <v>1.41</v>
      </c>
      <c r="E270" s="4">
        <v>8</v>
      </c>
      <c r="F270" s="8">
        <v>1.25</v>
      </c>
      <c r="G270" s="4">
        <v>9</v>
      </c>
      <c r="H270" s="8">
        <v>1.63</v>
      </c>
      <c r="I270" s="4">
        <v>0</v>
      </c>
    </row>
    <row r="271" spans="1:9" x14ac:dyDescent="0.2">
      <c r="A271" s="2">
        <v>20</v>
      </c>
      <c r="B271" s="1" t="s">
        <v>214</v>
      </c>
      <c r="C271" s="4">
        <v>16</v>
      </c>
      <c r="D271" s="8">
        <v>1.32</v>
      </c>
      <c r="E271" s="4">
        <v>9</v>
      </c>
      <c r="F271" s="8">
        <v>1.4</v>
      </c>
      <c r="G271" s="4">
        <v>7</v>
      </c>
      <c r="H271" s="8">
        <v>1.27</v>
      </c>
      <c r="I271" s="4">
        <v>0</v>
      </c>
    </row>
    <row r="272" spans="1:9" x14ac:dyDescent="0.2">
      <c r="A272" s="2">
        <v>20</v>
      </c>
      <c r="B272" s="1" t="s">
        <v>197</v>
      </c>
      <c r="C272" s="4">
        <v>16</v>
      </c>
      <c r="D272" s="8">
        <v>1.32</v>
      </c>
      <c r="E272" s="4">
        <v>7</v>
      </c>
      <c r="F272" s="8">
        <v>1.0900000000000001</v>
      </c>
      <c r="G272" s="4">
        <v>9</v>
      </c>
      <c r="H272" s="8">
        <v>1.63</v>
      </c>
      <c r="I272" s="4">
        <v>0</v>
      </c>
    </row>
    <row r="273" spans="1:9" x14ac:dyDescent="0.2">
      <c r="A273" s="2">
        <v>20</v>
      </c>
      <c r="B273" s="1" t="s">
        <v>215</v>
      </c>
      <c r="C273" s="4">
        <v>16</v>
      </c>
      <c r="D273" s="8">
        <v>1.32</v>
      </c>
      <c r="E273" s="4">
        <v>6</v>
      </c>
      <c r="F273" s="8">
        <v>0.93</v>
      </c>
      <c r="G273" s="4">
        <v>10</v>
      </c>
      <c r="H273" s="8">
        <v>1.81</v>
      </c>
      <c r="I273" s="4">
        <v>0</v>
      </c>
    </row>
    <row r="274" spans="1:9" x14ac:dyDescent="0.2">
      <c r="A274" s="2">
        <v>20</v>
      </c>
      <c r="B274" s="1" t="s">
        <v>182</v>
      </c>
      <c r="C274" s="4">
        <v>16</v>
      </c>
      <c r="D274" s="8">
        <v>1.32</v>
      </c>
      <c r="E274" s="4">
        <v>3</v>
      </c>
      <c r="F274" s="8">
        <v>0.47</v>
      </c>
      <c r="G274" s="4">
        <v>13</v>
      </c>
      <c r="H274" s="8">
        <v>2.36</v>
      </c>
      <c r="I274" s="4">
        <v>0</v>
      </c>
    </row>
    <row r="275" spans="1:9" x14ac:dyDescent="0.2">
      <c r="A275" s="1"/>
      <c r="C275" s="4"/>
      <c r="D275" s="8"/>
      <c r="E275" s="4"/>
      <c r="F275" s="8"/>
      <c r="G275" s="4"/>
      <c r="H275" s="8"/>
      <c r="I275" s="4"/>
    </row>
    <row r="276" spans="1:9" x14ac:dyDescent="0.2">
      <c r="A276" s="1" t="s">
        <v>12</v>
      </c>
      <c r="C276" s="4"/>
      <c r="D276" s="8"/>
      <c r="E276" s="4"/>
      <c r="F276" s="8"/>
      <c r="G276" s="4"/>
      <c r="H276" s="8"/>
      <c r="I276" s="4"/>
    </row>
    <row r="277" spans="1:9" x14ac:dyDescent="0.2">
      <c r="A277" s="2">
        <v>1</v>
      </c>
      <c r="B277" s="1" t="s">
        <v>191</v>
      </c>
      <c r="C277" s="4">
        <v>40</v>
      </c>
      <c r="D277" s="8">
        <v>5.31</v>
      </c>
      <c r="E277" s="4">
        <v>36</v>
      </c>
      <c r="F277" s="8">
        <v>8.93</v>
      </c>
      <c r="G277" s="4">
        <v>4</v>
      </c>
      <c r="H277" s="8">
        <v>1.23</v>
      </c>
      <c r="I277" s="4">
        <v>0</v>
      </c>
    </row>
    <row r="278" spans="1:9" x14ac:dyDescent="0.2">
      <c r="A278" s="2">
        <v>2</v>
      </c>
      <c r="B278" s="1" t="s">
        <v>190</v>
      </c>
      <c r="C278" s="4">
        <v>28</v>
      </c>
      <c r="D278" s="8">
        <v>3.71</v>
      </c>
      <c r="E278" s="4">
        <v>26</v>
      </c>
      <c r="F278" s="8">
        <v>6.45</v>
      </c>
      <c r="G278" s="4">
        <v>2</v>
      </c>
      <c r="H278" s="8">
        <v>0.62</v>
      </c>
      <c r="I278" s="4">
        <v>0</v>
      </c>
    </row>
    <row r="279" spans="1:9" x14ac:dyDescent="0.2">
      <c r="A279" s="2">
        <v>3</v>
      </c>
      <c r="B279" s="1" t="s">
        <v>174</v>
      </c>
      <c r="C279" s="4">
        <v>27</v>
      </c>
      <c r="D279" s="8">
        <v>3.58</v>
      </c>
      <c r="E279" s="4">
        <v>2</v>
      </c>
      <c r="F279" s="8">
        <v>0.5</v>
      </c>
      <c r="G279" s="4">
        <v>25</v>
      </c>
      <c r="H279" s="8">
        <v>7.69</v>
      </c>
      <c r="I279" s="4">
        <v>0</v>
      </c>
    </row>
    <row r="280" spans="1:9" x14ac:dyDescent="0.2">
      <c r="A280" s="2">
        <v>4</v>
      </c>
      <c r="B280" s="1" t="s">
        <v>185</v>
      </c>
      <c r="C280" s="4">
        <v>26</v>
      </c>
      <c r="D280" s="8">
        <v>3.45</v>
      </c>
      <c r="E280" s="4">
        <v>17</v>
      </c>
      <c r="F280" s="8">
        <v>4.22</v>
      </c>
      <c r="G280" s="4">
        <v>9</v>
      </c>
      <c r="H280" s="8">
        <v>2.77</v>
      </c>
      <c r="I280" s="4">
        <v>0</v>
      </c>
    </row>
    <row r="281" spans="1:9" x14ac:dyDescent="0.2">
      <c r="A281" s="2">
        <v>5</v>
      </c>
      <c r="B281" s="1" t="s">
        <v>186</v>
      </c>
      <c r="C281" s="4">
        <v>22</v>
      </c>
      <c r="D281" s="8">
        <v>2.92</v>
      </c>
      <c r="E281" s="4">
        <v>15</v>
      </c>
      <c r="F281" s="8">
        <v>3.72</v>
      </c>
      <c r="G281" s="4">
        <v>7</v>
      </c>
      <c r="H281" s="8">
        <v>2.15</v>
      </c>
      <c r="I281" s="4">
        <v>0</v>
      </c>
    </row>
    <row r="282" spans="1:9" x14ac:dyDescent="0.2">
      <c r="A282" s="2">
        <v>5</v>
      </c>
      <c r="B282" s="1" t="s">
        <v>188</v>
      </c>
      <c r="C282" s="4">
        <v>22</v>
      </c>
      <c r="D282" s="8">
        <v>2.92</v>
      </c>
      <c r="E282" s="4">
        <v>17</v>
      </c>
      <c r="F282" s="8">
        <v>4.22</v>
      </c>
      <c r="G282" s="4">
        <v>5</v>
      </c>
      <c r="H282" s="8">
        <v>1.54</v>
      </c>
      <c r="I282" s="4">
        <v>0</v>
      </c>
    </row>
    <row r="283" spans="1:9" x14ac:dyDescent="0.2">
      <c r="A283" s="2">
        <v>7</v>
      </c>
      <c r="B283" s="1" t="s">
        <v>192</v>
      </c>
      <c r="C283" s="4">
        <v>20</v>
      </c>
      <c r="D283" s="8">
        <v>2.65</v>
      </c>
      <c r="E283" s="4">
        <v>18</v>
      </c>
      <c r="F283" s="8">
        <v>4.47</v>
      </c>
      <c r="G283" s="4">
        <v>2</v>
      </c>
      <c r="H283" s="8">
        <v>0.62</v>
      </c>
      <c r="I283" s="4">
        <v>0</v>
      </c>
    </row>
    <row r="284" spans="1:9" x14ac:dyDescent="0.2">
      <c r="A284" s="2">
        <v>8</v>
      </c>
      <c r="B284" s="1" t="s">
        <v>189</v>
      </c>
      <c r="C284" s="4">
        <v>19</v>
      </c>
      <c r="D284" s="8">
        <v>2.52</v>
      </c>
      <c r="E284" s="4">
        <v>19</v>
      </c>
      <c r="F284" s="8">
        <v>4.71</v>
      </c>
      <c r="G284" s="4">
        <v>0</v>
      </c>
      <c r="H284" s="8">
        <v>0</v>
      </c>
      <c r="I284" s="4">
        <v>0</v>
      </c>
    </row>
    <row r="285" spans="1:9" x14ac:dyDescent="0.2">
      <c r="A285" s="2">
        <v>9</v>
      </c>
      <c r="B285" s="1" t="s">
        <v>176</v>
      </c>
      <c r="C285" s="4">
        <v>17</v>
      </c>
      <c r="D285" s="8">
        <v>2.25</v>
      </c>
      <c r="E285" s="4">
        <v>11</v>
      </c>
      <c r="F285" s="8">
        <v>2.73</v>
      </c>
      <c r="G285" s="4">
        <v>6</v>
      </c>
      <c r="H285" s="8">
        <v>1.85</v>
      </c>
      <c r="I285" s="4">
        <v>0</v>
      </c>
    </row>
    <row r="286" spans="1:9" x14ac:dyDescent="0.2">
      <c r="A286" s="2">
        <v>10</v>
      </c>
      <c r="B286" s="1" t="s">
        <v>180</v>
      </c>
      <c r="C286" s="4">
        <v>16</v>
      </c>
      <c r="D286" s="8">
        <v>2.12</v>
      </c>
      <c r="E286" s="4">
        <v>9</v>
      </c>
      <c r="F286" s="8">
        <v>2.23</v>
      </c>
      <c r="G286" s="4">
        <v>7</v>
      </c>
      <c r="H286" s="8">
        <v>2.15</v>
      </c>
      <c r="I286" s="4">
        <v>0</v>
      </c>
    </row>
    <row r="287" spans="1:9" x14ac:dyDescent="0.2">
      <c r="A287" s="2">
        <v>10</v>
      </c>
      <c r="B287" s="1" t="s">
        <v>187</v>
      </c>
      <c r="C287" s="4">
        <v>16</v>
      </c>
      <c r="D287" s="8">
        <v>2.12</v>
      </c>
      <c r="E287" s="4">
        <v>12</v>
      </c>
      <c r="F287" s="8">
        <v>2.98</v>
      </c>
      <c r="G287" s="4">
        <v>4</v>
      </c>
      <c r="H287" s="8">
        <v>1.23</v>
      </c>
      <c r="I287" s="4">
        <v>0</v>
      </c>
    </row>
    <row r="288" spans="1:9" x14ac:dyDescent="0.2">
      <c r="A288" s="2">
        <v>12</v>
      </c>
      <c r="B288" s="1" t="s">
        <v>200</v>
      </c>
      <c r="C288" s="4">
        <v>15</v>
      </c>
      <c r="D288" s="8">
        <v>1.99</v>
      </c>
      <c r="E288" s="4">
        <v>10</v>
      </c>
      <c r="F288" s="8">
        <v>2.48</v>
      </c>
      <c r="G288" s="4">
        <v>5</v>
      </c>
      <c r="H288" s="8">
        <v>1.54</v>
      </c>
      <c r="I288" s="4">
        <v>0</v>
      </c>
    </row>
    <row r="289" spans="1:9" x14ac:dyDescent="0.2">
      <c r="A289" s="2">
        <v>13</v>
      </c>
      <c r="B289" s="1" t="s">
        <v>210</v>
      </c>
      <c r="C289" s="4">
        <v>14</v>
      </c>
      <c r="D289" s="8">
        <v>1.86</v>
      </c>
      <c r="E289" s="4">
        <v>10</v>
      </c>
      <c r="F289" s="8">
        <v>2.48</v>
      </c>
      <c r="G289" s="4">
        <v>4</v>
      </c>
      <c r="H289" s="8">
        <v>1.23</v>
      </c>
      <c r="I289" s="4">
        <v>0</v>
      </c>
    </row>
    <row r="290" spans="1:9" x14ac:dyDescent="0.2">
      <c r="A290" s="2">
        <v>13</v>
      </c>
      <c r="B290" s="1" t="s">
        <v>193</v>
      </c>
      <c r="C290" s="4">
        <v>14</v>
      </c>
      <c r="D290" s="8">
        <v>1.86</v>
      </c>
      <c r="E290" s="4">
        <v>14</v>
      </c>
      <c r="F290" s="8">
        <v>3.47</v>
      </c>
      <c r="G290" s="4">
        <v>0</v>
      </c>
      <c r="H290" s="8">
        <v>0</v>
      </c>
      <c r="I290" s="4">
        <v>0</v>
      </c>
    </row>
    <row r="291" spans="1:9" x14ac:dyDescent="0.2">
      <c r="A291" s="2">
        <v>15</v>
      </c>
      <c r="B291" s="1" t="s">
        <v>214</v>
      </c>
      <c r="C291" s="4">
        <v>13</v>
      </c>
      <c r="D291" s="8">
        <v>1.72</v>
      </c>
      <c r="E291" s="4">
        <v>7</v>
      </c>
      <c r="F291" s="8">
        <v>1.74</v>
      </c>
      <c r="G291" s="4">
        <v>6</v>
      </c>
      <c r="H291" s="8">
        <v>1.85</v>
      </c>
      <c r="I291" s="4">
        <v>0</v>
      </c>
    </row>
    <row r="292" spans="1:9" x14ac:dyDescent="0.2">
      <c r="A292" s="2">
        <v>15</v>
      </c>
      <c r="B292" s="1" t="s">
        <v>183</v>
      </c>
      <c r="C292" s="4">
        <v>13</v>
      </c>
      <c r="D292" s="8">
        <v>1.72</v>
      </c>
      <c r="E292" s="4">
        <v>7</v>
      </c>
      <c r="F292" s="8">
        <v>1.74</v>
      </c>
      <c r="G292" s="4">
        <v>6</v>
      </c>
      <c r="H292" s="8">
        <v>1.85</v>
      </c>
      <c r="I292" s="4">
        <v>0</v>
      </c>
    </row>
    <row r="293" spans="1:9" x14ac:dyDescent="0.2">
      <c r="A293" s="2">
        <v>17</v>
      </c>
      <c r="B293" s="1" t="s">
        <v>175</v>
      </c>
      <c r="C293" s="4">
        <v>12</v>
      </c>
      <c r="D293" s="8">
        <v>1.59</v>
      </c>
      <c r="E293" s="4">
        <v>6</v>
      </c>
      <c r="F293" s="8">
        <v>1.49</v>
      </c>
      <c r="G293" s="4">
        <v>6</v>
      </c>
      <c r="H293" s="8">
        <v>1.85</v>
      </c>
      <c r="I293" s="4">
        <v>0</v>
      </c>
    </row>
    <row r="294" spans="1:9" x14ac:dyDescent="0.2">
      <c r="A294" s="2">
        <v>17</v>
      </c>
      <c r="B294" s="1" t="s">
        <v>209</v>
      </c>
      <c r="C294" s="4">
        <v>12</v>
      </c>
      <c r="D294" s="8">
        <v>1.59</v>
      </c>
      <c r="E294" s="4">
        <v>11</v>
      </c>
      <c r="F294" s="8">
        <v>2.73</v>
      </c>
      <c r="G294" s="4">
        <v>1</v>
      </c>
      <c r="H294" s="8">
        <v>0.31</v>
      </c>
      <c r="I294" s="4">
        <v>0</v>
      </c>
    </row>
    <row r="295" spans="1:9" x14ac:dyDescent="0.2">
      <c r="A295" s="2">
        <v>19</v>
      </c>
      <c r="B295" s="1" t="s">
        <v>179</v>
      </c>
      <c r="C295" s="4">
        <v>11</v>
      </c>
      <c r="D295" s="8">
        <v>1.46</v>
      </c>
      <c r="E295" s="4">
        <v>7</v>
      </c>
      <c r="F295" s="8">
        <v>1.74</v>
      </c>
      <c r="G295" s="4">
        <v>4</v>
      </c>
      <c r="H295" s="8">
        <v>1.23</v>
      </c>
      <c r="I295" s="4">
        <v>0</v>
      </c>
    </row>
    <row r="296" spans="1:9" x14ac:dyDescent="0.2">
      <c r="A296" s="2">
        <v>19</v>
      </c>
      <c r="B296" s="1" t="s">
        <v>216</v>
      </c>
      <c r="C296" s="4">
        <v>11</v>
      </c>
      <c r="D296" s="8">
        <v>1.46</v>
      </c>
      <c r="E296" s="4">
        <v>3</v>
      </c>
      <c r="F296" s="8">
        <v>0.74</v>
      </c>
      <c r="G296" s="4">
        <v>8</v>
      </c>
      <c r="H296" s="8">
        <v>2.46</v>
      </c>
      <c r="I296" s="4">
        <v>0</v>
      </c>
    </row>
    <row r="297" spans="1:9" x14ac:dyDescent="0.2">
      <c r="A297" s="2">
        <v>19</v>
      </c>
      <c r="B297" s="1" t="s">
        <v>181</v>
      </c>
      <c r="C297" s="4">
        <v>11</v>
      </c>
      <c r="D297" s="8">
        <v>1.46</v>
      </c>
      <c r="E297" s="4">
        <v>9</v>
      </c>
      <c r="F297" s="8">
        <v>2.23</v>
      </c>
      <c r="G297" s="4">
        <v>2</v>
      </c>
      <c r="H297" s="8">
        <v>0.62</v>
      </c>
      <c r="I297" s="4">
        <v>0</v>
      </c>
    </row>
    <row r="298" spans="1:9" x14ac:dyDescent="0.2">
      <c r="A298" s="2">
        <v>19</v>
      </c>
      <c r="B298" s="1" t="s">
        <v>217</v>
      </c>
      <c r="C298" s="4">
        <v>11</v>
      </c>
      <c r="D298" s="8">
        <v>1.46</v>
      </c>
      <c r="E298" s="4">
        <v>0</v>
      </c>
      <c r="F298" s="8">
        <v>0</v>
      </c>
      <c r="G298" s="4">
        <v>2</v>
      </c>
      <c r="H298" s="8">
        <v>0.62</v>
      </c>
      <c r="I298" s="4">
        <v>0</v>
      </c>
    </row>
    <row r="299" spans="1:9" x14ac:dyDescent="0.2">
      <c r="A299" s="1"/>
      <c r="C299" s="4"/>
      <c r="D299" s="8"/>
      <c r="E299" s="4"/>
      <c r="F299" s="8"/>
      <c r="G299" s="4"/>
      <c r="H299" s="8"/>
      <c r="I299" s="4"/>
    </row>
    <row r="300" spans="1:9" x14ac:dyDescent="0.2">
      <c r="A300" s="1" t="s">
        <v>13</v>
      </c>
      <c r="C300" s="4"/>
      <c r="D300" s="8"/>
      <c r="E300" s="4"/>
      <c r="F300" s="8"/>
      <c r="G300" s="4"/>
      <c r="H300" s="8"/>
      <c r="I300" s="4"/>
    </row>
    <row r="301" spans="1:9" x14ac:dyDescent="0.2">
      <c r="A301" s="2">
        <v>1</v>
      </c>
      <c r="B301" s="1" t="s">
        <v>185</v>
      </c>
      <c r="C301" s="4">
        <v>51</v>
      </c>
      <c r="D301" s="8">
        <v>6.81</v>
      </c>
      <c r="E301" s="4">
        <v>35</v>
      </c>
      <c r="F301" s="8">
        <v>7.94</v>
      </c>
      <c r="G301" s="4">
        <v>16</v>
      </c>
      <c r="H301" s="8">
        <v>5.48</v>
      </c>
      <c r="I301" s="4">
        <v>0</v>
      </c>
    </row>
    <row r="302" spans="1:9" x14ac:dyDescent="0.2">
      <c r="A302" s="2">
        <v>1</v>
      </c>
      <c r="B302" s="1" t="s">
        <v>191</v>
      </c>
      <c r="C302" s="4">
        <v>51</v>
      </c>
      <c r="D302" s="8">
        <v>6.81</v>
      </c>
      <c r="E302" s="4">
        <v>50</v>
      </c>
      <c r="F302" s="8">
        <v>11.34</v>
      </c>
      <c r="G302" s="4">
        <v>1</v>
      </c>
      <c r="H302" s="8">
        <v>0.34</v>
      </c>
      <c r="I302" s="4">
        <v>0</v>
      </c>
    </row>
    <row r="303" spans="1:9" x14ac:dyDescent="0.2">
      <c r="A303" s="2">
        <v>3</v>
      </c>
      <c r="B303" s="1" t="s">
        <v>190</v>
      </c>
      <c r="C303" s="4">
        <v>30</v>
      </c>
      <c r="D303" s="8">
        <v>4.01</v>
      </c>
      <c r="E303" s="4">
        <v>29</v>
      </c>
      <c r="F303" s="8">
        <v>6.58</v>
      </c>
      <c r="G303" s="4">
        <v>1</v>
      </c>
      <c r="H303" s="8">
        <v>0.34</v>
      </c>
      <c r="I303" s="4">
        <v>0</v>
      </c>
    </row>
    <row r="304" spans="1:9" x14ac:dyDescent="0.2">
      <c r="A304" s="2">
        <v>4</v>
      </c>
      <c r="B304" s="1" t="s">
        <v>175</v>
      </c>
      <c r="C304" s="4">
        <v>20</v>
      </c>
      <c r="D304" s="8">
        <v>2.67</v>
      </c>
      <c r="E304" s="4">
        <v>8</v>
      </c>
      <c r="F304" s="8">
        <v>1.81</v>
      </c>
      <c r="G304" s="4">
        <v>12</v>
      </c>
      <c r="H304" s="8">
        <v>4.1100000000000003</v>
      </c>
      <c r="I304" s="4">
        <v>0</v>
      </c>
    </row>
    <row r="305" spans="1:9" x14ac:dyDescent="0.2">
      <c r="A305" s="2">
        <v>4</v>
      </c>
      <c r="B305" s="1" t="s">
        <v>188</v>
      </c>
      <c r="C305" s="4">
        <v>20</v>
      </c>
      <c r="D305" s="8">
        <v>2.67</v>
      </c>
      <c r="E305" s="4">
        <v>17</v>
      </c>
      <c r="F305" s="8">
        <v>3.85</v>
      </c>
      <c r="G305" s="4">
        <v>3</v>
      </c>
      <c r="H305" s="8">
        <v>1.03</v>
      </c>
      <c r="I305" s="4">
        <v>0</v>
      </c>
    </row>
    <row r="306" spans="1:9" x14ac:dyDescent="0.2">
      <c r="A306" s="2">
        <v>6</v>
      </c>
      <c r="B306" s="1" t="s">
        <v>180</v>
      </c>
      <c r="C306" s="4">
        <v>19</v>
      </c>
      <c r="D306" s="8">
        <v>2.54</v>
      </c>
      <c r="E306" s="4">
        <v>11</v>
      </c>
      <c r="F306" s="8">
        <v>2.4900000000000002</v>
      </c>
      <c r="G306" s="4">
        <v>8</v>
      </c>
      <c r="H306" s="8">
        <v>2.74</v>
      </c>
      <c r="I306" s="4">
        <v>0</v>
      </c>
    </row>
    <row r="307" spans="1:9" x14ac:dyDescent="0.2">
      <c r="A307" s="2">
        <v>7</v>
      </c>
      <c r="B307" s="1" t="s">
        <v>187</v>
      </c>
      <c r="C307" s="4">
        <v>17</v>
      </c>
      <c r="D307" s="8">
        <v>2.27</v>
      </c>
      <c r="E307" s="4">
        <v>14</v>
      </c>
      <c r="F307" s="8">
        <v>3.17</v>
      </c>
      <c r="G307" s="4">
        <v>3</v>
      </c>
      <c r="H307" s="8">
        <v>1.03</v>
      </c>
      <c r="I307" s="4">
        <v>0</v>
      </c>
    </row>
    <row r="308" spans="1:9" x14ac:dyDescent="0.2">
      <c r="A308" s="2">
        <v>8</v>
      </c>
      <c r="B308" s="1" t="s">
        <v>176</v>
      </c>
      <c r="C308" s="4">
        <v>16</v>
      </c>
      <c r="D308" s="8">
        <v>2.14</v>
      </c>
      <c r="E308" s="4">
        <v>12</v>
      </c>
      <c r="F308" s="8">
        <v>2.72</v>
      </c>
      <c r="G308" s="4">
        <v>4</v>
      </c>
      <c r="H308" s="8">
        <v>1.37</v>
      </c>
      <c r="I308" s="4">
        <v>0</v>
      </c>
    </row>
    <row r="309" spans="1:9" x14ac:dyDescent="0.2">
      <c r="A309" s="2">
        <v>9</v>
      </c>
      <c r="B309" s="1" t="s">
        <v>214</v>
      </c>
      <c r="C309" s="4">
        <v>15</v>
      </c>
      <c r="D309" s="8">
        <v>2</v>
      </c>
      <c r="E309" s="4">
        <v>7</v>
      </c>
      <c r="F309" s="8">
        <v>1.59</v>
      </c>
      <c r="G309" s="4">
        <v>8</v>
      </c>
      <c r="H309" s="8">
        <v>2.74</v>
      </c>
      <c r="I309" s="4">
        <v>0</v>
      </c>
    </row>
    <row r="310" spans="1:9" x14ac:dyDescent="0.2">
      <c r="A310" s="2">
        <v>9</v>
      </c>
      <c r="B310" s="1" t="s">
        <v>219</v>
      </c>
      <c r="C310" s="4">
        <v>15</v>
      </c>
      <c r="D310" s="8">
        <v>2</v>
      </c>
      <c r="E310" s="4">
        <v>8</v>
      </c>
      <c r="F310" s="8">
        <v>1.81</v>
      </c>
      <c r="G310" s="4">
        <v>7</v>
      </c>
      <c r="H310" s="8">
        <v>2.4</v>
      </c>
      <c r="I310" s="4">
        <v>0</v>
      </c>
    </row>
    <row r="311" spans="1:9" x14ac:dyDescent="0.2">
      <c r="A311" s="2">
        <v>11</v>
      </c>
      <c r="B311" s="1" t="s">
        <v>178</v>
      </c>
      <c r="C311" s="4">
        <v>14</v>
      </c>
      <c r="D311" s="8">
        <v>1.87</v>
      </c>
      <c r="E311" s="4">
        <v>7</v>
      </c>
      <c r="F311" s="8">
        <v>1.59</v>
      </c>
      <c r="G311" s="4">
        <v>7</v>
      </c>
      <c r="H311" s="8">
        <v>2.4</v>
      </c>
      <c r="I311" s="4">
        <v>0</v>
      </c>
    </row>
    <row r="312" spans="1:9" x14ac:dyDescent="0.2">
      <c r="A312" s="2">
        <v>12</v>
      </c>
      <c r="B312" s="1" t="s">
        <v>197</v>
      </c>
      <c r="C312" s="4">
        <v>13</v>
      </c>
      <c r="D312" s="8">
        <v>1.74</v>
      </c>
      <c r="E312" s="4">
        <v>10</v>
      </c>
      <c r="F312" s="8">
        <v>2.27</v>
      </c>
      <c r="G312" s="4">
        <v>3</v>
      </c>
      <c r="H312" s="8">
        <v>1.03</v>
      </c>
      <c r="I312" s="4">
        <v>0</v>
      </c>
    </row>
    <row r="313" spans="1:9" x14ac:dyDescent="0.2">
      <c r="A313" s="2">
        <v>13</v>
      </c>
      <c r="B313" s="1" t="s">
        <v>217</v>
      </c>
      <c r="C313" s="4">
        <v>12</v>
      </c>
      <c r="D313" s="8">
        <v>1.6</v>
      </c>
      <c r="E313" s="4">
        <v>0</v>
      </c>
      <c r="F313" s="8">
        <v>0</v>
      </c>
      <c r="G313" s="4">
        <v>10</v>
      </c>
      <c r="H313" s="8">
        <v>3.42</v>
      </c>
      <c r="I313" s="4">
        <v>0</v>
      </c>
    </row>
    <row r="314" spans="1:9" x14ac:dyDescent="0.2">
      <c r="A314" s="2">
        <v>14</v>
      </c>
      <c r="B314" s="1" t="s">
        <v>177</v>
      </c>
      <c r="C314" s="4">
        <v>11</v>
      </c>
      <c r="D314" s="8">
        <v>1.47</v>
      </c>
      <c r="E314" s="4">
        <v>5</v>
      </c>
      <c r="F314" s="8">
        <v>1.1299999999999999</v>
      </c>
      <c r="G314" s="4">
        <v>6</v>
      </c>
      <c r="H314" s="8">
        <v>2.0499999999999998</v>
      </c>
      <c r="I314" s="4">
        <v>0</v>
      </c>
    </row>
    <row r="315" spans="1:9" x14ac:dyDescent="0.2">
      <c r="A315" s="2">
        <v>14</v>
      </c>
      <c r="B315" s="1" t="s">
        <v>186</v>
      </c>
      <c r="C315" s="4">
        <v>11</v>
      </c>
      <c r="D315" s="8">
        <v>1.47</v>
      </c>
      <c r="E315" s="4">
        <v>8</v>
      </c>
      <c r="F315" s="8">
        <v>1.81</v>
      </c>
      <c r="G315" s="4">
        <v>3</v>
      </c>
      <c r="H315" s="8">
        <v>1.03</v>
      </c>
      <c r="I315" s="4">
        <v>0</v>
      </c>
    </row>
    <row r="316" spans="1:9" x14ac:dyDescent="0.2">
      <c r="A316" s="2">
        <v>16</v>
      </c>
      <c r="B316" s="1" t="s">
        <v>174</v>
      </c>
      <c r="C316" s="4">
        <v>10</v>
      </c>
      <c r="D316" s="8">
        <v>1.34</v>
      </c>
      <c r="E316" s="4">
        <v>3</v>
      </c>
      <c r="F316" s="8">
        <v>0.68</v>
      </c>
      <c r="G316" s="4">
        <v>7</v>
      </c>
      <c r="H316" s="8">
        <v>2.4</v>
      </c>
      <c r="I316" s="4">
        <v>0</v>
      </c>
    </row>
    <row r="317" spans="1:9" x14ac:dyDescent="0.2">
      <c r="A317" s="2">
        <v>16</v>
      </c>
      <c r="B317" s="1" t="s">
        <v>218</v>
      </c>
      <c r="C317" s="4">
        <v>10</v>
      </c>
      <c r="D317" s="8">
        <v>1.34</v>
      </c>
      <c r="E317" s="4">
        <v>6</v>
      </c>
      <c r="F317" s="8">
        <v>1.36</v>
      </c>
      <c r="G317" s="4">
        <v>4</v>
      </c>
      <c r="H317" s="8">
        <v>1.37</v>
      </c>
      <c r="I317" s="4">
        <v>0</v>
      </c>
    </row>
    <row r="318" spans="1:9" x14ac:dyDescent="0.2">
      <c r="A318" s="2">
        <v>16</v>
      </c>
      <c r="B318" s="1" t="s">
        <v>181</v>
      </c>
      <c r="C318" s="4">
        <v>10</v>
      </c>
      <c r="D318" s="8">
        <v>1.34</v>
      </c>
      <c r="E318" s="4">
        <v>6</v>
      </c>
      <c r="F318" s="8">
        <v>1.36</v>
      </c>
      <c r="G318" s="4">
        <v>4</v>
      </c>
      <c r="H318" s="8">
        <v>1.37</v>
      </c>
      <c r="I318" s="4">
        <v>0</v>
      </c>
    </row>
    <row r="319" spans="1:9" x14ac:dyDescent="0.2">
      <c r="A319" s="2">
        <v>16</v>
      </c>
      <c r="B319" s="1" t="s">
        <v>183</v>
      </c>
      <c r="C319" s="4">
        <v>10</v>
      </c>
      <c r="D319" s="8">
        <v>1.34</v>
      </c>
      <c r="E319" s="4">
        <v>7</v>
      </c>
      <c r="F319" s="8">
        <v>1.59</v>
      </c>
      <c r="G319" s="4">
        <v>3</v>
      </c>
      <c r="H319" s="8">
        <v>1.03</v>
      </c>
      <c r="I319" s="4">
        <v>0</v>
      </c>
    </row>
    <row r="320" spans="1:9" x14ac:dyDescent="0.2">
      <c r="A320" s="2">
        <v>16</v>
      </c>
      <c r="B320" s="1" t="s">
        <v>193</v>
      </c>
      <c r="C320" s="4">
        <v>10</v>
      </c>
      <c r="D320" s="8">
        <v>1.34</v>
      </c>
      <c r="E320" s="4">
        <v>10</v>
      </c>
      <c r="F320" s="8">
        <v>2.27</v>
      </c>
      <c r="G320" s="4">
        <v>0</v>
      </c>
      <c r="H320" s="8">
        <v>0</v>
      </c>
      <c r="I320" s="4">
        <v>0</v>
      </c>
    </row>
    <row r="321" spans="1:9" x14ac:dyDescent="0.2">
      <c r="A321" s="1"/>
      <c r="C321" s="4"/>
      <c r="D321" s="8"/>
      <c r="E321" s="4"/>
      <c r="F321" s="8"/>
      <c r="G321" s="4"/>
      <c r="H321" s="8"/>
      <c r="I321" s="4"/>
    </row>
    <row r="322" spans="1:9" x14ac:dyDescent="0.2">
      <c r="A322" s="1" t="s">
        <v>14</v>
      </c>
      <c r="C322" s="4"/>
      <c r="D322" s="8"/>
      <c r="E322" s="4"/>
      <c r="F322" s="8"/>
      <c r="G322" s="4"/>
      <c r="H322" s="8"/>
      <c r="I322" s="4"/>
    </row>
    <row r="323" spans="1:9" x14ac:dyDescent="0.2">
      <c r="A323" s="2">
        <v>1</v>
      </c>
      <c r="B323" s="1" t="s">
        <v>185</v>
      </c>
      <c r="C323" s="4">
        <v>92</v>
      </c>
      <c r="D323" s="8">
        <v>5.56</v>
      </c>
      <c r="E323" s="4">
        <v>71</v>
      </c>
      <c r="F323" s="8">
        <v>10.16</v>
      </c>
      <c r="G323" s="4">
        <v>21</v>
      </c>
      <c r="H323" s="8">
        <v>2.29</v>
      </c>
      <c r="I323" s="4">
        <v>0</v>
      </c>
    </row>
    <row r="324" spans="1:9" x14ac:dyDescent="0.2">
      <c r="A324" s="2">
        <v>2</v>
      </c>
      <c r="B324" s="1" t="s">
        <v>191</v>
      </c>
      <c r="C324" s="4">
        <v>73</v>
      </c>
      <c r="D324" s="8">
        <v>4.41</v>
      </c>
      <c r="E324" s="4">
        <v>67</v>
      </c>
      <c r="F324" s="8">
        <v>9.59</v>
      </c>
      <c r="G324" s="4">
        <v>6</v>
      </c>
      <c r="H324" s="8">
        <v>0.65</v>
      </c>
      <c r="I324" s="4">
        <v>0</v>
      </c>
    </row>
    <row r="325" spans="1:9" x14ac:dyDescent="0.2">
      <c r="A325" s="2">
        <v>3</v>
      </c>
      <c r="B325" s="1" t="s">
        <v>174</v>
      </c>
      <c r="C325" s="4">
        <v>48</v>
      </c>
      <c r="D325" s="8">
        <v>2.9</v>
      </c>
      <c r="E325" s="4">
        <v>5</v>
      </c>
      <c r="F325" s="8">
        <v>0.72</v>
      </c>
      <c r="G325" s="4">
        <v>43</v>
      </c>
      <c r="H325" s="8">
        <v>4.68</v>
      </c>
      <c r="I325" s="4">
        <v>0</v>
      </c>
    </row>
    <row r="326" spans="1:9" x14ac:dyDescent="0.2">
      <c r="A326" s="2">
        <v>4</v>
      </c>
      <c r="B326" s="1" t="s">
        <v>187</v>
      </c>
      <c r="C326" s="4">
        <v>42</v>
      </c>
      <c r="D326" s="8">
        <v>2.54</v>
      </c>
      <c r="E326" s="4">
        <v>29</v>
      </c>
      <c r="F326" s="8">
        <v>4.1500000000000004</v>
      </c>
      <c r="G326" s="4">
        <v>13</v>
      </c>
      <c r="H326" s="8">
        <v>1.42</v>
      </c>
      <c r="I326" s="4">
        <v>0</v>
      </c>
    </row>
    <row r="327" spans="1:9" x14ac:dyDescent="0.2">
      <c r="A327" s="2">
        <v>4</v>
      </c>
      <c r="B327" s="1" t="s">
        <v>193</v>
      </c>
      <c r="C327" s="4">
        <v>42</v>
      </c>
      <c r="D327" s="8">
        <v>2.54</v>
      </c>
      <c r="E327" s="4">
        <v>39</v>
      </c>
      <c r="F327" s="8">
        <v>5.58</v>
      </c>
      <c r="G327" s="4">
        <v>3</v>
      </c>
      <c r="H327" s="8">
        <v>0.33</v>
      </c>
      <c r="I327" s="4">
        <v>0</v>
      </c>
    </row>
    <row r="328" spans="1:9" x14ac:dyDescent="0.2">
      <c r="A328" s="2">
        <v>6</v>
      </c>
      <c r="B328" s="1" t="s">
        <v>180</v>
      </c>
      <c r="C328" s="4">
        <v>36</v>
      </c>
      <c r="D328" s="8">
        <v>2.1800000000000002</v>
      </c>
      <c r="E328" s="4">
        <v>10</v>
      </c>
      <c r="F328" s="8">
        <v>1.43</v>
      </c>
      <c r="G328" s="4">
        <v>26</v>
      </c>
      <c r="H328" s="8">
        <v>2.83</v>
      </c>
      <c r="I328" s="4">
        <v>0</v>
      </c>
    </row>
    <row r="329" spans="1:9" x14ac:dyDescent="0.2">
      <c r="A329" s="2">
        <v>7</v>
      </c>
      <c r="B329" s="1" t="s">
        <v>190</v>
      </c>
      <c r="C329" s="4">
        <v>34</v>
      </c>
      <c r="D329" s="8">
        <v>2.06</v>
      </c>
      <c r="E329" s="4">
        <v>31</v>
      </c>
      <c r="F329" s="8">
        <v>4.43</v>
      </c>
      <c r="G329" s="4">
        <v>3</v>
      </c>
      <c r="H329" s="8">
        <v>0.33</v>
      </c>
      <c r="I329" s="4">
        <v>0</v>
      </c>
    </row>
    <row r="330" spans="1:9" x14ac:dyDescent="0.2">
      <c r="A330" s="2">
        <v>8</v>
      </c>
      <c r="B330" s="1" t="s">
        <v>175</v>
      </c>
      <c r="C330" s="4">
        <v>33</v>
      </c>
      <c r="D330" s="8">
        <v>2</v>
      </c>
      <c r="E330" s="4">
        <v>10</v>
      </c>
      <c r="F330" s="8">
        <v>1.43</v>
      </c>
      <c r="G330" s="4">
        <v>23</v>
      </c>
      <c r="H330" s="8">
        <v>2.5099999999999998</v>
      </c>
      <c r="I330" s="4">
        <v>0</v>
      </c>
    </row>
    <row r="331" spans="1:9" x14ac:dyDescent="0.2">
      <c r="A331" s="2">
        <v>8</v>
      </c>
      <c r="B331" s="1" t="s">
        <v>176</v>
      </c>
      <c r="C331" s="4">
        <v>33</v>
      </c>
      <c r="D331" s="8">
        <v>2</v>
      </c>
      <c r="E331" s="4">
        <v>14</v>
      </c>
      <c r="F331" s="8">
        <v>2</v>
      </c>
      <c r="G331" s="4">
        <v>19</v>
      </c>
      <c r="H331" s="8">
        <v>2.0699999999999998</v>
      </c>
      <c r="I331" s="4">
        <v>0</v>
      </c>
    </row>
    <row r="332" spans="1:9" x14ac:dyDescent="0.2">
      <c r="A332" s="2">
        <v>10</v>
      </c>
      <c r="B332" s="1" t="s">
        <v>183</v>
      </c>
      <c r="C332" s="4">
        <v>30</v>
      </c>
      <c r="D332" s="8">
        <v>1.81</v>
      </c>
      <c r="E332" s="4">
        <v>9</v>
      </c>
      <c r="F332" s="8">
        <v>1.29</v>
      </c>
      <c r="G332" s="4">
        <v>19</v>
      </c>
      <c r="H332" s="8">
        <v>2.0699999999999998</v>
      </c>
      <c r="I332" s="4">
        <v>1</v>
      </c>
    </row>
    <row r="333" spans="1:9" x14ac:dyDescent="0.2">
      <c r="A333" s="2">
        <v>10</v>
      </c>
      <c r="B333" s="1" t="s">
        <v>217</v>
      </c>
      <c r="C333" s="4">
        <v>30</v>
      </c>
      <c r="D333" s="8">
        <v>1.81</v>
      </c>
      <c r="E333" s="4">
        <v>0</v>
      </c>
      <c r="F333" s="8">
        <v>0</v>
      </c>
      <c r="G333" s="4">
        <v>0</v>
      </c>
      <c r="H333" s="8">
        <v>0</v>
      </c>
      <c r="I333" s="4">
        <v>0</v>
      </c>
    </row>
    <row r="334" spans="1:9" x14ac:dyDescent="0.2">
      <c r="A334" s="2">
        <v>12</v>
      </c>
      <c r="B334" s="1" t="s">
        <v>207</v>
      </c>
      <c r="C334" s="4">
        <v>29</v>
      </c>
      <c r="D334" s="8">
        <v>1.75</v>
      </c>
      <c r="E334" s="4">
        <v>0</v>
      </c>
      <c r="F334" s="8">
        <v>0</v>
      </c>
      <c r="G334" s="4">
        <v>29</v>
      </c>
      <c r="H334" s="8">
        <v>3.16</v>
      </c>
      <c r="I334" s="4">
        <v>0</v>
      </c>
    </row>
    <row r="335" spans="1:9" x14ac:dyDescent="0.2">
      <c r="A335" s="2">
        <v>13</v>
      </c>
      <c r="B335" s="1" t="s">
        <v>177</v>
      </c>
      <c r="C335" s="4">
        <v>25</v>
      </c>
      <c r="D335" s="8">
        <v>1.51</v>
      </c>
      <c r="E335" s="4">
        <v>6</v>
      </c>
      <c r="F335" s="8">
        <v>0.86</v>
      </c>
      <c r="G335" s="4">
        <v>19</v>
      </c>
      <c r="H335" s="8">
        <v>2.0699999999999998</v>
      </c>
      <c r="I335" s="4">
        <v>0</v>
      </c>
    </row>
    <row r="336" spans="1:9" x14ac:dyDescent="0.2">
      <c r="A336" s="2">
        <v>13</v>
      </c>
      <c r="B336" s="1" t="s">
        <v>184</v>
      </c>
      <c r="C336" s="4">
        <v>25</v>
      </c>
      <c r="D336" s="8">
        <v>1.51</v>
      </c>
      <c r="E336" s="4">
        <v>9</v>
      </c>
      <c r="F336" s="8">
        <v>1.29</v>
      </c>
      <c r="G336" s="4">
        <v>16</v>
      </c>
      <c r="H336" s="8">
        <v>1.74</v>
      </c>
      <c r="I336" s="4">
        <v>0</v>
      </c>
    </row>
    <row r="337" spans="1:9" x14ac:dyDescent="0.2">
      <c r="A337" s="2">
        <v>13</v>
      </c>
      <c r="B337" s="1" t="s">
        <v>200</v>
      </c>
      <c r="C337" s="4">
        <v>25</v>
      </c>
      <c r="D337" s="8">
        <v>1.51</v>
      </c>
      <c r="E337" s="4">
        <v>14</v>
      </c>
      <c r="F337" s="8">
        <v>2</v>
      </c>
      <c r="G337" s="4">
        <v>11</v>
      </c>
      <c r="H337" s="8">
        <v>1.2</v>
      </c>
      <c r="I337" s="4">
        <v>0</v>
      </c>
    </row>
    <row r="338" spans="1:9" x14ac:dyDescent="0.2">
      <c r="A338" s="2">
        <v>16</v>
      </c>
      <c r="B338" s="1" t="s">
        <v>186</v>
      </c>
      <c r="C338" s="4">
        <v>24</v>
      </c>
      <c r="D338" s="8">
        <v>1.45</v>
      </c>
      <c r="E338" s="4">
        <v>19</v>
      </c>
      <c r="F338" s="8">
        <v>2.72</v>
      </c>
      <c r="G338" s="4">
        <v>5</v>
      </c>
      <c r="H338" s="8">
        <v>0.54</v>
      </c>
      <c r="I338" s="4">
        <v>0</v>
      </c>
    </row>
    <row r="339" spans="1:9" x14ac:dyDescent="0.2">
      <c r="A339" s="2">
        <v>17</v>
      </c>
      <c r="B339" s="1" t="s">
        <v>197</v>
      </c>
      <c r="C339" s="4">
        <v>23</v>
      </c>
      <c r="D339" s="8">
        <v>1.39</v>
      </c>
      <c r="E339" s="4">
        <v>14</v>
      </c>
      <c r="F339" s="8">
        <v>2</v>
      </c>
      <c r="G339" s="4">
        <v>9</v>
      </c>
      <c r="H339" s="8">
        <v>0.98</v>
      </c>
      <c r="I339" s="4">
        <v>0</v>
      </c>
    </row>
    <row r="340" spans="1:9" x14ac:dyDescent="0.2">
      <c r="A340" s="2">
        <v>17</v>
      </c>
      <c r="B340" s="1" t="s">
        <v>181</v>
      </c>
      <c r="C340" s="4">
        <v>23</v>
      </c>
      <c r="D340" s="8">
        <v>1.39</v>
      </c>
      <c r="E340" s="4">
        <v>14</v>
      </c>
      <c r="F340" s="8">
        <v>2</v>
      </c>
      <c r="G340" s="4">
        <v>9</v>
      </c>
      <c r="H340" s="8">
        <v>0.98</v>
      </c>
      <c r="I340" s="4">
        <v>0</v>
      </c>
    </row>
    <row r="341" spans="1:9" x14ac:dyDescent="0.2">
      <c r="A341" s="2">
        <v>19</v>
      </c>
      <c r="B341" s="1" t="s">
        <v>192</v>
      </c>
      <c r="C341" s="4">
        <v>22</v>
      </c>
      <c r="D341" s="8">
        <v>1.33</v>
      </c>
      <c r="E341" s="4">
        <v>14</v>
      </c>
      <c r="F341" s="8">
        <v>2</v>
      </c>
      <c r="G341" s="4">
        <v>8</v>
      </c>
      <c r="H341" s="8">
        <v>0.87</v>
      </c>
      <c r="I341" s="4">
        <v>0</v>
      </c>
    </row>
    <row r="342" spans="1:9" x14ac:dyDescent="0.2">
      <c r="A342" s="2">
        <v>20</v>
      </c>
      <c r="B342" s="1" t="s">
        <v>178</v>
      </c>
      <c r="C342" s="4">
        <v>21</v>
      </c>
      <c r="D342" s="8">
        <v>1.27</v>
      </c>
      <c r="E342" s="4">
        <v>4</v>
      </c>
      <c r="F342" s="8">
        <v>0.56999999999999995</v>
      </c>
      <c r="G342" s="4">
        <v>17</v>
      </c>
      <c r="H342" s="8">
        <v>1.85</v>
      </c>
      <c r="I342" s="4">
        <v>0</v>
      </c>
    </row>
    <row r="343" spans="1:9" x14ac:dyDescent="0.2">
      <c r="A343" s="2">
        <v>20</v>
      </c>
      <c r="B343" s="1" t="s">
        <v>194</v>
      </c>
      <c r="C343" s="4">
        <v>21</v>
      </c>
      <c r="D343" s="8">
        <v>1.27</v>
      </c>
      <c r="E343" s="4">
        <v>7</v>
      </c>
      <c r="F343" s="8">
        <v>1</v>
      </c>
      <c r="G343" s="4">
        <v>14</v>
      </c>
      <c r="H343" s="8">
        <v>1.53</v>
      </c>
      <c r="I343" s="4">
        <v>0</v>
      </c>
    </row>
    <row r="344" spans="1:9" x14ac:dyDescent="0.2">
      <c r="A344" s="2">
        <v>20</v>
      </c>
      <c r="B344" s="1" t="s">
        <v>182</v>
      </c>
      <c r="C344" s="4">
        <v>21</v>
      </c>
      <c r="D344" s="8">
        <v>1.27</v>
      </c>
      <c r="E344" s="4">
        <v>0</v>
      </c>
      <c r="F344" s="8">
        <v>0</v>
      </c>
      <c r="G344" s="4">
        <v>21</v>
      </c>
      <c r="H344" s="8">
        <v>2.29</v>
      </c>
      <c r="I344" s="4">
        <v>0</v>
      </c>
    </row>
    <row r="345" spans="1:9" x14ac:dyDescent="0.2">
      <c r="A345" s="2">
        <v>20</v>
      </c>
      <c r="B345" s="1" t="s">
        <v>220</v>
      </c>
      <c r="C345" s="4">
        <v>21</v>
      </c>
      <c r="D345" s="8">
        <v>1.27</v>
      </c>
      <c r="E345" s="4">
        <v>9</v>
      </c>
      <c r="F345" s="8">
        <v>1.29</v>
      </c>
      <c r="G345" s="4">
        <v>12</v>
      </c>
      <c r="H345" s="8">
        <v>1.31</v>
      </c>
      <c r="I345" s="4">
        <v>0</v>
      </c>
    </row>
    <row r="346" spans="1:9" x14ac:dyDescent="0.2">
      <c r="A346" s="1"/>
      <c r="C346" s="4"/>
      <c r="D346" s="8"/>
      <c r="E346" s="4"/>
      <c r="F346" s="8"/>
      <c r="G346" s="4"/>
      <c r="H346" s="8"/>
      <c r="I346" s="4"/>
    </row>
    <row r="347" spans="1:9" x14ac:dyDescent="0.2">
      <c r="A347" s="1" t="s">
        <v>15</v>
      </c>
      <c r="C347" s="4"/>
      <c r="D347" s="8"/>
      <c r="E347" s="4"/>
      <c r="F347" s="8"/>
      <c r="G347" s="4"/>
      <c r="H347" s="8"/>
      <c r="I347" s="4"/>
    </row>
    <row r="348" spans="1:9" x14ac:dyDescent="0.2">
      <c r="A348" s="2">
        <v>1</v>
      </c>
      <c r="B348" s="1" t="s">
        <v>191</v>
      </c>
      <c r="C348" s="4">
        <v>98</v>
      </c>
      <c r="D348" s="8">
        <v>5.67</v>
      </c>
      <c r="E348" s="4">
        <v>90</v>
      </c>
      <c r="F348" s="8">
        <v>10.07</v>
      </c>
      <c r="G348" s="4">
        <v>8</v>
      </c>
      <c r="H348" s="8">
        <v>1</v>
      </c>
      <c r="I348" s="4">
        <v>0</v>
      </c>
    </row>
    <row r="349" spans="1:9" x14ac:dyDescent="0.2">
      <c r="A349" s="2">
        <v>2</v>
      </c>
      <c r="B349" s="1" t="s">
        <v>183</v>
      </c>
      <c r="C349" s="4">
        <v>94</v>
      </c>
      <c r="D349" s="8">
        <v>5.44</v>
      </c>
      <c r="E349" s="4">
        <v>78</v>
      </c>
      <c r="F349" s="8">
        <v>8.7200000000000006</v>
      </c>
      <c r="G349" s="4">
        <v>16</v>
      </c>
      <c r="H349" s="8">
        <v>2.0099999999999998</v>
      </c>
      <c r="I349" s="4">
        <v>0</v>
      </c>
    </row>
    <row r="350" spans="1:9" x14ac:dyDescent="0.2">
      <c r="A350" s="2">
        <v>3</v>
      </c>
      <c r="B350" s="1" t="s">
        <v>221</v>
      </c>
      <c r="C350" s="4">
        <v>47</v>
      </c>
      <c r="D350" s="8">
        <v>2.72</v>
      </c>
      <c r="E350" s="4">
        <v>35</v>
      </c>
      <c r="F350" s="8">
        <v>3.91</v>
      </c>
      <c r="G350" s="4">
        <v>12</v>
      </c>
      <c r="H350" s="8">
        <v>1.51</v>
      </c>
      <c r="I350" s="4">
        <v>0</v>
      </c>
    </row>
    <row r="351" spans="1:9" x14ac:dyDescent="0.2">
      <c r="A351" s="2">
        <v>4</v>
      </c>
      <c r="B351" s="1" t="s">
        <v>190</v>
      </c>
      <c r="C351" s="4">
        <v>45</v>
      </c>
      <c r="D351" s="8">
        <v>2.6</v>
      </c>
      <c r="E351" s="4">
        <v>41</v>
      </c>
      <c r="F351" s="8">
        <v>4.59</v>
      </c>
      <c r="G351" s="4">
        <v>4</v>
      </c>
      <c r="H351" s="8">
        <v>0.5</v>
      </c>
      <c r="I351" s="4">
        <v>0</v>
      </c>
    </row>
    <row r="352" spans="1:9" x14ac:dyDescent="0.2">
      <c r="A352" s="2">
        <v>5</v>
      </c>
      <c r="B352" s="1" t="s">
        <v>187</v>
      </c>
      <c r="C352" s="4">
        <v>41</v>
      </c>
      <c r="D352" s="8">
        <v>2.37</v>
      </c>
      <c r="E352" s="4">
        <v>31</v>
      </c>
      <c r="F352" s="8">
        <v>3.47</v>
      </c>
      <c r="G352" s="4">
        <v>10</v>
      </c>
      <c r="H352" s="8">
        <v>1.25</v>
      </c>
      <c r="I352" s="4">
        <v>0</v>
      </c>
    </row>
    <row r="353" spans="1:9" x14ac:dyDescent="0.2">
      <c r="A353" s="2">
        <v>6</v>
      </c>
      <c r="B353" s="1" t="s">
        <v>193</v>
      </c>
      <c r="C353" s="4">
        <v>37</v>
      </c>
      <c r="D353" s="8">
        <v>2.14</v>
      </c>
      <c r="E353" s="4">
        <v>35</v>
      </c>
      <c r="F353" s="8">
        <v>3.91</v>
      </c>
      <c r="G353" s="4">
        <v>1</v>
      </c>
      <c r="H353" s="8">
        <v>0.13</v>
      </c>
      <c r="I353" s="4">
        <v>1</v>
      </c>
    </row>
    <row r="354" spans="1:9" x14ac:dyDescent="0.2">
      <c r="A354" s="2">
        <v>7</v>
      </c>
      <c r="B354" s="1" t="s">
        <v>181</v>
      </c>
      <c r="C354" s="4">
        <v>36</v>
      </c>
      <c r="D354" s="8">
        <v>2.08</v>
      </c>
      <c r="E354" s="4">
        <v>24</v>
      </c>
      <c r="F354" s="8">
        <v>2.68</v>
      </c>
      <c r="G354" s="4">
        <v>12</v>
      </c>
      <c r="H354" s="8">
        <v>1.51</v>
      </c>
      <c r="I354" s="4">
        <v>0</v>
      </c>
    </row>
    <row r="355" spans="1:9" x14ac:dyDescent="0.2">
      <c r="A355" s="2">
        <v>8</v>
      </c>
      <c r="B355" s="1" t="s">
        <v>174</v>
      </c>
      <c r="C355" s="4">
        <v>34</v>
      </c>
      <c r="D355" s="8">
        <v>1.97</v>
      </c>
      <c r="E355" s="4">
        <v>7</v>
      </c>
      <c r="F355" s="8">
        <v>0.78</v>
      </c>
      <c r="G355" s="4">
        <v>27</v>
      </c>
      <c r="H355" s="8">
        <v>3.39</v>
      </c>
      <c r="I355" s="4">
        <v>0</v>
      </c>
    </row>
    <row r="356" spans="1:9" x14ac:dyDescent="0.2">
      <c r="A356" s="2">
        <v>8</v>
      </c>
      <c r="B356" s="1" t="s">
        <v>192</v>
      </c>
      <c r="C356" s="4">
        <v>34</v>
      </c>
      <c r="D356" s="8">
        <v>1.97</v>
      </c>
      <c r="E356" s="4">
        <v>23</v>
      </c>
      <c r="F356" s="8">
        <v>2.57</v>
      </c>
      <c r="G356" s="4">
        <v>11</v>
      </c>
      <c r="H356" s="8">
        <v>1.38</v>
      </c>
      <c r="I356" s="4">
        <v>0</v>
      </c>
    </row>
    <row r="357" spans="1:9" x14ac:dyDescent="0.2">
      <c r="A357" s="2">
        <v>8</v>
      </c>
      <c r="B357" s="1" t="s">
        <v>200</v>
      </c>
      <c r="C357" s="4">
        <v>34</v>
      </c>
      <c r="D357" s="8">
        <v>1.97</v>
      </c>
      <c r="E357" s="4">
        <v>15</v>
      </c>
      <c r="F357" s="8">
        <v>1.68</v>
      </c>
      <c r="G357" s="4">
        <v>19</v>
      </c>
      <c r="H357" s="8">
        <v>2.38</v>
      </c>
      <c r="I357" s="4">
        <v>0</v>
      </c>
    </row>
    <row r="358" spans="1:9" x14ac:dyDescent="0.2">
      <c r="A358" s="2">
        <v>11</v>
      </c>
      <c r="B358" s="1" t="s">
        <v>180</v>
      </c>
      <c r="C358" s="4">
        <v>33</v>
      </c>
      <c r="D358" s="8">
        <v>1.91</v>
      </c>
      <c r="E358" s="4">
        <v>16</v>
      </c>
      <c r="F358" s="8">
        <v>1.79</v>
      </c>
      <c r="G358" s="4">
        <v>17</v>
      </c>
      <c r="H358" s="8">
        <v>2.13</v>
      </c>
      <c r="I358" s="4">
        <v>0</v>
      </c>
    </row>
    <row r="359" spans="1:9" x14ac:dyDescent="0.2">
      <c r="A359" s="2">
        <v>12</v>
      </c>
      <c r="B359" s="1" t="s">
        <v>223</v>
      </c>
      <c r="C359" s="4">
        <v>30</v>
      </c>
      <c r="D359" s="8">
        <v>1.74</v>
      </c>
      <c r="E359" s="4">
        <v>1</v>
      </c>
      <c r="F359" s="8">
        <v>0.11</v>
      </c>
      <c r="G359" s="4">
        <v>3</v>
      </c>
      <c r="H359" s="8">
        <v>0.38</v>
      </c>
      <c r="I359" s="4">
        <v>0</v>
      </c>
    </row>
    <row r="360" spans="1:9" x14ac:dyDescent="0.2">
      <c r="A360" s="2">
        <v>13</v>
      </c>
      <c r="B360" s="1" t="s">
        <v>222</v>
      </c>
      <c r="C360" s="4">
        <v>28</v>
      </c>
      <c r="D360" s="8">
        <v>1.62</v>
      </c>
      <c r="E360" s="4">
        <v>21</v>
      </c>
      <c r="F360" s="8">
        <v>2.35</v>
      </c>
      <c r="G360" s="4">
        <v>7</v>
      </c>
      <c r="H360" s="8">
        <v>0.88</v>
      </c>
      <c r="I360" s="4">
        <v>0</v>
      </c>
    </row>
    <row r="361" spans="1:9" x14ac:dyDescent="0.2">
      <c r="A361" s="2">
        <v>13</v>
      </c>
      <c r="B361" s="1" t="s">
        <v>189</v>
      </c>
      <c r="C361" s="4">
        <v>28</v>
      </c>
      <c r="D361" s="8">
        <v>1.62</v>
      </c>
      <c r="E361" s="4">
        <v>27</v>
      </c>
      <c r="F361" s="8">
        <v>3.02</v>
      </c>
      <c r="G361" s="4">
        <v>1</v>
      </c>
      <c r="H361" s="8">
        <v>0.13</v>
      </c>
      <c r="I361" s="4">
        <v>0</v>
      </c>
    </row>
    <row r="362" spans="1:9" x14ac:dyDescent="0.2">
      <c r="A362" s="2">
        <v>15</v>
      </c>
      <c r="B362" s="1" t="s">
        <v>175</v>
      </c>
      <c r="C362" s="4">
        <v>27</v>
      </c>
      <c r="D362" s="8">
        <v>1.56</v>
      </c>
      <c r="E362" s="4">
        <v>3</v>
      </c>
      <c r="F362" s="8">
        <v>0.34</v>
      </c>
      <c r="G362" s="4">
        <v>24</v>
      </c>
      <c r="H362" s="8">
        <v>3.01</v>
      </c>
      <c r="I362" s="4">
        <v>0</v>
      </c>
    </row>
    <row r="363" spans="1:9" x14ac:dyDescent="0.2">
      <c r="A363" s="2">
        <v>16</v>
      </c>
      <c r="B363" s="1" t="s">
        <v>177</v>
      </c>
      <c r="C363" s="4">
        <v>26</v>
      </c>
      <c r="D363" s="8">
        <v>1.5</v>
      </c>
      <c r="E363" s="4">
        <v>6</v>
      </c>
      <c r="F363" s="8">
        <v>0.67</v>
      </c>
      <c r="G363" s="4">
        <v>20</v>
      </c>
      <c r="H363" s="8">
        <v>2.5099999999999998</v>
      </c>
      <c r="I363" s="4">
        <v>0</v>
      </c>
    </row>
    <row r="364" spans="1:9" x14ac:dyDescent="0.2">
      <c r="A364" s="2">
        <v>17</v>
      </c>
      <c r="B364" s="1" t="s">
        <v>176</v>
      </c>
      <c r="C364" s="4">
        <v>23</v>
      </c>
      <c r="D364" s="8">
        <v>1.33</v>
      </c>
      <c r="E364" s="4">
        <v>13</v>
      </c>
      <c r="F364" s="8">
        <v>1.45</v>
      </c>
      <c r="G364" s="4">
        <v>10</v>
      </c>
      <c r="H364" s="8">
        <v>1.25</v>
      </c>
      <c r="I364" s="4">
        <v>0</v>
      </c>
    </row>
    <row r="365" spans="1:9" x14ac:dyDescent="0.2">
      <c r="A365" s="2">
        <v>17</v>
      </c>
      <c r="B365" s="1" t="s">
        <v>197</v>
      </c>
      <c r="C365" s="4">
        <v>23</v>
      </c>
      <c r="D365" s="8">
        <v>1.33</v>
      </c>
      <c r="E365" s="4">
        <v>16</v>
      </c>
      <c r="F365" s="8">
        <v>1.79</v>
      </c>
      <c r="G365" s="4">
        <v>6</v>
      </c>
      <c r="H365" s="8">
        <v>0.75</v>
      </c>
      <c r="I365" s="4">
        <v>1</v>
      </c>
    </row>
    <row r="366" spans="1:9" x14ac:dyDescent="0.2">
      <c r="A366" s="2">
        <v>17</v>
      </c>
      <c r="B366" s="1" t="s">
        <v>186</v>
      </c>
      <c r="C366" s="4">
        <v>23</v>
      </c>
      <c r="D366" s="8">
        <v>1.33</v>
      </c>
      <c r="E366" s="4">
        <v>17</v>
      </c>
      <c r="F366" s="8">
        <v>1.9</v>
      </c>
      <c r="G366" s="4">
        <v>6</v>
      </c>
      <c r="H366" s="8">
        <v>0.75</v>
      </c>
      <c r="I366" s="4">
        <v>0</v>
      </c>
    </row>
    <row r="367" spans="1:9" x14ac:dyDescent="0.2">
      <c r="A367" s="2">
        <v>20</v>
      </c>
      <c r="B367" s="1" t="s">
        <v>194</v>
      </c>
      <c r="C367" s="4">
        <v>22</v>
      </c>
      <c r="D367" s="8">
        <v>1.27</v>
      </c>
      <c r="E367" s="4">
        <v>7</v>
      </c>
      <c r="F367" s="8">
        <v>0.78</v>
      </c>
      <c r="G367" s="4">
        <v>15</v>
      </c>
      <c r="H367" s="8">
        <v>1.88</v>
      </c>
      <c r="I367" s="4">
        <v>0</v>
      </c>
    </row>
    <row r="368" spans="1:9" x14ac:dyDescent="0.2">
      <c r="A368" s="1"/>
      <c r="C368" s="4"/>
      <c r="D368" s="8"/>
      <c r="E368" s="4"/>
      <c r="F368" s="8"/>
      <c r="G368" s="4"/>
      <c r="H368" s="8"/>
      <c r="I368" s="4"/>
    </row>
    <row r="369" spans="1:9" x14ac:dyDescent="0.2">
      <c r="A369" s="1" t="s">
        <v>16</v>
      </c>
      <c r="C369" s="4"/>
      <c r="D369" s="8"/>
      <c r="E369" s="4"/>
      <c r="F369" s="8"/>
      <c r="G369" s="4"/>
      <c r="H369" s="8"/>
      <c r="I369" s="4"/>
    </row>
    <row r="370" spans="1:9" x14ac:dyDescent="0.2">
      <c r="A370" s="2">
        <v>1</v>
      </c>
      <c r="B370" s="1" t="s">
        <v>191</v>
      </c>
      <c r="C370" s="4">
        <v>179</v>
      </c>
      <c r="D370" s="8">
        <v>6.31</v>
      </c>
      <c r="E370" s="4">
        <v>168</v>
      </c>
      <c r="F370" s="8">
        <v>10.34</v>
      </c>
      <c r="G370" s="4">
        <v>11</v>
      </c>
      <c r="H370" s="8">
        <v>0.93</v>
      </c>
      <c r="I370" s="4">
        <v>0</v>
      </c>
    </row>
    <row r="371" spans="1:9" x14ac:dyDescent="0.2">
      <c r="A371" s="2">
        <v>2</v>
      </c>
      <c r="B371" s="1" t="s">
        <v>187</v>
      </c>
      <c r="C371" s="4">
        <v>96</v>
      </c>
      <c r="D371" s="8">
        <v>3.39</v>
      </c>
      <c r="E371" s="4">
        <v>82</v>
      </c>
      <c r="F371" s="8">
        <v>5.05</v>
      </c>
      <c r="G371" s="4">
        <v>14</v>
      </c>
      <c r="H371" s="8">
        <v>1.18</v>
      </c>
      <c r="I371" s="4">
        <v>0</v>
      </c>
    </row>
    <row r="372" spans="1:9" x14ac:dyDescent="0.2">
      <c r="A372" s="2">
        <v>3</v>
      </c>
      <c r="B372" s="1" t="s">
        <v>183</v>
      </c>
      <c r="C372" s="4">
        <v>87</v>
      </c>
      <c r="D372" s="8">
        <v>3.07</v>
      </c>
      <c r="E372" s="4">
        <v>44</v>
      </c>
      <c r="F372" s="8">
        <v>2.71</v>
      </c>
      <c r="G372" s="4">
        <v>43</v>
      </c>
      <c r="H372" s="8">
        <v>3.63</v>
      </c>
      <c r="I372" s="4">
        <v>0</v>
      </c>
    </row>
    <row r="373" spans="1:9" x14ac:dyDescent="0.2">
      <c r="A373" s="2">
        <v>3</v>
      </c>
      <c r="B373" s="1" t="s">
        <v>193</v>
      </c>
      <c r="C373" s="4">
        <v>87</v>
      </c>
      <c r="D373" s="8">
        <v>3.07</v>
      </c>
      <c r="E373" s="4">
        <v>81</v>
      </c>
      <c r="F373" s="8">
        <v>4.99</v>
      </c>
      <c r="G373" s="4">
        <v>6</v>
      </c>
      <c r="H373" s="8">
        <v>0.51</v>
      </c>
      <c r="I373" s="4">
        <v>0</v>
      </c>
    </row>
    <row r="374" spans="1:9" x14ac:dyDescent="0.2">
      <c r="A374" s="2">
        <v>5</v>
      </c>
      <c r="B374" s="1" t="s">
        <v>189</v>
      </c>
      <c r="C374" s="4">
        <v>84</v>
      </c>
      <c r="D374" s="8">
        <v>2.96</v>
      </c>
      <c r="E374" s="4">
        <v>84</v>
      </c>
      <c r="F374" s="8">
        <v>5.17</v>
      </c>
      <c r="G374" s="4">
        <v>0</v>
      </c>
      <c r="H374" s="8">
        <v>0</v>
      </c>
      <c r="I374" s="4">
        <v>0</v>
      </c>
    </row>
    <row r="375" spans="1:9" x14ac:dyDescent="0.2">
      <c r="A375" s="2">
        <v>6</v>
      </c>
      <c r="B375" s="1" t="s">
        <v>175</v>
      </c>
      <c r="C375" s="4">
        <v>71</v>
      </c>
      <c r="D375" s="8">
        <v>2.5</v>
      </c>
      <c r="E375" s="4">
        <v>20</v>
      </c>
      <c r="F375" s="8">
        <v>1.23</v>
      </c>
      <c r="G375" s="4">
        <v>51</v>
      </c>
      <c r="H375" s="8">
        <v>4.3099999999999996</v>
      </c>
      <c r="I375" s="4">
        <v>0</v>
      </c>
    </row>
    <row r="376" spans="1:9" x14ac:dyDescent="0.2">
      <c r="A376" s="2">
        <v>6</v>
      </c>
      <c r="B376" s="1" t="s">
        <v>180</v>
      </c>
      <c r="C376" s="4">
        <v>71</v>
      </c>
      <c r="D376" s="8">
        <v>2.5</v>
      </c>
      <c r="E376" s="4">
        <v>36</v>
      </c>
      <c r="F376" s="8">
        <v>2.2200000000000002</v>
      </c>
      <c r="G376" s="4">
        <v>35</v>
      </c>
      <c r="H376" s="8">
        <v>2.96</v>
      </c>
      <c r="I376" s="4">
        <v>0</v>
      </c>
    </row>
    <row r="377" spans="1:9" x14ac:dyDescent="0.2">
      <c r="A377" s="2">
        <v>8</v>
      </c>
      <c r="B377" s="1" t="s">
        <v>174</v>
      </c>
      <c r="C377" s="4">
        <v>66</v>
      </c>
      <c r="D377" s="8">
        <v>2.33</v>
      </c>
      <c r="E377" s="4">
        <v>12</v>
      </c>
      <c r="F377" s="8">
        <v>0.74</v>
      </c>
      <c r="G377" s="4">
        <v>54</v>
      </c>
      <c r="H377" s="8">
        <v>4.5599999999999996</v>
      </c>
      <c r="I377" s="4">
        <v>0</v>
      </c>
    </row>
    <row r="378" spans="1:9" x14ac:dyDescent="0.2">
      <c r="A378" s="2">
        <v>9</v>
      </c>
      <c r="B378" s="1" t="s">
        <v>190</v>
      </c>
      <c r="C378" s="4">
        <v>65</v>
      </c>
      <c r="D378" s="8">
        <v>2.29</v>
      </c>
      <c r="E378" s="4">
        <v>63</v>
      </c>
      <c r="F378" s="8">
        <v>3.88</v>
      </c>
      <c r="G378" s="4">
        <v>2</v>
      </c>
      <c r="H378" s="8">
        <v>0.17</v>
      </c>
      <c r="I378" s="4">
        <v>0</v>
      </c>
    </row>
    <row r="379" spans="1:9" x14ac:dyDescent="0.2">
      <c r="A379" s="2">
        <v>10</v>
      </c>
      <c r="B379" s="1" t="s">
        <v>188</v>
      </c>
      <c r="C379" s="4">
        <v>60</v>
      </c>
      <c r="D379" s="8">
        <v>2.12</v>
      </c>
      <c r="E379" s="4">
        <v>59</v>
      </c>
      <c r="F379" s="8">
        <v>3.63</v>
      </c>
      <c r="G379" s="4">
        <v>1</v>
      </c>
      <c r="H379" s="8">
        <v>0.08</v>
      </c>
      <c r="I379" s="4">
        <v>0</v>
      </c>
    </row>
    <row r="380" spans="1:9" x14ac:dyDescent="0.2">
      <c r="A380" s="2">
        <v>11</v>
      </c>
      <c r="B380" s="1" t="s">
        <v>176</v>
      </c>
      <c r="C380" s="4">
        <v>54</v>
      </c>
      <c r="D380" s="8">
        <v>1.9</v>
      </c>
      <c r="E380" s="4">
        <v>24</v>
      </c>
      <c r="F380" s="8">
        <v>1.48</v>
      </c>
      <c r="G380" s="4">
        <v>30</v>
      </c>
      <c r="H380" s="8">
        <v>2.5299999999999998</v>
      </c>
      <c r="I380" s="4">
        <v>0</v>
      </c>
    </row>
    <row r="381" spans="1:9" x14ac:dyDescent="0.2">
      <c r="A381" s="2">
        <v>11</v>
      </c>
      <c r="B381" s="1" t="s">
        <v>200</v>
      </c>
      <c r="C381" s="4">
        <v>54</v>
      </c>
      <c r="D381" s="8">
        <v>1.9</v>
      </c>
      <c r="E381" s="4">
        <v>46</v>
      </c>
      <c r="F381" s="8">
        <v>2.83</v>
      </c>
      <c r="G381" s="4">
        <v>8</v>
      </c>
      <c r="H381" s="8">
        <v>0.68</v>
      </c>
      <c r="I381" s="4">
        <v>0</v>
      </c>
    </row>
    <row r="382" spans="1:9" x14ac:dyDescent="0.2">
      <c r="A382" s="2">
        <v>13</v>
      </c>
      <c r="B382" s="1" t="s">
        <v>184</v>
      </c>
      <c r="C382" s="4">
        <v>50</v>
      </c>
      <c r="D382" s="8">
        <v>1.76</v>
      </c>
      <c r="E382" s="4">
        <v>20</v>
      </c>
      <c r="F382" s="8">
        <v>1.23</v>
      </c>
      <c r="G382" s="4">
        <v>29</v>
      </c>
      <c r="H382" s="8">
        <v>2.4500000000000002</v>
      </c>
      <c r="I382" s="4">
        <v>0</v>
      </c>
    </row>
    <row r="383" spans="1:9" x14ac:dyDescent="0.2">
      <c r="A383" s="2">
        <v>14</v>
      </c>
      <c r="B383" s="1" t="s">
        <v>181</v>
      </c>
      <c r="C383" s="4">
        <v>48</v>
      </c>
      <c r="D383" s="8">
        <v>1.69</v>
      </c>
      <c r="E383" s="4">
        <v>32</v>
      </c>
      <c r="F383" s="8">
        <v>1.97</v>
      </c>
      <c r="G383" s="4">
        <v>16</v>
      </c>
      <c r="H383" s="8">
        <v>1.35</v>
      </c>
      <c r="I383" s="4">
        <v>0</v>
      </c>
    </row>
    <row r="384" spans="1:9" x14ac:dyDescent="0.2">
      <c r="A384" s="2">
        <v>15</v>
      </c>
      <c r="B384" s="1" t="s">
        <v>194</v>
      </c>
      <c r="C384" s="4">
        <v>41</v>
      </c>
      <c r="D384" s="8">
        <v>1.45</v>
      </c>
      <c r="E384" s="4">
        <v>16</v>
      </c>
      <c r="F384" s="8">
        <v>0.99</v>
      </c>
      <c r="G384" s="4">
        <v>25</v>
      </c>
      <c r="H384" s="8">
        <v>2.11</v>
      </c>
      <c r="I384" s="4">
        <v>0</v>
      </c>
    </row>
    <row r="385" spans="1:9" x14ac:dyDescent="0.2">
      <c r="A385" s="2">
        <v>16</v>
      </c>
      <c r="B385" s="1" t="s">
        <v>186</v>
      </c>
      <c r="C385" s="4">
        <v>40</v>
      </c>
      <c r="D385" s="8">
        <v>1.41</v>
      </c>
      <c r="E385" s="4">
        <v>32</v>
      </c>
      <c r="F385" s="8">
        <v>1.97</v>
      </c>
      <c r="G385" s="4">
        <v>8</v>
      </c>
      <c r="H385" s="8">
        <v>0.68</v>
      </c>
      <c r="I385" s="4">
        <v>0</v>
      </c>
    </row>
    <row r="386" spans="1:9" x14ac:dyDescent="0.2">
      <c r="A386" s="2">
        <v>16</v>
      </c>
      <c r="B386" s="1" t="s">
        <v>192</v>
      </c>
      <c r="C386" s="4">
        <v>40</v>
      </c>
      <c r="D386" s="8">
        <v>1.41</v>
      </c>
      <c r="E386" s="4">
        <v>27</v>
      </c>
      <c r="F386" s="8">
        <v>1.66</v>
      </c>
      <c r="G386" s="4">
        <v>13</v>
      </c>
      <c r="H386" s="8">
        <v>1.1000000000000001</v>
      </c>
      <c r="I386" s="4">
        <v>0</v>
      </c>
    </row>
    <row r="387" spans="1:9" x14ac:dyDescent="0.2">
      <c r="A387" s="2">
        <v>18</v>
      </c>
      <c r="B387" s="1" t="s">
        <v>214</v>
      </c>
      <c r="C387" s="4">
        <v>38</v>
      </c>
      <c r="D387" s="8">
        <v>1.34</v>
      </c>
      <c r="E387" s="4">
        <v>25</v>
      </c>
      <c r="F387" s="8">
        <v>1.54</v>
      </c>
      <c r="G387" s="4">
        <v>13</v>
      </c>
      <c r="H387" s="8">
        <v>1.1000000000000001</v>
      </c>
      <c r="I387" s="4">
        <v>0</v>
      </c>
    </row>
    <row r="388" spans="1:9" x14ac:dyDescent="0.2">
      <c r="A388" s="2">
        <v>19</v>
      </c>
      <c r="B388" s="1" t="s">
        <v>196</v>
      </c>
      <c r="C388" s="4">
        <v>37</v>
      </c>
      <c r="D388" s="8">
        <v>1.3</v>
      </c>
      <c r="E388" s="4">
        <v>18</v>
      </c>
      <c r="F388" s="8">
        <v>1.1100000000000001</v>
      </c>
      <c r="G388" s="4">
        <v>19</v>
      </c>
      <c r="H388" s="8">
        <v>1.6</v>
      </c>
      <c r="I388" s="4">
        <v>0</v>
      </c>
    </row>
    <row r="389" spans="1:9" x14ac:dyDescent="0.2">
      <c r="A389" s="2">
        <v>20</v>
      </c>
      <c r="B389" s="1" t="s">
        <v>179</v>
      </c>
      <c r="C389" s="4">
        <v>36</v>
      </c>
      <c r="D389" s="8">
        <v>1.27</v>
      </c>
      <c r="E389" s="4">
        <v>25</v>
      </c>
      <c r="F389" s="8">
        <v>1.54</v>
      </c>
      <c r="G389" s="4">
        <v>11</v>
      </c>
      <c r="H389" s="8">
        <v>0.93</v>
      </c>
      <c r="I389" s="4">
        <v>0</v>
      </c>
    </row>
    <row r="390" spans="1:9" x14ac:dyDescent="0.2">
      <c r="A390" s="1"/>
      <c r="C390" s="4"/>
      <c r="D390" s="8"/>
      <c r="E390" s="4"/>
      <c r="F390" s="8"/>
      <c r="G390" s="4"/>
      <c r="H390" s="8"/>
      <c r="I390" s="4"/>
    </row>
    <row r="391" spans="1:9" x14ac:dyDescent="0.2">
      <c r="A391" s="1" t="s">
        <v>17</v>
      </c>
      <c r="C391" s="4"/>
      <c r="D391" s="8"/>
      <c r="E391" s="4"/>
      <c r="F391" s="8"/>
      <c r="G391" s="4"/>
      <c r="H391" s="8"/>
      <c r="I391" s="4"/>
    </row>
    <row r="392" spans="1:9" x14ac:dyDescent="0.2">
      <c r="A392" s="2">
        <v>1</v>
      </c>
      <c r="B392" s="1" t="s">
        <v>183</v>
      </c>
      <c r="C392" s="4">
        <v>137</v>
      </c>
      <c r="D392" s="8">
        <v>8.3699999999999992</v>
      </c>
      <c r="E392" s="4">
        <v>127</v>
      </c>
      <c r="F392" s="8">
        <v>14.03</v>
      </c>
      <c r="G392" s="4">
        <v>10</v>
      </c>
      <c r="H392" s="8">
        <v>1.42</v>
      </c>
      <c r="I392" s="4">
        <v>0</v>
      </c>
    </row>
    <row r="393" spans="1:9" x14ac:dyDescent="0.2">
      <c r="A393" s="2">
        <v>2</v>
      </c>
      <c r="B393" s="1" t="s">
        <v>191</v>
      </c>
      <c r="C393" s="4">
        <v>92</v>
      </c>
      <c r="D393" s="8">
        <v>5.62</v>
      </c>
      <c r="E393" s="4">
        <v>86</v>
      </c>
      <c r="F393" s="8">
        <v>9.5</v>
      </c>
      <c r="G393" s="4">
        <v>6</v>
      </c>
      <c r="H393" s="8">
        <v>0.85</v>
      </c>
      <c r="I393" s="4">
        <v>0</v>
      </c>
    </row>
    <row r="394" spans="1:9" x14ac:dyDescent="0.2">
      <c r="A394" s="2">
        <v>3</v>
      </c>
      <c r="B394" s="1" t="s">
        <v>190</v>
      </c>
      <c r="C394" s="4">
        <v>50</v>
      </c>
      <c r="D394" s="8">
        <v>3.05</v>
      </c>
      <c r="E394" s="4">
        <v>48</v>
      </c>
      <c r="F394" s="8">
        <v>5.3</v>
      </c>
      <c r="G394" s="4">
        <v>2</v>
      </c>
      <c r="H394" s="8">
        <v>0.28000000000000003</v>
      </c>
      <c r="I394" s="4">
        <v>0</v>
      </c>
    </row>
    <row r="395" spans="1:9" x14ac:dyDescent="0.2">
      <c r="A395" s="2">
        <v>4</v>
      </c>
      <c r="B395" s="1" t="s">
        <v>174</v>
      </c>
      <c r="C395" s="4">
        <v>48</v>
      </c>
      <c r="D395" s="8">
        <v>2.93</v>
      </c>
      <c r="E395" s="4">
        <v>12</v>
      </c>
      <c r="F395" s="8">
        <v>1.33</v>
      </c>
      <c r="G395" s="4">
        <v>36</v>
      </c>
      <c r="H395" s="8">
        <v>5.0999999999999996</v>
      </c>
      <c r="I395" s="4">
        <v>0</v>
      </c>
    </row>
    <row r="396" spans="1:9" x14ac:dyDescent="0.2">
      <c r="A396" s="2">
        <v>5</v>
      </c>
      <c r="B396" s="1" t="s">
        <v>187</v>
      </c>
      <c r="C396" s="4">
        <v>41</v>
      </c>
      <c r="D396" s="8">
        <v>2.5</v>
      </c>
      <c r="E396" s="4">
        <v>33</v>
      </c>
      <c r="F396" s="8">
        <v>3.65</v>
      </c>
      <c r="G396" s="4">
        <v>8</v>
      </c>
      <c r="H396" s="8">
        <v>1.1299999999999999</v>
      </c>
      <c r="I396" s="4">
        <v>0</v>
      </c>
    </row>
    <row r="397" spans="1:9" x14ac:dyDescent="0.2">
      <c r="A397" s="2">
        <v>6</v>
      </c>
      <c r="B397" s="1" t="s">
        <v>193</v>
      </c>
      <c r="C397" s="4">
        <v>37</v>
      </c>
      <c r="D397" s="8">
        <v>2.2599999999999998</v>
      </c>
      <c r="E397" s="4">
        <v>37</v>
      </c>
      <c r="F397" s="8">
        <v>4.09</v>
      </c>
      <c r="G397" s="4">
        <v>0</v>
      </c>
      <c r="H397" s="8">
        <v>0</v>
      </c>
      <c r="I397" s="4">
        <v>0</v>
      </c>
    </row>
    <row r="398" spans="1:9" x14ac:dyDescent="0.2">
      <c r="A398" s="2">
        <v>7</v>
      </c>
      <c r="B398" s="1" t="s">
        <v>188</v>
      </c>
      <c r="C398" s="4">
        <v>35</v>
      </c>
      <c r="D398" s="8">
        <v>2.14</v>
      </c>
      <c r="E398" s="4">
        <v>33</v>
      </c>
      <c r="F398" s="8">
        <v>3.65</v>
      </c>
      <c r="G398" s="4">
        <v>2</v>
      </c>
      <c r="H398" s="8">
        <v>0.28000000000000003</v>
      </c>
      <c r="I398" s="4">
        <v>0</v>
      </c>
    </row>
    <row r="399" spans="1:9" x14ac:dyDescent="0.2">
      <c r="A399" s="2">
        <v>8</v>
      </c>
      <c r="B399" s="1" t="s">
        <v>189</v>
      </c>
      <c r="C399" s="4">
        <v>32</v>
      </c>
      <c r="D399" s="8">
        <v>1.95</v>
      </c>
      <c r="E399" s="4">
        <v>30</v>
      </c>
      <c r="F399" s="8">
        <v>3.31</v>
      </c>
      <c r="G399" s="4">
        <v>2</v>
      </c>
      <c r="H399" s="8">
        <v>0.28000000000000003</v>
      </c>
      <c r="I399" s="4">
        <v>0</v>
      </c>
    </row>
    <row r="400" spans="1:9" x14ac:dyDescent="0.2">
      <c r="A400" s="2">
        <v>8</v>
      </c>
      <c r="B400" s="1" t="s">
        <v>192</v>
      </c>
      <c r="C400" s="4">
        <v>32</v>
      </c>
      <c r="D400" s="8">
        <v>1.95</v>
      </c>
      <c r="E400" s="4">
        <v>26</v>
      </c>
      <c r="F400" s="8">
        <v>2.87</v>
      </c>
      <c r="G400" s="4">
        <v>6</v>
      </c>
      <c r="H400" s="8">
        <v>0.85</v>
      </c>
      <c r="I400" s="4">
        <v>0</v>
      </c>
    </row>
    <row r="401" spans="1:9" x14ac:dyDescent="0.2">
      <c r="A401" s="2">
        <v>10</v>
      </c>
      <c r="B401" s="1" t="s">
        <v>178</v>
      </c>
      <c r="C401" s="4">
        <v>26</v>
      </c>
      <c r="D401" s="8">
        <v>1.59</v>
      </c>
      <c r="E401" s="4">
        <v>8</v>
      </c>
      <c r="F401" s="8">
        <v>0.88</v>
      </c>
      <c r="G401" s="4">
        <v>18</v>
      </c>
      <c r="H401" s="8">
        <v>2.5499999999999998</v>
      </c>
      <c r="I401" s="4">
        <v>0</v>
      </c>
    </row>
    <row r="402" spans="1:9" x14ac:dyDescent="0.2">
      <c r="A402" s="2">
        <v>10</v>
      </c>
      <c r="B402" s="1" t="s">
        <v>194</v>
      </c>
      <c r="C402" s="4">
        <v>26</v>
      </c>
      <c r="D402" s="8">
        <v>1.59</v>
      </c>
      <c r="E402" s="4">
        <v>10</v>
      </c>
      <c r="F402" s="8">
        <v>1.1000000000000001</v>
      </c>
      <c r="G402" s="4">
        <v>16</v>
      </c>
      <c r="H402" s="8">
        <v>2.27</v>
      </c>
      <c r="I402" s="4">
        <v>0</v>
      </c>
    </row>
    <row r="403" spans="1:9" x14ac:dyDescent="0.2">
      <c r="A403" s="2">
        <v>10</v>
      </c>
      <c r="B403" s="1" t="s">
        <v>181</v>
      </c>
      <c r="C403" s="4">
        <v>26</v>
      </c>
      <c r="D403" s="8">
        <v>1.59</v>
      </c>
      <c r="E403" s="4">
        <v>17</v>
      </c>
      <c r="F403" s="8">
        <v>1.88</v>
      </c>
      <c r="G403" s="4">
        <v>9</v>
      </c>
      <c r="H403" s="8">
        <v>1.27</v>
      </c>
      <c r="I403" s="4">
        <v>0</v>
      </c>
    </row>
    <row r="404" spans="1:9" x14ac:dyDescent="0.2">
      <c r="A404" s="2">
        <v>13</v>
      </c>
      <c r="B404" s="1" t="s">
        <v>180</v>
      </c>
      <c r="C404" s="4">
        <v>24</v>
      </c>
      <c r="D404" s="8">
        <v>1.47</v>
      </c>
      <c r="E404" s="4">
        <v>16</v>
      </c>
      <c r="F404" s="8">
        <v>1.77</v>
      </c>
      <c r="G404" s="4">
        <v>8</v>
      </c>
      <c r="H404" s="8">
        <v>1.1299999999999999</v>
      </c>
      <c r="I404" s="4">
        <v>0</v>
      </c>
    </row>
    <row r="405" spans="1:9" x14ac:dyDescent="0.2">
      <c r="A405" s="2">
        <v>14</v>
      </c>
      <c r="B405" s="1" t="s">
        <v>186</v>
      </c>
      <c r="C405" s="4">
        <v>22</v>
      </c>
      <c r="D405" s="8">
        <v>1.34</v>
      </c>
      <c r="E405" s="4">
        <v>15</v>
      </c>
      <c r="F405" s="8">
        <v>1.66</v>
      </c>
      <c r="G405" s="4">
        <v>7</v>
      </c>
      <c r="H405" s="8">
        <v>0.99</v>
      </c>
      <c r="I405" s="4">
        <v>0</v>
      </c>
    </row>
    <row r="406" spans="1:9" x14ac:dyDescent="0.2">
      <c r="A406" s="2">
        <v>15</v>
      </c>
      <c r="B406" s="1" t="s">
        <v>175</v>
      </c>
      <c r="C406" s="4">
        <v>21</v>
      </c>
      <c r="D406" s="8">
        <v>1.28</v>
      </c>
      <c r="E406" s="4">
        <v>4</v>
      </c>
      <c r="F406" s="8">
        <v>0.44</v>
      </c>
      <c r="G406" s="4">
        <v>17</v>
      </c>
      <c r="H406" s="8">
        <v>2.41</v>
      </c>
      <c r="I406" s="4">
        <v>0</v>
      </c>
    </row>
    <row r="407" spans="1:9" x14ac:dyDescent="0.2">
      <c r="A407" s="2">
        <v>15</v>
      </c>
      <c r="B407" s="1" t="s">
        <v>184</v>
      </c>
      <c r="C407" s="4">
        <v>21</v>
      </c>
      <c r="D407" s="8">
        <v>1.28</v>
      </c>
      <c r="E407" s="4">
        <v>11</v>
      </c>
      <c r="F407" s="8">
        <v>1.22</v>
      </c>
      <c r="G407" s="4">
        <v>10</v>
      </c>
      <c r="H407" s="8">
        <v>1.42</v>
      </c>
      <c r="I407" s="4">
        <v>0</v>
      </c>
    </row>
    <row r="408" spans="1:9" x14ac:dyDescent="0.2">
      <c r="A408" s="2">
        <v>15</v>
      </c>
      <c r="B408" s="1" t="s">
        <v>200</v>
      </c>
      <c r="C408" s="4">
        <v>21</v>
      </c>
      <c r="D408" s="8">
        <v>1.28</v>
      </c>
      <c r="E408" s="4">
        <v>16</v>
      </c>
      <c r="F408" s="8">
        <v>1.77</v>
      </c>
      <c r="G408" s="4">
        <v>5</v>
      </c>
      <c r="H408" s="8">
        <v>0.71</v>
      </c>
      <c r="I408" s="4">
        <v>0</v>
      </c>
    </row>
    <row r="409" spans="1:9" x14ac:dyDescent="0.2">
      <c r="A409" s="2">
        <v>18</v>
      </c>
      <c r="B409" s="1" t="s">
        <v>204</v>
      </c>
      <c r="C409" s="4">
        <v>20</v>
      </c>
      <c r="D409" s="8">
        <v>1.22</v>
      </c>
      <c r="E409" s="4">
        <v>9</v>
      </c>
      <c r="F409" s="8">
        <v>0.99</v>
      </c>
      <c r="G409" s="4">
        <v>11</v>
      </c>
      <c r="H409" s="8">
        <v>1.56</v>
      </c>
      <c r="I409" s="4">
        <v>0</v>
      </c>
    </row>
    <row r="410" spans="1:9" x14ac:dyDescent="0.2">
      <c r="A410" s="2">
        <v>19</v>
      </c>
      <c r="B410" s="1" t="s">
        <v>177</v>
      </c>
      <c r="C410" s="4">
        <v>18</v>
      </c>
      <c r="D410" s="8">
        <v>1.1000000000000001</v>
      </c>
      <c r="E410" s="4">
        <v>6</v>
      </c>
      <c r="F410" s="8">
        <v>0.66</v>
      </c>
      <c r="G410" s="4">
        <v>12</v>
      </c>
      <c r="H410" s="8">
        <v>1.7</v>
      </c>
      <c r="I410" s="4">
        <v>0</v>
      </c>
    </row>
    <row r="411" spans="1:9" x14ac:dyDescent="0.2">
      <c r="A411" s="2">
        <v>19</v>
      </c>
      <c r="B411" s="1" t="s">
        <v>179</v>
      </c>
      <c r="C411" s="4">
        <v>18</v>
      </c>
      <c r="D411" s="8">
        <v>1.1000000000000001</v>
      </c>
      <c r="E411" s="4">
        <v>11</v>
      </c>
      <c r="F411" s="8">
        <v>1.22</v>
      </c>
      <c r="G411" s="4">
        <v>7</v>
      </c>
      <c r="H411" s="8">
        <v>0.99</v>
      </c>
      <c r="I411" s="4">
        <v>0</v>
      </c>
    </row>
    <row r="412" spans="1:9" x14ac:dyDescent="0.2">
      <c r="A412" s="2">
        <v>19</v>
      </c>
      <c r="B412" s="1" t="s">
        <v>198</v>
      </c>
      <c r="C412" s="4">
        <v>18</v>
      </c>
      <c r="D412" s="8">
        <v>1.1000000000000001</v>
      </c>
      <c r="E412" s="4">
        <v>17</v>
      </c>
      <c r="F412" s="8">
        <v>1.88</v>
      </c>
      <c r="G412" s="4">
        <v>1</v>
      </c>
      <c r="H412" s="8">
        <v>0.14000000000000001</v>
      </c>
      <c r="I412" s="4">
        <v>0</v>
      </c>
    </row>
    <row r="413" spans="1:9" x14ac:dyDescent="0.2">
      <c r="A413" s="2">
        <v>19</v>
      </c>
      <c r="B413" s="1" t="s">
        <v>199</v>
      </c>
      <c r="C413" s="4">
        <v>18</v>
      </c>
      <c r="D413" s="8">
        <v>1.1000000000000001</v>
      </c>
      <c r="E413" s="4">
        <v>14</v>
      </c>
      <c r="F413" s="8">
        <v>1.55</v>
      </c>
      <c r="G413" s="4">
        <v>4</v>
      </c>
      <c r="H413" s="8">
        <v>0.56999999999999995</v>
      </c>
      <c r="I413" s="4">
        <v>0</v>
      </c>
    </row>
    <row r="414" spans="1:9" x14ac:dyDescent="0.2">
      <c r="A414" s="1"/>
      <c r="C414" s="4"/>
      <c r="D414" s="8"/>
      <c r="E414" s="4"/>
      <c r="F414" s="8"/>
      <c r="G414" s="4"/>
      <c r="H414" s="8"/>
      <c r="I414" s="4"/>
    </row>
    <row r="415" spans="1:9" x14ac:dyDescent="0.2">
      <c r="A415" s="1" t="s">
        <v>18</v>
      </c>
      <c r="C415" s="4"/>
      <c r="D415" s="8"/>
      <c r="E415" s="4"/>
      <c r="F415" s="8"/>
      <c r="G415" s="4"/>
      <c r="H415" s="8"/>
      <c r="I415" s="4"/>
    </row>
    <row r="416" spans="1:9" x14ac:dyDescent="0.2">
      <c r="A416" s="2">
        <v>1</v>
      </c>
      <c r="B416" s="1" t="s">
        <v>174</v>
      </c>
      <c r="C416" s="4">
        <v>41</v>
      </c>
      <c r="D416" s="8">
        <v>5.18</v>
      </c>
      <c r="E416" s="4">
        <v>14</v>
      </c>
      <c r="F416" s="8">
        <v>3.23</v>
      </c>
      <c r="G416" s="4">
        <v>27</v>
      </c>
      <c r="H416" s="8">
        <v>8.18</v>
      </c>
      <c r="I416" s="4">
        <v>0</v>
      </c>
    </row>
    <row r="417" spans="1:9" x14ac:dyDescent="0.2">
      <c r="A417" s="2">
        <v>2</v>
      </c>
      <c r="B417" s="1" t="s">
        <v>191</v>
      </c>
      <c r="C417" s="4">
        <v>38</v>
      </c>
      <c r="D417" s="8">
        <v>4.8</v>
      </c>
      <c r="E417" s="4">
        <v>37</v>
      </c>
      <c r="F417" s="8">
        <v>8.5299999999999994</v>
      </c>
      <c r="G417" s="4">
        <v>1</v>
      </c>
      <c r="H417" s="8">
        <v>0.3</v>
      </c>
      <c r="I417" s="4">
        <v>0</v>
      </c>
    </row>
    <row r="418" spans="1:9" x14ac:dyDescent="0.2">
      <c r="A418" s="2">
        <v>3</v>
      </c>
      <c r="B418" s="1" t="s">
        <v>180</v>
      </c>
      <c r="C418" s="4">
        <v>29</v>
      </c>
      <c r="D418" s="8">
        <v>3.67</v>
      </c>
      <c r="E418" s="4">
        <v>16</v>
      </c>
      <c r="F418" s="8">
        <v>3.69</v>
      </c>
      <c r="G418" s="4">
        <v>13</v>
      </c>
      <c r="H418" s="8">
        <v>3.94</v>
      </c>
      <c r="I418" s="4">
        <v>0</v>
      </c>
    </row>
    <row r="419" spans="1:9" x14ac:dyDescent="0.2">
      <c r="A419" s="2">
        <v>4</v>
      </c>
      <c r="B419" s="1" t="s">
        <v>190</v>
      </c>
      <c r="C419" s="4">
        <v>23</v>
      </c>
      <c r="D419" s="8">
        <v>2.91</v>
      </c>
      <c r="E419" s="4">
        <v>23</v>
      </c>
      <c r="F419" s="8">
        <v>5.3</v>
      </c>
      <c r="G419" s="4">
        <v>0</v>
      </c>
      <c r="H419" s="8">
        <v>0</v>
      </c>
      <c r="I419" s="4">
        <v>0</v>
      </c>
    </row>
    <row r="420" spans="1:9" x14ac:dyDescent="0.2">
      <c r="A420" s="2">
        <v>5</v>
      </c>
      <c r="B420" s="1" t="s">
        <v>187</v>
      </c>
      <c r="C420" s="4">
        <v>22</v>
      </c>
      <c r="D420" s="8">
        <v>2.78</v>
      </c>
      <c r="E420" s="4">
        <v>19</v>
      </c>
      <c r="F420" s="8">
        <v>4.38</v>
      </c>
      <c r="G420" s="4">
        <v>3</v>
      </c>
      <c r="H420" s="8">
        <v>0.91</v>
      </c>
      <c r="I420" s="4">
        <v>0</v>
      </c>
    </row>
    <row r="421" spans="1:9" x14ac:dyDescent="0.2">
      <c r="A421" s="2">
        <v>6</v>
      </c>
      <c r="B421" s="1" t="s">
        <v>177</v>
      </c>
      <c r="C421" s="4">
        <v>19</v>
      </c>
      <c r="D421" s="8">
        <v>2.4</v>
      </c>
      <c r="E421" s="4">
        <v>8</v>
      </c>
      <c r="F421" s="8">
        <v>1.84</v>
      </c>
      <c r="G421" s="4">
        <v>11</v>
      </c>
      <c r="H421" s="8">
        <v>3.33</v>
      </c>
      <c r="I421" s="4">
        <v>0</v>
      </c>
    </row>
    <row r="422" spans="1:9" x14ac:dyDescent="0.2">
      <c r="A422" s="2">
        <v>7</v>
      </c>
      <c r="B422" s="1" t="s">
        <v>178</v>
      </c>
      <c r="C422" s="4">
        <v>18</v>
      </c>
      <c r="D422" s="8">
        <v>2.2799999999999998</v>
      </c>
      <c r="E422" s="4">
        <v>8</v>
      </c>
      <c r="F422" s="8">
        <v>1.84</v>
      </c>
      <c r="G422" s="4">
        <v>10</v>
      </c>
      <c r="H422" s="8">
        <v>3.03</v>
      </c>
      <c r="I422" s="4">
        <v>0</v>
      </c>
    </row>
    <row r="423" spans="1:9" x14ac:dyDescent="0.2">
      <c r="A423" s="2">
        <v>8</v>
      </c>
      <c r="B423" s="1" t="s">
        <v>193</v>
      </c>
      <c r="C423" s="4">
        <v>17</v>
      </c>
      <c r="D423" s="8">
        <v>2.15</v>
      </c>
      <c r="E423" s="4">
        <v>15</v>
      </c>
      <c r="F423" s="8">
        <v>3.46</v>
      </c>
      <c r="G423" s="4">
        <v>2</v>
      </c>
      <c r="H423" s="8">
        <v>0.61</v>
      </c>
      <c r="I423" s="4">
        <v>0</v>
      </c>
    </row>
    <row r="424" spans="1:9" x14ac:dyDescent="0.2">
      <c r="A424" s="2">
        <v>9</v>
      </c>
      <c r="B424" s="1" t="s">
        <v>183</v>
      </c>
      <c r="C424" s="4">
        <v>16</v>
      </c>
      <c r="D424" s="8">
        <v>2.02</v>
      </c>
      <c r="E424" s="4">
        <v>10</v>
      </c>
      <c r="F424" s="8">
        <v>2.2999999999999998</v>
      </c>
      <c r="G424" s="4">
        <v>6</v>
      </c>
      <c r="H424" s="8">
        <v>1.82</v>
      </c>
      <c r="I424" s="4">
        <v>0</v>
      </c>
    </row>
    <row r="425" spans="1:9" x14ac:dyDescent="0.2">
      <c r="A425" s="2">
        <v>9</v>
      </c>
      <c r="B425" s="1" t="s">
        <v>189</v>
      </c>
      <c r="C425" s="4">
        <v>16</v>
      </c>
      <c r="D425" s="8">
        <v>2.02</v>
      </c>
      <c r="E425" s="4">
        <v>16</v>
      </c>
      <c r="F425" s="8">
        <v>3.69</v>
      </c>
      <c r="G425" s="4">
        <v>0</v>
      </c>
      <c r="H425" s="8">
        <v>0</v>
      </c>
      <c r="I425" s="4">
        <v>0</v>
      </c>
    </row>
    <row r="426" spans="1:9" x14ac:dyDescent="0.2">
      <c r="A426" s="2">
        <v>11</v>
      </c>
      <c r="B426" s="1" t="s">
        <v>176</v>
      </c>
      <c r="C426" s="4">
        <v>14</v>
      </c>
      <c r="D426" s="8">
        <v>1.77</v>
      </c>
      <c r="E426" s="4">
        <v>14</v>
      </c>
      <c r="F426" s="8">
        <v>3.23</v>
      </c>
      <c r="G426" s="4">
        <v>0</v>
      </c>
      <c r="H426" s="8">
        <v>0</v>
      </c>
      <c r="I426" s="4">
        <v>0</v>
      </c>
    </row>
    <row r="427" spans="1:9" x14ac:dyDescent="0.2">
      <c r="A427" s="2">
        <v>11</v>
      </c>
      <c r="B427" s="1" t="s">
        <v>181</v>
      </c>
      <c r="C427" s="4">
        <v>14</v>
      </c>
      <c r="D427" s="8">
        <v>1.77</v>
      </c>
      <c r="E427" s="4">
        <v>8</v>
      </c>
      <c r="F427" s="8">
        <v>1.84</v>
      </c>
      <c r="G427" s="4">
        <v>6</v>
      </c>
      <c r="H427" s="8">
        <v>1.82</v>
      </c>
      <c r="I427" s="4">
        <v>0</v>
      </c>
    </row>
    <row r="428" spans="1:9" x14ac:dyDescent="0.2">
      <c r="A428" s="2">
        <v>13</v>
      </c>
      <c r="B428" s="1" t="s">
        <v>175</v>
      </c>
      <c r="C428" s="4">
        <v>12</v>
      </c>
      <c r="D428" s="8">
        <v>1.52</v>
      </c>
      <c r="E428" s="4">
        <v>3</v>
      </c>
      <c r="F428" s="8">
        <v>0.69</v>
      </c>
      <c r="G428" s="4">
        <v>9</v>
      </c>
      <c r="H428" s="8">
        <v>2.73</v>
      </c>
      <c r="I428" s="4">
        <v>0</v>
      </c>
    </row>
    <row r="429" spans="1:9" x14ac:dyDescent="0.2">
      <c r="A429" s="2">
        <v>13</v>
      </c>
      <c r="B429" s="1" t="s">
        <v>210</v>
      </c>
      <c r="C429" s="4">
        <v>12</v>
      </c>
      <c r="D429" s="8">
        <v>1.52</v>
      </c>
      <c r="E429" s="4">
        <v>12</v>
      </c>
      <c r="F429" s="8">
        <v>2.76</v>
      </c>
      <c r="G429" s="4">
        <v>0</v>
      </c>
      <c r="H429" s="8">
        <v>0</v>
      </c>
      <c r="I429" s="4">
        <v>0</v>
      </c>
    </row>
    <row r="430" spans="1:9" x14ac:dyDescent="0.2">
      <c r="A430" s="2">
        <v>13</v>
      </c>
      <c r="B430" s="1" t="s">
        <v>188</v>
      </c>
      <c r="C430" s="4">
        <v>12</v>
      </c>
      <c r="D430" s="8">
        <v>1.52</v>
      </c>
      <c r="E430" s="4">
        <v>12</v>
      </c>
      <c r="F430" s="8">
        <v>2.76</v>
      </c>
      <c r="G430" s="4">
        <v>0</v>
      </c>
      <c r="H430" s="8">
        <v>0</v>
      </c>
      <c r="I430" s="4">
        <v>0</v>
      </c>
    </row>
    <row r="431" spans="1:9" x14ac:dyDescent="0.2">
      <c r="A431" s="2">
        <v>16</v>
      </c>
      <c r="B431" s="1" t="s">
        <v>194</v>
      </c>
      <c r="C431" s="4">
        <v>10</v>
      </c>
      <c r="D431" s="8">
        <v>1.26</v>
      </c>
      <c r="E431" s="4">
        <v>6</v>
      </c>
      <c r="F431" s="8">
        <v>1.38</v>
      </c>
      <c r="G431" s="4">
        <v>4</v>
      </c>
      <c r="H431" s="8">
        <v>1.21</v>
      </c>
      <c r="I431" s="4">
        <v>0</v>
      </c>
    </row>
    <row r="432" spans="1:9" x14ac:dyDescent="0.2">
      <c r="A432" s="2">
        <v>16</v>
      </c>
      <c r="B432" s="1" t="s">
        <v>184</v>
      </c>
      <c r="C432" s="4">
        <v>10</v>
      </c>
      <c r="D432" s="8">
        <v>1.26</v>
      </c>
      <c r="E432" s="4">
        <v>6</v>
      </c>
      <c r="F432" s="8">
        <v>1.38</v>
      </c>
      <c r="G432" s="4">
        <v>4</v>
      </c>
      <c r="H432" s="8">
        <v>1.21</v>
      </c>
      <c r="I432" s="4">
        <v>0</v>
      </c>
    </row>
    <row r="433" spans="1:9" x14ac:dyDescent="0.2">
      <c r="A433" s="2">
        <v>16</v>
      </c>
      <c r="B433" s="1" t="s">
        <v>186</v>
      </c>
      <c r="C433" s="4">
        <v>10</v>
      </c>
      <c r="D433" s="8">
        <v>1.26</v>
      </c>
      <c r="E433" s="4">
        <v>9</v>
      </c>
      <c r="F433" s="8">
        <v>2.0699999999999998</v>
      </c>
      <c r="G433" s="4">
        <v>1</v>
      </c>
      <c r="H433" s="8">
        <v>0.3</v>
      </c>
      <c r="I433" s="4">
        <v>0</v>
      </c>
    </row>
    <row r="434" spans="1:9" x14ac:dyDescent="0.2">
      <c r="A434" s="2">
        <v>16</v>
      </c>
      <c r="B434" s="1" t="s">
        <v>223</v>
      </c>
      <c r="C434" s="4">
        <v>10</v>
      </c>
      <c r="D434" s="8">
        <v>1.26</v>
      </c>
      <c r="E434" s="4">
        <v>1</v>
      </c>
      <c r="F434" s="8">
        <v>0.23</v>
      </c>
      <c r="G434" s="4">
        <v>1</v>
      </c>
      <c r="H434" s="8">
        <v>0.3</v>
      </c>
      <c r="I434" s="4">
        <v>0</v>
      </c>
    </row>
    <row r="435" spans="1:9" x14ac:dyDescent="0.2">
      <c r="A435" s="2">
        <v>20</v>
      </c>
      <c r="B435" s="1" t="s">
        <v>214</v>
      </c>
      <c r="C435" s="4">
        <v>9</v>
      </c>
      <c r="D435" s="8">
        <v>1.1399999999999999</v>
      </c>
      <c r="E435" s="4">
        <v>5</v>
      </c>
      <c r="F435" s="8">
        <v>1.1499999999999999</v>
      </c>
      <c r="G435" s="4">
        <v>4</v>
      </c>
      <c r="H435" s="8">
        <v>1.21</v>
      </c>
      <c r="I435" s="4">
        <v>0</v>
      </c>
    </row>
    <row r="436" spans="1:9" x14ac:dyDescent="0.2">
      <c r="A436" s="2">
        <v>20</v>
      </c>
      <c r="B436" s="1" t="s">
        <v>185</v>
      </c>
      <c r="C436" s="4">
        <v>9</v>
      </c>
      <c r="D436" s="8">
        <v>1.1399999999999999</v>
      </c>
      <c r="E436" s="4">
        <v>6</v>
      </c>
      <c r="F436" s="8">
        <v>1.38</v>
      </c>
      <c r="G436" s="4">
        <v>2</v>
      </c>
      <c r="H436" s="8">
        <v>0.61</v>
      </c>
      <c r="I436" s="4">
        <v>0</v>
      </c>
    </row>
    <row r="437" spans="1:9" x14ac:dyDescent="0.2">
      <c r="A437" s="2">
        <v>20</v>
      </c>
      <c r="B437" s="1" t="s">
        <v>209</v>
      </c>
      <c r="C437" s="4">
        <v>9</v>
      </c>
      <c r="D437" s="8">
        <v>1.1399999999999999</v>
      </c>
      <c r="E437" s="4">
        <v>6</v>
      </c>
      <c r="F437" s="8">
        <v>1.38</v>
      </c>
      <c r="G437" s="4">
        <v>3</v>
      </c>
      <c r="H437" s="8">
        <v>0.91</v>
      </c>
      <c r="I437" s="4">
        <v>0</v>
      </c>
    </row>
    <row r="438" spans="1:9" x14ac:dyDescent="0.2">
      <c r="A438" s="2">
        <v>20</v>
      </c>
      <c r="B438" s="1" t="s">
        <v>217</v>
      </c>
      <c r="C438" s="4">
        <v>9</v>
      </c>
      <c r="D438" s="8">
        <v>1.1399999999999999</v>
      </c>
      <c r="E438" s="4">
        <v>0</v>
      </c>
      <c r="F438" s="8">
        <v>0</v>
      </c>
      <c r="G438" s="4">
        <v>0</v>
      </c>
      <c r="H438" s="8">
        <v>0</v>
      </c>
      <c r="I438" s="4">
        <v>0</v>
      </c>
    </row>
    <row r="439" spans="1:9" x14ac:dyDescent="0.2">
      <c r="A439" s="1"/>
      <c r="C439" s="4"/>
      <c r="D439" s="8"/>
      <c r="E439" s="4"/>
      <c r="F439" s="8"/>
      <c r="G439" s="4"/>
      <c r="H439" s="8"/>
      <c r="I439" s="4"/>
    </row>
    <row r="440" spans="1:9" x14ac:dyDescent="0.2">
      <c r="A440" s="1" t="s">
        <v>19</v>
      </c>
      <c r="C440" s="4"/>
      <c r="D440" s="8"/>
      <c r="E440" s="4"/>
      <c r="F440" s="8"/>
      <c r="G440" s="4"/>
      <c r="H440" s="8"/>
      <c r="I440" s="4"/>
    </row>
    <row r="441" spans="1:9" x14ac:dyDescent="0.2">
      <c r="A441" s="2">
        <v>1</v>
      </c>
      <c r="B441" s="1" t="s">
        <v>191</v>
      </c>
      <c r="C441" s="4">
        <v>118</v>
      </c>
      <c r="D441" s="8">
        <v>5.39</v>
      </c>
      <c r="E441" s="4">
        <v>105</v>
      </c>
      <c r="F441" s="8">
        <v>9.07</v>
      </c>
      <c r="G441" s="4">
        <v>13</v>
      </c>
      <c r="H441" s="8">
        <v>1.28</v>
      </c>
      <c r="I441" s="4">
        <v>0</v>
      </c>
    </row>
    <row r="442" spans="1:9" x14ac:dyDescent="0.2">
      <c r="A442" s="2">
        <v>2</v>
      </c>
      <c r="B442" s="1" t="s">
        <v>183</v>
      </c>
      <c r="C442" s="4">
        <v>115</v>
      </c>
      <c r="D442" s="8">
        <v>5.26</v>
      </c>
      <c r="E442" s="4">
        <v>83</v>
      </c>
      <c r="F442" s="8">
        <v>7.17</v>
      </c>
      <c r="G442" s="4">
        <v>32</v>
      </c>
      <c r="H442" s="8">
        <v>3.14</v>
      </c>
      <c r="I442" s="4">
        <v>0</v>
      </c>
    </row>
    <row r="443" spans="1:9" x14ac:dyDescent="0.2">
      <c r="A443" s="2">
        <v>3</v>
      </c>
      <c r="B443" s="1" t="s">
        <v>187</v>
      </c>
      <c r="C443" s="4">
        <v>71</v>
      </c>
      <c r="D443" s="8">
        <v>3.24</v>
      </c>
      <c r="E443" s="4">
        <v>59</v>
      </c>
      <c r="F443" s="8">
        <v>5.09</v>
      </c>
      <c r="G443" s="4">
        <v>12</v>
      </c>
      <c r="H443" s="8">
        <v>1.18</v>
      </c>
      <c r="I443" s="4">
        <v>0</v>
      </c>
    </row>
    <row r="444" spans="1:9" x14ac:dyDescent="0.2">
      <c r="A444" s="2">
        <v>4</v>
      </c>
      <c r="B444" s="1" t="s">
        <v>174</v>
      </c>
      <c r="C444" s="4">
        <v>64</v>
      </c>
      <c r="D444" s="8">
        <v>2.93</v>
      </c>
      <c r="E444" s="4">
        <v>10</v>
      </c>
      <c r="F444" s="8">
        <v>0.86</v>
      </c>
      <c r="G444" s="4">
        <v>54</v>
      </c>
      <c r="H444" s="8">
        <v>5.3</v>
      </c>
      <c r="I444" s="4">
        <v>0</v>
      </c>
    </row>
    <row r="445" spans="1:9" x14ac:dyDescent="0.2">
      <c r="A445" s="2">
        <v>5</v>
      </c>
      <c r="B445" s="1" t="s">
        <v>192</v>
      </c>
      <c r="C445" s="4">
        <v>62</v>
      </c>
      <c r="D445" s="8">
        <v>2.83</v>
      </c>
      <c r="E445" s="4">
        <v>48</v>
      </c>
      <c r="F445" s="8">
        <v>4.1500000000000004</v>
      </c>
      <c r="G445" s="4">
        <v>14</v>
      </c>
      <c r="H445" s="8">
        <v>1.38</v>
      </c>
      <c r="I445" s="4">
        <v>0</v>
      </c>
    </row>
    <row r="446" spans="1:9" x14ac:dyDescent="0.2">
      <c r="A446" s="2">
        <v>6</v>
      </c>
      <c r="B446" s="1" t="s">
        <v>190</v>
      </c>
      <c r="C446" s="4">
        <v>61</v>
      </c>
      <c r="D446" s="8">
        <v>2.79</v>
      </c>
      <c r="E446" s="4">
        <v>55</v>
      </c>
      <c r="F446" s="8">
        <v>4.75</v>
      </c>
      <c r="G446" s="4">
        <v>6</v>
      </c>
      <c r="H446" s="8">
        <v>0.59</v>
      </c>
      <c r="I446" s="4">
        <v>0</v>
      </c>
    </row>
    <row r="447" spans="1:9" x14ac:dyDescent="0.2">
      <c r="A447" s="2">
        <v>7</v>
      </c>
      <c r="B447" s="1" t="s">
        <v>193</v>
      </c>
      <c r="C447" s="4">
        <v>54</v>
      </c>
      <c r="D447" s="8">
        <v>2.4700000000000002</v>
      </c>
      <c r="E447" s="4">
        <v>49</v>
      </c>
      <c r="F447" s="8">
        <v>4.2300000000000004</v>
      </c>
      <c r="G447" s="4">
        <v>5</v>
      </c>
      <c r="H447" s="8">
        <v>0.49</v>
      </c>
      <c r="I447" s="4">
        <v>0</v>
      </c>
    </row>
    <row r="448" spans="1:9" x14ac:dyDescent="0.2">
      <c r="A448" s="2">
        <v>8</v>
      </c>
      <c r="B448" s="1" t="s">
        <v>180</v>
      </c>
      <c r="C448" s="4">
        <v>48</v>
      </c>
      <c r="D448" s="8">
        <v>2.19</v>
      </c>
      <c r="E448" s="4">
        <v>21</v>
      </c>
      <c r="F448" s="8">
        <v>1.81</v>
      </c>
      <c r="G448" s="4">
        <v>27</v>
      </c>
      <c r="H448" s="8">
        <v>2.65</v>
      </c>
      <c r="I448" s="4">
        <v>0</v>
      </c>
    </row>
    <row r="449" spans="1:9" x14ac:dyDescent="0.2">
      <c r="A449" s="2">
        <v>9</v>
      </c>
      <c r="B449" s="1" t="s">
        <v>176</v>
      </c>
      <c r="C449" s="4">
        <v>45</v>
      </c>
      <c r="D449" s="8">
        <v>2.06</v>
      </c>
      <c r="E449" s="4">
        <v>17</v>
      </c>
      <c r="F449" s="8">
        <v>1.47</v>
      </c>
      <c r="G449" s="4">
        <v>28</v>
      </c>
      <c r="H449" s="8">
        <v>2.75</v>
      </c>
      <c r="I449" s="4">
        <v>0</v>
      </c>
    </row>
    <row r="450" spans="1:9" x14ac:dyDescent="0.2">
      <c r="A450" s="2">
        <v>9</v>
      </c>
      <c r="B450" s="1" t="s">
        <v>178</v>
      </c>
      <c r="C450" s="4">
        <v>45</v>
      </c>
      <c r="D450" s="8">
        <v>2.06</v>
      </c>
      <c r="E450" s="4">
        <v>13</v>
      </c>
      <c r="F450" s="8">
        <v>1.1200000000000001</v>
      </c>
      <c r="G450" s="4">
        <v>32</v>
      </c>
      <c r="H450" s="8">
        <v>3.14</v>
      </c>
      <c r="I450" s="4">
        <v>0</v>
      </c>
    </row>
    <row r="451" spans="1:9" x14ac:dyDescent="0.2">
      <c r="A451" s="2">
        <v>9</v>
      </c>
      <c r="B451" s="1" t="s">
        <v>198</v>
      </c>
      <c r="C451" s="4">
        <v>45</v>
      </c>
      <c r="D451" s="8">
        <v>2.06</v>
      </c>
      <c r="E451" s="4">
        <v>42</v>
      </c>
      <c r="F451" s="8">
        <v>3.63</v>
      </c>
      <c r="G451" s="4">
        <v>3</v>
      </c>
      <c r="H451" s="8">
        <v>0.28999999999999998</v>
      </c>
      <c r="I451" s="4">
        <v>0</v>
      </c>
    </row>
    <row r="452" spans="1:9" x14ac:dyDescent="0.2">
      <c r="A452" s="2">
        <v>12</v>
      </c>
      <c r="B452" s="1" t="s">
        <v>175</v>
      </c>
      <c r="C452" s="4">
        <v>41</v>
      </c>
      <c r="D452" s="8">
        <v>1.87</v>
      </c>
      <c r="E452" s="4">
        <v>11</v>
      </c>
      <c r="F452" s="8">
        <v>0.95</v>
      </c>
      <c r="G452" s="4">
        <v>30</v>
      </c>
      <c r="H452" s="8">
        <v>2.95</v>
      </c>
      <c r="I452" s="4">
        <v>0</v>
      </c>
    </row>
    <row r="453" spans="1:9" x14ac:dyDescent="0.2">
      <c r="A453" s="2">
        <v>13</v>
      </c>
      <c r="B453" s="1" t="s">
        <v>179</v>
      </c>
      <c r="C453" s="4">
        <v>39</v>
      </c>
      <c r="D453" s="8">
        <v>1.78</v>
      </c>
      <c r="E453" s="4">
        <v>34</v>
      </c>
      <c r="F453" s="8">
        <v>2.94</v>
      </c>
      <c r="G453" s="4">
        <v>5</v>
      </c>
      <c r="H453" s="8">
        <v>0.49</v>
      </c>
      <c r="I453" s="4">
        <v>0</v>
      </c>
    </row>
    <row r="454" spans="1:9" x14ac:dyDescent="0.2">
      <c r="A454" s="2">
        <v>14</v>
      </c>
      <c r="B454" s="1" t="s">
        <v>209</v>
      </c>
      <c r="C454" s="4">
        <v>34</v>
      </c>
      <c r="D454" s="8">
        <v>1.55</v>
      </c>
      <c r="E454" s="4">
        <v>24</v>
      </c>
      <c r="F454" s="8">
        <v>2.0699999999999998</v>
      </c>
      <c r="G454" s="4">
        <v>10</v>
      </c>
      <c r="H454" s="8">
        <v>0.98</v>
      </c>
      <c r="I454" s="4">
        <v>0</v>
      </c>
    </row>
    <row r="455" spans="1:9" x14ac:dyDescent="0.2">
      <c r="A455" s="2">
        <v>15</v>
      </c>
      <c r="B455" s="1" t="s">
        <v>177</v>
      </c>
      <c r="C455" s="4">
        <v>32</v>
      </c>
      <c r="D455" s="8">
        <v>1.46</v>
      </c>
      <c r="E455" s="4">
        <v>8</v>
      </c>
      <c r="F455" s="8">
        <v>0.69</v>
      </c>
      <c r="G455" s="4">
        <v>24</v>
      </c>
      <c r="H455" s="8">
        <v>2.36</v>
      </c>
      <c r="I455" s="4">
        <v>0</v>
      </c>
    </row>
    <row r="456" spans="1:9" x14ac:dyDescent="0.2">
      <c r="A456" s="2">
        <v>15</v>
      </c>
      <c r="B456" s="1" t="s">
        <v>197</v>
      </c>
      <c r="C456" s="4">
        <v>32</v>
      </c>
      <c r="D456" s="8">
        <v>1.46</v>
      </c>
      <c r="E456" s="4">
        <v>22</v>
      </c>
      <c r="F456" s="8">
        <v>1.9</v>
      </c>
      <c r="G456" s="4">
        <v>10</v>
      </c>
      <c r="H456" s="8">
        <v>0.98</v>
      </c>
      <c r="I456" s="4">
        <v>0</v>
      </c>
    </row>
    <row r="457" spans="1:9" x14ac:dyDescent="0.2">
      <c r="A457" s="2">
        <v>15</v>
      </c>
      <c r="B457" s="1" t="s">
        <v>189</v>
      </c>
      <c r="C457" s="4">
        <v>32</v>
      </c>
      <c r="D457" s="8">
        <v>1.46</v>
      </c>
      <c r="E457" s="4">
        <v>30</v>
      </c>
      <c r="F457" s="8">
        <v>2.59</v>
      </c>
      <c r="G457" s="4">
        <v>2</v>
      </c>
      <c r="H457" s="8">
        <v>0.2</v>
      </c>
      <c r="I457" s="4">
        <v>0</v>
      </c>
    </row>
    <row r="458" spans="1:9" x14ac:dyDescent="0.2">
      <c r="A458" s="2">
        <v>18</v>
      </c>
      <c r="B458" s="1" t="s">
        <v>199</v>
      </c>
      <c r="C458" s="4">
        <v>31</v>
      </c>
      <c r="D458" s="8">
        <v>1.42</v>
      </c>
      <c r="E458" s="4">
        <v>15</v>
      </c>
      <c r="F458" s="8">
        <v>1.3</v>
      </c>
      <c r="G458" s="4">
        <v>16</v>
      </c>
      <c r="H458" s="8">
        <v>1.57</v>
      </c>
      <c r="I458" s="4">
        <v>0</v>
      </c>
    </row>
    <row r="459" spans="1:9" x14ac:dyDescent="0.2">
      <c r="A459" s="2">
        <v>19</v>
      </c>
      <c r="B459" s="1" t="s">
        <v>194</v>
      </c>
      <c r="C459" s="4">
        <v>30</v>
      </c>
      <c r="D459" s="8">
        <v>1.37</v>
      </c>
      <c r="E459" s="4">
        <v>9</v>
      </c>
      <c r="F459" s="8">
        <v>0.78</v>
      </c>
      <c r="G459" s="4">
        <v>21</v>
      </c>
      <c r="H459" s="8">
        <v>2.06</v>
      </c>
      <c r="I459" s="4">
        <v>0</v>
      </c>
    </row>
    <row r="460" spans="1:9" x14ac:dyDescent="0.2">
      <c r="A460" s="2">
        <v>19</v>
      </c>
      <c r="B460" s="1" t="s">
        <v>181</v>
      </c>
      <c r="C460" s="4">
        <v>30</v>
      </c>
      <c r="D460" s="8">
        <v>1.37</v>
      </c>
      <c r="E460" s="4">
        <v>16</v>
      </c>
      <c r="F460" s="8">
        <v>1.38</v>
      </c>
      <c r="G460" s="4">
        <v>14</v>
      </c>
      <c r="H460" s="8">
        <v>1.38</v>
      </c>
      <c r="I460" s="4">
        <v>0</v>
      </c>
    </row>
    <row r="461" spans="1:9" x14ac:dyDescent="0.2">
      <c r="A461" s="2">
        <v>19</v>
      </c>
      <c r="B461" s="1" t="s">
        <v>220</v>
      </c>
      <c r="C461" s="4">
        <v>30</v>
      </c>
      <c r="D461" s="8">
        <v>1.37</v>
      </c>
      <c r="E461" s="4">
        <v>26</v>
      </c>
      <c r="F461" s="8">
        <v>2.25</v>
      </c>
      <c r="G461" s="4">
        <v>4</v>
      </c>
      <c r="H461" s="8">
        <v>0.39</v>
      </c>
      <c r="I461" s="4">
        <v>0</v>
      </c>
    </row>
    <row r="462" spans="1:9" x14ac:dyDescent="0.2">
      <c r="A462" s="2">
        <v>19</v>
      </c>
      <c r="B462" s="1" t="s">
        <v>188</v>
      </c>
      <c r="C462" s="4">
        <v>30</v>
      </c>
      <c r="D462" s="8">
        <v>1.37</v>
      </c>
      <c r="E462" s="4">
        <v>28</v>
      </c>
      <c r="F462" s="8">
        <v>2.42</v>
      </c>
      <c r="G462" s="4">
        <v>2</v>
      </c>
      <c r="H462" s="8">
        <v>0.2</v>
      </c>
      <c r="I462" s="4">
        <v>0</v>
      </c>
    </row>
    <row r="463" spans="1:9" x14ac:dyDescent="0.2">
      <c r="A463" s="1"/>
      <c r="C463" s="4"/>
      <c r="D463" s="8"/>
      <c r="E463" s="4"/>
      <c r="F463" s="8"/>
      <c r="G463" s="4"/>
      <c r="H463" s="8"/>
      <c r="I463" s="4"/>
    </row>
    <row r="464" spans="1:9" x14ac:dyDescent="0.2">
      <c r="A464" s="1" t="s">
        <v>20</v>
      </c>
      <c r="C464" s="4"/>
      <c r="D464" s="8"/>
      <c r="E464" s="4"/>
      <c r="F464" s="8"/>
      <c r="G464" s="4"/>
      <c r="H464" s="8"/>
      <c r="I464" s="4"/>
    </row>
    <row r="465" spans="1:9" x14ac:dyDescent="0.2">
      <c r="A465" s="2">
        <v>1</v>
      </c>
      <c r="B465" s="1" t="s">
        <v>176</v>
      </c>
      <c r="C465" s="4">
        <v>10</v>
      </c>
      <c r="D465" s="8">
        <v>5.43</v>
      </c>
      <c r="E465" s="4">
        <v>8</v>
      </c>
      <c r="F465" s="8">
        <v>6.2</v>
      </c>
      <c r="G465" s="4">
        <v>2</v>
      </c>
      <c r="H465" s="8">
        <v>4</v>
      </c>
      <c r="I465" s="4">
        <v>0</v>
      </c>
    </row>
    <row r="466" spans="1:9" x14ac:dyDescent="0.2">
      <c r="A466" s="2">
        <v>2</v>
      </c>
      <c r="B466" s="1" t="s">
        <v>185</v>
      </c>
      <c r="C466" s="4">
        <v>9</v>
      </c>
      <c r="D466" s="8">
        <v>4.8899999999999997</v>
      </c>
      <c r="E466" s="4">
        <v>8</v>
      </c>
      <c r="F466" s="8">
        <v>6.2</v>
      </c>
      <c r="G466" s="4">
        <v>1</v>
      </c>
      <c r="H466" s="8">
        <v>2</v>
      </c>
      <c r="I466" s="4">
        <v>0</v>
      </c>
    </row>
    <row r="467" spans="1:9" x14ac:dyDescent="0.2">
      <c r="A467" s="2">
        <v>2</v>
      </c>
      <c r="B467" s="1" t="s">
        <v>191</v>
      </c>
      <c r="C467" s="4">
        <v>9</v>
      </c>
      <c r="D467" s="8">
        <v>4.8899999999999997</v>
      </c>
      <c r="E467" s="4">
        <v>9</v>
      </c>
      <c r="F467" s="8">
        <v>6.98</v>
      </c>
      <c r="G467" s="4">
        <v>0</v>
      </c>
      <c r="H467" s="8">
        <v>0</v>
      </c>
      <c r="I467" s="4">
        <v>0</v>
      </c>
    </row>
    <row r="468" spans="1:9" x14ac:dyDescent="0.2">
      <c r="A468" s="2">
        <v>4</v>
      </c>
      <c r="B468" s="1" t="s">
        <v>174</v>
      </c>
      <c r="C468" s="4">
        <v>7</v>
      </c>
      <c r="D468" s="8">
        <v>3.8</v>
      </c>
      <c r="E468" s="4">
        <v>4</v>
      </c>
      <c r="F468" s="8">
        <v>3.1</v>
      </c>
      <c r="G468" s="4">
        <v>3</v>
      </c>
      <c r="H468" s="8">
        <v>6</v>
      </c>
      <c r="I468" s="4">
        <v>0</v>
      </c>
    </row>
    <row r="469" spans="1:9" x14ac:dyDescent="0.2">
      <c r="A469" s="2">
        <v>4</v>
      </c>
      <c r="B469" s="1" t="s">
        <v>186</v>
      </c>
      <c r="C469" s="4">
        <v>7</v>
      </c>
      <c r="D469" s="8">
        <v>3.8</v>
      </c>
      <c r="E469" s="4">
        <v>7</v>
      </c>
      <c r="F469" s="8">
        <v>5.43</v>
      </c>
      <c r="G469" s="4">
        <v>0</v>
      </c>
      <c r="H469" s="8">
        <v>0</v>
      </c>
      <c r="I469" s="4">
        <v>0</v>
      </c>
    </row>
    <row r="470" spans="1:9" x14ac:dyDescent="0.2">
      <c r="A470" s="2">
        <v>6</v>
      </c>
      <c r="B470" s="1" t="s">
        <v>177</v>
      </c>
      <c r="C470" s="4">
        <v>5</v>
      </c>
      <c r="D470" s="8">
        <v>2.72</v>
      </c>
      <c r="E470" s="4">
        <v>4</v>
      </c>
      <c r="F470" s="8">
        <v>3.1</v>
      </c>
      <c r="G470" s="4">
        <v>1</v>
      </c>
      <c r="H470" s="8">
        <v>2</v>
      </c>
      <c r="I470" s="4">
        <v>0</v>
      </c>
    </row>
    <row r="471" spans="1:9" x14ac:dyDescent="0.2">
      <c r="A471" s="2">
        <v>6</v>
      </c>
      <c r="B471" s="1" t="s">
        <v>179</v>
      </c>
      <c r="C471" s="4">
        <v>5</v>
      </c>
      <c r="D471" s="8">
        <v>2.72</v>
      </c>
      <c r="E471" s="4">
        <v>3</v>
      </c>
      <c r="F471" s="8">
        <v>2.33</v>
      </c>
      <c r="G471" s="4">
        <v>2</v>
      </c>
      <c r="H471" s="8">
        <v>4</v>
      </c>
      <c r="I471" s="4">
        <v>0</v>
      </c>
    </row>
    <row r="472" spans="1:9" x14ac:dyDescent="0.2">
      <c r="A472" s="2">
        <v>6</v>
      </c>
      <c r="B472" s="1" t="s">
        <v>190</v>
      </c>
      <c r="C472" s="4">
        <v>5</v>
      </c>
      <c r="D472" s="8">
        <v>2.72</v>
      </c>
      <c r="E472" s="4">
        <v>5</v>
      </c>
      <c r="F472" s="8">
        <v>3.88</v>
      </c>
      <c r="G472" s="4">
        <v>0</v>
      </c>
      <c r="H472" s="8">
        <v>0</v>
      </c>
      <c r="I472" s="4">
        <v>0</v>
      </c>
    </row>
    <row r="473" spans="1:9" x14ac:dyDescent="0.2">
      <c r="A473" s="2">
        <v>6</v>
      </c>
      <c r="B473" s="1" t="s">
        <v>193</v>
      </c>
      <c r="C473" s="4">
        <v>5</v>
      </c>
      <c r="D473" s="8">
        <v>2.72</v>
      </c>
      <c r="E473" s="4">
        <v>5</v>
      </c>
      <c r="F473" s="8">
        <v>3.88</v>
      </c>
      <c r="G473" s="4">
        <v>0</v>
      </c>
      <c r="H473" s="8">
        <v>0</v>
      </c>
      <c r="I473" s="4">
        <v>0</v>
      </c>
    </row>
    <row r="474" spans="1:9" x14ac:dyDescent="0.2">
      <c r="A474" s="2">
        <v>10</v>
      </c>
      <c r="B474" s="1" t="s">
        <v>210</v>
      </c>
      <c r="C474" s="4">
        <v>4</v>
      </c>
      <c r="D474" s="8">
        <v>2.17</v>
      </c>
      <c r="E474" s="4">
        <v>4</v>
      </c>
      <c r="F474" s="8">
        <v>3.1</v>
      </c>
      <c r="G474" s="4">
        <v>0</v>
      </c>
      <c r="H474" s="8">
        <v>0</v>
      </c>
      <c r="I474" s="4">
        <v>0</v>
      </c>
    </row>
    <row r="475" spans="1:9" x14ac:dyDescent="0.2">
      <c r="A475" s="2">
        <v>10</v>
      </c>
      <c r="B475" s="1" t="s">
        <v>214</v>
      </c>
      <c r="C475" s="4">
        <v>4</v>
      </c>
      <c r="D475" s="8">
        <v>2.17</v>
      </c>
      <c r="E475" s="4">
        <v>4</v>
      </c>
      <c r="F475" s="8">
        <v>3.1</v>
      </c>
      <c r="G475" s="4">
        <v>0</v>
      </c>
      <c r="H475" s="8">
        <v>0</v>
      </c>
      <c r="I475" s="4">
        <v>0</v>
      </c>
    </row>
    <row r="476" spans="1:9" x14ac:dyDescent="0.2">
      <c r="A476" s="2">
        <v>10</v>
      </c>
      <c r="B476" s="1" t="s">
        <v>180</v>
      </c>
      <c r="C476" s="4">
        <v>4</v>
      </c>
      <c r="D476" s="8">
        <v>2.17</v>
      </c>
      <c r="E476" s="4">
        <v>2</v>
      </c>
      <c r="F476" s="8">
        <v>1.55</v>
      </c>
      <c r="G476" s="4">
        <v>2</v>
      </c>
      <c r="H476" s="8">
        <v>4</v>
      </c>
      <c r="I476" s="4">
        <v>0</v>
      </c>
    </row>
    <row r="477" spans="1:9" x14ac:dyDescent="0.2">
      <c r="A477" s="2">
        <v>10</v>
      </c>
      <c r="B477" s="1" t="s">
        <v>189</v>
      </c>
      <c r="C477" s="4">
        <v>4</v>
      </c>
      <c r="D477" s="8">
        <v>2.17</v>
      </c>
      <c r="E477" s="4">
        <v>4</v>
      </c>
      <c r="F477" s="8">
        <v>3.1</v>
      </c>
      <c r="G477" s="4">
        <v>0</v>
      </c>
      <c r="H477" s="8">
        <v>0</v>
      </c>
      <c r="I477" s="4">
        <v>0</v>
      </c>
    </row>
    <row r="478" spans="1:9" x14ac:dyDescent="0.2">
      <c r="A478" s="2">
        <v>14</v>
      </c>
      <c r="B478" s="1" t="s">
        <v>224</v>
      </c>
      <c r="C478" s="4">
        <v>3</v>
      </c>
      <c r="D478" s="8">
        <v>1.63</v>
      </c>
      <c r="E478" s="4">
        <v>3</v>
      </c>
      <c r="F478" s="8">
        <v>2.33</v>
      </c>
      <c r="G478" s="4">
        <v>0</v>
      </c>
      <c r="H478" s="8">
        <v>0</v>
      </c>
      <c r="I478" s="4">
        <v>0</v>
      </c>
    </row>
    <row r="479" spans="1:9" x14ac:dyDescent="0.2">
      <c r="A479" s="2">
        <v>14</v>
      </c>
      <c r="B479" s="1" t="s">
        <v>202</v>
      </c>
      <c r="C479" s="4">
        <v>3</v>
      </c>
      <c r="D479" s="8">
        <v>1.63</v>
      </c>
      <c r="E479" s="4">
        <v>3</v>
      </c>
      <c r="F479" s="8">
        <v>2.33</v>
      </c>
      <c r="G479" s="4">
        <v>0</v>
      </c>
      <c r="H479" s="8">
        <v>0</v>
      </c>
      <c r="I479" s="4">
        <v>0</v>
      </c>
    </row>
    <row r="480" spans="1:9" x14ac:dyDescent="0.2">
      <c r="A480" s="2">
        <v>14</v>
      </c>
      <c r="B480" s="1" t="s">
        <v>225</v>
      </c>
      <c r="C480" s="4">
        <v>3</v>
      </c>
      <c r="D480" s="8">
        <v>1.63</v>
      </c>
      <c r="E480" s="4">
        <v>0</v>
      </c>
      <c r="F480" s="8">
        <v>0</v>
      </c>
      <c r="G480" s="4">
        <v>3</v>
      </c>
      <c r="H480" s="8">
        <v>6</v>
      </c>
      <c r="I480" s="4">
        <v>0</v>
      </c>
    </row>
    <row r="481" spans="1:9" x14ac:dyDescent="0.2">
      <c r="A481" s="2">
        <v>14</v>
      </c>
      <c r="B481" s="1" t="s">
        <v>196</v>
      </c>
      <c r="C481" s="4">
        <v>3</v>
      </c>
      <c r="D481" s="8">
        <v>1.63</v>
      </c>
      <c r="E481" s="4">
        <v>0</v>
      </c>
      <c r="F481" s="8">
        <v>0</v>
      </c>
      <c r="G481" s="4">
        <v>3</v>
      </c>
      <c r="H481" s="8">
        <v>6</v>
      </c>
      <c r="I481" s="4">
        <v>0</v>
      </c>
    </row>
    <row r="482" spans="1:9" x14ac:dyDescent="0.2">
      <c r="A482" s="2">
        <v>14</v>
      </c>
      <c r="B482" s="1" t="s">
        <v>226</v>
      </c>
      <c r="C482" s="4">
        <v>3</v>
      </c>
      <c r="D482" s="8">
        <v>1.63</v>
      </c>
      <c r="E482" s="4">
        <v>2</v>
      </c>
      <c r="F482" s="8">
        <v>1.55</v>
      </c>
      <c r="G482" s="4">
        <v>1</v>
      </c>
      <c r="H482" s="8">
        <v>2</v>
      </c>
      <c r="I482" s="4">
        <v>0</v>
      </c>
    </row>
    <row r="483" spans="1:9" x14ac:dyDescent="0.2">
      <c r="A483" s="2">
        <v>14</v>
      </c>
      <c r="B483" s="1" t="s">
        <v>227</v>
      </c>
      <c r="C483" s="4">
        <v>3</v>
      </c>
      <c r="D483" s="8">
        <v>1.63</v>
      </c>
      <c r="E483" s="4">
        <v>2</v>
      </c>
      <c r="F483" s="8">
        <v>1.55</v>
      </c>
      <c r="G483" s="4">
        <v>0</v>
      </c>
      <c r="H483" s="8">
        <v>0</v>
      </c>
      <c r="I483" s="4">
        <v>1</v>
      </c>
    </row>
    <row r="484" spans="1:9" x14ac:dyDescent="0.2">
      <c r="A484" s="2">
        <v>14</v>
      </c>
      <c r="B484" s="1" t="s">
        <v>216</v>
      </c>
      <c r="C484" s="4">
        <v>3</v>
      </c>
      <c r="D484" s="8">
        <v>1.63</v>
      </c>
      <c r="E484" s="4">
        <v>0</v>
      </c>
      <c r="F484" s="8">
        <v>0</v>
      </c>
      <c r="G484" s="4">
        <v>3</v>
      </c>
      <c r="H484" s="8">
        <v>6</v>
      </c>
      <c r="I484" s="4">
        <v>0</v>
      </c>
    </row>
    <row r="485" spans="1:9" x14ac:dyDescent="0.2">
      <c r="A485" s="2">
        <v>14</v>
      </c>
      <c r="B485" s="1" t="s">
        <v>183</v>
      </c>
      <c r="C485" s="4">
        <v>3</v>
      </c>
      <c r="D485" s="8">
        <v>1.63</v>
      </c>
      <c r="E485" s="4">
        <v>2</v>
      </c>
      <c r="F485" s="8">
        <v>1.55</v>
      </c>
      <c r="G485" s="4">
        <v>1</v>
      </c>
      <c r="H485" s="8">
        <v>2</v>
      </c>
      <c r="I485" s="4">
        <v>0</v>
      </c>
    </row>
    <row r="486" spans="1:9" x14ac:dyDescent="0.2">
      <c r="A486" s="2">
        <v>14</v>
      </c>
      <c r="B486" s="1" t="s">
        <v>184</v>
      </c>
      <c r="C486" s="4">
        <v>3</v>
      </c>
      <c r="D486" s="8">
        <v>1.63</v>
      </c>
      <c r="E486" s="4">
        <v>2</v>
      </c>
      <c r="F486" s="8">
        <v>1.55</v>
      </c>
      <c r="G486" s="4">
        <v>1</v>
      </c>
      <c r="H486" s="8">
        <v>2</v>
      </c>
      <c r="I486" s="4">
        <v>0</v>
      </c>
    </row>
    <row r="487" spans="1:9" x14ac:dyDescent="0.2">
      <c r="A487" s="2">
        <v>14</v>
      </c>
      <c r="B487" s="1" t="s">
        <v>187</v>
      </c>
      <c r="C487" s="4">
        <v>3</v>
      </c>
      <c r="D487" s="8">
        <v>1.63</v>
      </c>
      <c r="E487" s="4">
        <v>3</v>
      </c>
      <c r="F487" s="8">
        <v>2.33</v>
      </c>
      <c r="G487" s="4">
        <v>0</v>
      </c>
      <c r="H487" s="8">
        <v>0</v>
      </c>
      <c r="I487" s="4">
        <v>0</v>
      </c>
    </row>
    <row r="488" spans="1:9" x14ac:dyDescent="0.2">
      <c r="A488" s="2">
        <v>14</v>
      </c>
      <c r="B488" s="1" t="s">
        <v>228</v>
      </c>
      <c r="C488" s="4">
        <v>3</v>
      </c>
      <c r="D488" s="8">
        <v>1.63</v>
      </c>
      <c r="E488" s="4">
        <v>2</v>
      </c>
      <c r="F488" s="8">
        <v>1.55</v>
      </c>
      <c r="G488" s="4">
        <v>1</v>
      </c>
      <c r="H488" s="8">
        <v>2</v>
      </c>
      <c r="I488" s="4">
        <v>0</v>
      </c>
    </row>
    <row r="489" spans="1:9" x14ac:dyDescent="0.2">
      <c r="A489" s="2">
        <v>14</v>
      </c>
      <c r="B489" s="1" t="s">
        <v>229</v>
      </c>
      <c r="C489" s="4">
        <v>3</v>
      </c>
      <c r="D489" s="8">
        <v>1.63</v>
      </c>
      <c r="E489" s="4">
        <v>2</v>
      </c>
      <c r="F489" s="8">
        <v>1.55</v>
      </c>
      <c r="G489" s="4">
        <v>1</v>
      </c>
      <c r="H489" s="8">
        <v>2</v>
      </c>
      <c r="I489" s="4">
        <v>0</v>
      </c>
    </row>
    <row r="490" spans="1:9" x14ac:dyDescent="0.2">
      <c r="A490" s="2">
        <v>14</v>
      </c>
      <c r="B490" s="1" t="s">
        <v>192</v>
      </c>
      <c r="C490" s="4">
        <v>3</v>
      </c>
      <c r="D490" s="8">
        <v>1.63</v>
      </c>
      <c r="E490" s="4">
        <v>3</v>
      </c>
      <c r="F490" s="8">
        <v>2.33</v>
      </c>
      <c r="G490" s="4">
        <v>0</v>
      </c>
      <c r="H490" s="8">
        <v>0</v>
      </c>
      <c r="I490" s="4">
        <v>0</v>
      </c>
    </row>
    <row r="491" spans="1:9" x14ac:dyDescent="0.2">
      <c r="A491" s="1"/>
      <c r="C491" s="4"/>
      <c r="D491" s="8"/>
      <c r="E491" s="4"/>
      <c r="F491" s="8"/>
      <c r="G491" s="4"/>
      <c r="H491" s="8"/>
      <c r="I491" s="4"/>
    </row>
    <row r="492" spans="1:9" x14ac:dyDescent="0.2">
      <c r="A492" s="1" t="s">
        <v>21</v>
      </c>
      <c r="C492" s="4"/>
      <c r="D492" s="8"/>
      <c r="E492" s="4"/>
      <c r="F492" s="8"/>
      <c r="G492" s="4"/>
      <c r="H492" s="8"/>
      <c r="I492" s="4"/>
    </row>
    <row r="493" spans="1:9" x14ac:dyDescent="0.2">
      <c r="A493" s="2">
        <v>1</v>
      </c>
      <c r="B493" s="1" t="s">
        <v>185</v>
      </c>
      <c r="C493" s="4">
        <v>7</v>
      </c>
      <c r="D493" s="8">
        <v>6.14</v>
      </c>
      <c r="E493" s="4">
        <v>3</v>
      </c>
      <c r="F493" s="8">
        <v>4.84</v>
      </c>
      <c r="G493" s="4">
        <v>4</v>
      </c>
      <c r="H493" s="8">
        <v>8.89</v>
      </c>
      <c r="I493" s="4">
        <v>0</v>
      </c>
    </row>
    <row r="494" spans="1:9" x14ac:dyDescent="0.2">
      <c r="A494" s="2">
        <v>2</v>
      </c>
      <c r="B494" s="1" t="s">
        <v>174</v>
      </c>
      <c r="C494" s="4">
        <v>6</v>
      </c>
      <c r="D494" s="8">
        <v>5.26</v>
      </c>
      <c r="E494" s="4">
        <v>2</v>
      </c>
      <c r="F494" s="8">
        <v>3.23</v>
      </c>
      <c r="G494" s="4">
        <v>4</v>
      </c>
      <c r="H494" s="8">
        <v>8.89</v>
      </c>
      <c r="I494" s="4">
        <v>0</v>
      </c>
    </row>
    <row r="495" spans="1:9" x14ac:dyDescent="0.2">
      <c r="A495" s="2">
        <v>3</v>
      </c>
      <c r="B495" s="1" t="s">
        <v>213</v>
      </c>
      <c r="C495" s="4">
        <v>5</v>
      </c>
      <c r="D495" s="8">
        <v>4.3899999999999997</v>
      </c>
      <c r="E495" s="4">
        <v>0</v>
      </c>
      <c r="F495" s="8">
        <v>0</v>
      </c>
      <c r="G495" s="4">
        <v>5</v>
      </c>
      <c r="H495" s="8">
        <v>11.11</v>
      </c>
      <c r="I495" s="4">
        <v>0</v>
      </c>
    </row>
    <row r="496" spans="1:9" x14ac:dyDescent="0.2">
      <c r="A496" s="2">
        <v>4</v>
      </c>
      <c r="B496" s="1" t="s">
        <v>177</v>
      </c>
      <c r="C496" s="4">
        <v>4</v>
      </c>
      <c r="D496" s="8">
        <v>3.51</v>
      </c>
      <c r="E496" s="4">
        <v>4</v>
      </c>
      <c r="F496" s="8">
        <v>6.45</v>
      </c>
      <c r="G496" s="4">
        <v>0</v>
      </c>
      <c r="H496" s="8">
        <v>0</v>
      </c>
      <c r="I496" s="4">
        <v>0</v>
      </c>
    </row>
    <row r="497" spans="1:9" x14ac:dyDescent="0.2">
      <c r="A497" s="2">
        <v>4</v>
      </c>
      <c r="B497" s="1" t="s">
        <v>181</v>
      </c>
      <c r="C497" s="4">
        <v>4</v>
      </c>
      <c r="D497" s="8">
        <v>3.51</v>
      </c>
      <c r="E497" s="4">
        <v>4</v>
      </c>
      <c r="F497" s="8">
        <v>6.45</v>
      </c>
      <c r="G497" s="4">
        <v>0</v>
      </c>
      <c r="H497" s="8">
        <v>0</v>
      </c>
      <c r="I497" s="4">
        <v>0</v>
      </c>
    </row>
    <row r="498" spans="1:9" x14ac:dyDescent="0.2">
      <c r="A498" s="2">
        <v>4</v>
      </c>
      <c r="B498" s="1" t="s">
        <v>190</v>
      </c>
      <c r="C498" s="4">
        <v>4</v>
      </c>
      <c r="D498" s="8">
        <v>3.51</v>
      </c>
      <c r="E498" s="4">
        <v>4</v>
      </c>
      <c r="F498" s="8">
        <v>6.45</v>
      </c>
      <c r="G498" s="4">
        <v>0</v>
      </c>
      <c r="H498" s="8">
        <v>0</v>
      </c>
      <c r="I498" s="4">
        <v>0</v>
      </c>
    </row>
    <row r="499" spans="1:9" x14ac:dyDescent="0.2">
      <c r="A499" s="2">
        <v>4</v>
      </c>
      <c r="B499" s="1" t="s">
        <v>209</v>
      </c>
      <c r="C499" s="4">
        <v>4</v>
      </c>
      <c r="D499" s="8">
        <v>3.51</v>
      </c>
      <c r="E499" s="4">
        <v>4</v>
      </c>
      <c r="F499" s="8">
        <v>6.45</v>
      </c>
      <c r="G499" s="4">
        <v>0</v>
      </c>
      <c r="H499" s="8">
        <v>0</v>
      </c>
      <c r="I499" s="4">
        <v>0</v>
      </c>
    </row>
    <row r="500" spans="1:9" x14ac:dyDescent="0.2">
      <c r="A500" s="2">
        <v>8</v>
      </c>
      <c r="B500" s="1" t="s">
        <v>175</v>
      </c>
      <c r="C500" s="4">
        <v>3</v>
      </c>
      <c r="D500" s="8">
        <v>2.63</v>
      </c>
      <c r="E500" s="4">
        <v>1</v>
      </c>
      <c r="F500" s="8">
        <v>1.61</v>
      </c>
      <c r="G500" s="4">
        <v>2</v>
      </c>
      <c r="H500" s="8">
        <v>4.4400000000000004</v>
      </c>
      <c r="I500" s="4">
        <v>0</v>
      </c>
    </row>
    <row r="501" spans="1:9" x14ac:dyDescent="0.2">
      <c r="A501" s="2">
        <v>8</v>
      </c>
      <c r="B501" s="1" t="s">
        <v>176</v>
      </c>
      <c r="C501" s="4">
        <v>3</v>
      </c>
      <c r="D501" s="8">
        <v>2.63</v>
      </c>
      <c r="E501" s="4">
        <v>1</v>
      </c>
      <c r="F501" s="8">
        <v>1.61</v>
      </c>
      <c r="G501" s="4">
        <v>2</v>
      </c>
      <c r="H501" s="8">
        <v>4.4400000000000004</v>
      </c>
      <c r="I501" s="4">
        <v>0</v>
      </c>
    </row>
    <row r="502" spans="1:9" x14ac:dyDescent="0.2">
      <c r="A502" s="2">
        <v>8</v>
      </c>
      <c r="B502" s="1" t="s">
        <v>206</v>
      </c>
      <c r="C502" s="4">
        <v>3</v>
      </c>
      <c r="D502" s="8">
        <v>2.63</v>
      </c>
      <c r="E502" s="4">
        <v>1</v>
      </c>
      <c r="F502" s="8">
        <v>1.61</v>
      </c>
      <c r="G502" s="4">
        <v>2</v>
      </c>
      <c r="H502" s="8">
        <v>4.4400000000000004</v>
      </c>
      <c r="I502" s="4">
        <v>0</v>
      </c>
    </row>
    <row r="503" spans="1:9" x14ac:dyDescent="0.2">
      <c r="A503" s="2">
        <v>8</v>
      </c>
      <c r="B503" s="1" t="s">
        <v>197</v>
      </c>
      <c r="C503" s="4">
        <v>3</v>
      </c>
      <c r="D503" s="8">
        <v>2.63</v>
      </c>
      <c r="E503" s="4">
        <v>3</v>
      </c>
      <c r="F503" s="8">
        <v>4.84</v>
      </c>
      <c r="G503" s="4">
        <v>0</v>
      </c>
      <c r="H503" s="8">
        <v>0</v>
      </c>
      <c r="I503" s="4">
        <v>0</v>
      </c>
    </row>
    <row r="504" spans="1:9" x14ac:dyDescent="0.2">
      <c r="A504" s="2">
        <v>8</v>
      </c>
      <c r="B504" s="1" t="s">
        <v>216</v>
      </c>
      <c r="C504" s="4">
        <v>3</v>
      </c>
      <c r="D504" s="8">
        <v>2.63</v>
      </c>
      <c r="E504" s="4">
        <v>0</v>
      </c>
      <c r="F504" s="8">
        <v>0</v>
      </c>
      <c r="G504" s="4">
        <v>3</v>
      </c>
      <c r="H504" s="8">
        <v>6.67</v>
      </c>
      <c r="I504" s="4">
        <v>0</v>
      </c>
    </row>
    <row r="505" spans="1:9" x14ac:dyDescent="0.2">
      <c r="A505" s="2">
        <v>8</v>
      </c>
      <c r="B505" s="1" t="s">
        <v>199</v>
      </c>
      <c r="C505" s="4">
        <v>3</v>
      </c>
      <c r="D505" s="8">
        <v>2.63</v>
      </c>
      <c r="E505" s="4">
        <v>2</v>
      </c>
      <c r="F505" s="8">
        <v>3.23</v>
      </c>
      <c r="G505" s="4">
        <v>1</v>
      </c>
      <c r="H505" s="8">
        <v>2.2200000000000002</v>
      </c>
      <c r="I505" s="4">
        <v>0</v>
      </c>
    </row>
    <row r="506" spans="1:9" x14ac:dyDescent="0.2">
      <c r="A506" s="2">
        <v>8</v>
      </c>
      <c r="B506" s="1" t="s">
        <v>192</v>
      </c>
      <c r="C506" s="4">
        <v>3</v>
      </c>
      <c r="D506" s="8">
        <v>2.63</v>
      </c>
      <c r="E506" s="4">
        <v>3</v>
      </c>
      <c r="F506" s="8">
        <v>4.84</v>
      </c>
      <c r="G506" s="4">
        <v>0</v>
      </c>
      <c r="H506" s="8">
        <v>0</v>
      </c>
      <c r="I506" s="4">
        <v>0</v>
      </c>
    </row>
    <row r="507" spans="1:9" x14ac:dyDescent="0.2">
      <c r="A507" s="2">
        <v>8</v>
      </c>
      <c r="B507" s="1" t="s">
        <v>200</v>
      </c>
      <c r="C507" s="4">
        <v>3</v>
      </c>
      <c r="D507" s="8">
        <v>2.63</v>
      </c>
      <c r="E507" s="4">
        <v>0</v>
      </c>
      <c r="F507" s="8">
        <v>0</v>
      </c>
      <c r="G507" s="4">
        <v>3</v>
      </c>
      <c r="H507" s="8">
        <v>6.67</v>
      </c>
      <c r="I507" s="4">
        <v>0</v>
      </c>
    </row>
    <row r="508" spans="1:9" x14ac:dyDescent="0.2">
      <c r="A508" s="2">
        <v>16</v>
      </c>
      <c r="B508" s="1" t="s">
        <v>208</v>
      </c>
      <c r="C508" s="4">
        <v>2</v>
      </c>
      <c r="D508" s="8">
        <v>1.75</v>
      </c>
      <c r="E508" s="4">
        <v>1</v>
      </c>
      <c r="F508" s="8">
        <v>1.61</v>
      </c>
      <c r="G508" s="4">
        <v>1</v>
      </c>
      <c r="H508" s="8">
        <v>2.2200000000000002</v>
      </c>
      <c r="I508" s="4">
        <v>0</v>
      </c>
    </row>
    <row r="509" spans="1:9" x14ac:dyDescent="0.2">
      <c r="A509" s="2">
        <v>16</v>
      </c>
      <c r="B509" s="1" t="s">
        <v>210</v>
      </c>
      <c r="C509" s="4">
        <v>2</v>
      </c>
      <c r="D509" s="8">
        <v>1.75</v>
      </c>
      <c r="E509" s="4">
        <v>2</v>
      </c>
      <c r="F509" s="8">
        <v>3.23</v>
      </c>
      <c r="G509" s="4">
        <v>0</v>
      </c>
      <c r="H509" s="8">
        <v>0</v>
      </c>
      <c r="I509" s="4">
        <v>0</v>
      </c>
    </row>
    <row r="510" spans="1:9" x14ac:dyDescent="0.2">
      <c r="A510" s="2">
        <v>16</v>
      </c>
      <c r="B510" s="1" t="s">
        <v>218</v>
      </c>
      <c r="C510" s="4">
        <v>2</v>
      </c>
      <c r="D510" s="8">
        <v>1.75</v>
      </c>
      <c r="E510" s="4">
        <v>2</v>
      </c>
      <c r="F510" s="8">
        <v>3.23</v>
      </c>
      <c r="G510" s="4">
        <v>0</v>
      </c>
      <c r="H510" s="8">
        <v>0</v>
      </c>
      <c r="I510" s="4">
        <v>0</v>
      </c>
    </row>
    <row r="511" spans="1:9" x14ac:dyDescent="0.2">
      <c r="A511" s="2">
        <v>16</v>
      </c>
      <c r="B511" s="1" t="s">
        <v>230</v>
      </c>
      <c r="C511" s="4">
        <v>2</v>
      </c>
      <c r="D511" s="8">
        <v>1.75</v>
      </c>
      <c r="E511" s="4">
        <v>0</v>
      </c>
      <c r="F511" s="8">
        <v>0</v>
      </c>
      <c r="G511" s="4">
        <v>2</v>
      </c>
      <c r="H511" s="8">
        <v>4.4400000000000004</v>
      </c>
      <c r="I511" s="4">
        <v>0</v>
      </c>
    </row>
    <row r="512" spans="1:9" x14ac:dyDescent="0.2">
      <c r="A512" s="2">
        <v>16</v>
      </c>
      <c r="B512" s="1" t="s">
        <v>231</v>
      </c>
      <c r="C512" s="4">
        <v>2</v>
      </c>
      <c r="D512" s="8">
        <v>1.75</v>
      </c>
      <c r="E512" s="4">
        <v>2</v>
      </c>
      <c r="F512" s="8">
        <v>3.23</v>
      </c>
      <c r="G512" s="4">
        <v>0</v>
      </c>
      <c r="H512" s="8">
        <v>0</v>
      </c>
      <c r="I512" s="4">
        <v>0</v>
      </c>
    </row>
    <row r="513" spans="1:9" x14ac:dyDescent="0.2">
      <c r="A513" s="2">
        <v>16</v>
      </c>
      <c r="B513" s="1" t="s">
        <v>232</v>
      </c>
      <c r="C513" s="4">
        <v>2</v>
      </c>
      <c r="D513" s="8">
        <v>1.75</v>
      </c>
      <c r="E513" s="4">
        <v>0</v>
      </c>
      <c r="F513" s="8">
        <v>0</v>
      </c>
      <c r="G513" s="4">
        <v>0</v>
      </c>
      <c r="H513" s="8">
        <v>0</v>
      </c>
      <c r="I513" s="4">
        <v>0</v>
      </c>
    </row>
    <row r="514" spans="1:9" x14ac:dyDescent="0.2">
      <c r="A514" s="2">
        <v>16</v>
      </c>
      <c r="B514" s="1" t="s">
        <v>233</v>
      </c>
      <c r="C514" s="4">
        <v>2</v>
      </c>
      <c r="D514" s="8">
        <v>1.75</v>
      </c>
      <c r="E514" s="4">
        <v>2</v>
      </c>
      <c r="F514" s="8">
        <v>3.23</v>
      </c>
      <c r="G514" s="4">
        <v>0</v>
      </c>
      <c r="H514" s="8">
        <v>0</v>
      </c>
      <c r="I514" s="4">
        <v>0</v>
      </c>
    </row>
    <row r="515" spans="1:9" x14ac:dyDescent="0.2">
      <c r="A515" s="2">
        <v>16</v>
      </c>
      <c r="B515" s="1" t="s">
        <v>179</v>
      </c>
      <c r="C515" s="4">
        <v>2</v>
      </c>
      <c r="D515" s="8">
        <v>1.75</v>
      </c>
      <c r="E515" s="4">
        <v>0</v>
      </c>
      <c r="F515" s="8">
        <v>0</v>
      </c>
      <c r="G515" s="4">
        <v>2</v>
      </c>
      <c r="H515" s="8">
        <v>4.4400000000000004</v>
      </c>
      <c r="I515" s="4">
        <v>0</v>
      </c>
    </row>
    <row r="516" spans="1:9" x14ac:dyDescent="0.2">
      <c r="A516" s="2">
        <v>16</v>
      </c>
      <c r="B516" s="1" t="s">
        <v>222</v>
      </c>
      <c r="C516" s="4">
        <v>2</v>
      </c>
      <c r="D516" s="8">
        <v>1.75</v>
      </c>
      <c r="E516" s="4">
        <v>1</v>
      </c>
      <c r="F516" s="8">
        <v>1.61</v>
      </c>
      <c r="G516" s="4">
        <v>1</v>
      </c>
      <c r="H516" s="8">
        <v>2.2200000000000002</v>
      </c>
      <c r="I516" s="4">
        <v>0</v>
      </c>
    </row>
    <row r="517" spans="1:9" x14ac:dyDescent="0.2">
      <c r="A517" s="2">
        <v>16</v>
      </c>
      <c r="B517" s="1" t="s">
        <v>194</v>
      </c>
      <c r="C517" s="4">
        <v>2</v>
      </c>
      <c r="D517" s="8">
        <v>1.75</v>
      </c>
      <c r="E517" s="4">
        <v>1</v>
      </c>
      <c r="F517" s="8">
        <v>1.61</v>
      </c>
      <c r="G517" s="4">
        <v>1</v>
      </c>
      <c r="H517" s="8">
        <v>2.2200000000000002</v>
      </c>
      <c r="I517" s="4">
        <v>0</v>
      </c>
    </row>
    <row r="518" spans="1:9" x14ac:dyDescent="0.2">
      <c r="A518" s="2">
        <v>16</v>
      </c>
      <c r="B518" s="1" t="s">
        <v>234</v>
      </c>
      <c r="C518" s="4">
        <v>2</v>
      </c>
      <c r="D518" s="8">
        <v>1.75</v>
      </c>
      <c r="E518" s="4">
        <v>1</v>
      </c>
      <c r="F518" s="8">
        <v>1.61</v>
      </c>
      <c r="G518" s="4">
        <v>1</v>
      </c>
      <c r="H518" s="8">
        <v>2.2200000000000002</v>
      </c>
      <c r="I518" s="4">
        <v>0</v>
      </c>
    </row>
    <row r="519" spans="1:9" x14ac:dyDescent="0.2">
      <c r="A519" s="2">
        <v>16</v>
      </c>
      <c r="B519" s="1" t="s">
        <v>186</v>
      </c>
      <c r="C519" s="4">
        <v>2</v>
      </c>
      <c r="D519" s="8">
        <v>1.75</v>
      </c>
      <c r="E519" s="4">
        <v>2</v>
      </c>
      <c r="F519" s="8">
        <v>3.23</v>
      </c>
      <c r="G519" s="4">
        <v>0</v>
      </c>
      <c r="H519" s="8">
        <v>0</v>
      </c>
      <c r="I519" s="4">
        <v>0</v>
      </c>
    </row>
    <row r="520" spans="1:9" x14ac:dyDescent="0.2">
      <c r="A520" s="2">
        <v>16</v>
      </c>
      <c r="B520" s="1" t="s">
        <v>187</v>
      </c>
      <c r="C520" s="4">
        <v>2</v>
      </c>
      <c r="D520" s="8">
        <v>1.75</v>
      </c>
      <c r="E520" s="4">
        <v>2</v>
      </c>
      <c r="F520" s="8">
        <v>3.23</v>
      </c>
      <c r="G520" s="4">
        <v>0</v>
      </c>
      <c r="H520" s="8">
        <v>0</v>
      </c>
      <c r="I520" s="4">
        <v>0</v>
      </c>
    </row>
    <row r="521" spans="1:9" x14ac:dyDescent="0.2">
      <c r="A521" s="2">
        <v>16</v>
      </c>
      <c r="B521" s="1" t="s">
        <v>198</v>
      </c>
      <c r="C521" s="4">
        <v>2</v>
      </c>
      <c r="D521" s="8">
        <v>1.75</v>
      </c>
      <c r="E521" s="4">
        <v>1</v>
      </c>
      <c r="F521" s="8">
        <v>1.61</v>
      </c>
      <c r="G521" s="4">
        <v>1</v>
      </c>
      <c r="H521" s="8">
        <v>2.2200000000000002</v>
      </c>
      <c r="I521" s="4">
        <v>0</v>
      </c>
    </row>
    <row r="522" spans="1:9" x14ac:dyDescent="0.2">
      <c r="A522" s="2">
        <v>16</v>
      </c>
      <c r="B522" s="1" t="s">
        <v>191</v>
      </c>
      <c r="C522" s="4">
        <v>2</v>
      </c>
      <c r="D522" s="8">
        <v>1.75</v>
      </c>
      <c r="E522" s="4">
        <v>2</v>
      </c>
      <c r="F522" s="8">
        <v>3.23</v>
      </c>
      <c r="G522" s="4">
        <v>0</v>
      </c>
      <c r="H522" s="8">
        <v>0</v>
      </c>
      <c r="I522" s="4">
        <v>0</v>
      </c>
    </row>
    <row r="523" spans="1:9" x14ac:dyDescent="0.2">
      <c r="A523" s="1"/>
      <c r="C523" s="4"/>
      <c r="D523" s="8"/>
      <c r="E523" s="4"/>
      <c r="F523" s="8"/>
      <c r="G523" s="4"/>
      <c r="H523" s="8"/>
      <c r="I523" s="4"/>
    </row>
    <row r="524" spans="1:9" x14ac:dyDescent="0.2">
      <c r="A524" s="1" t="s">
        <v>22</v>
      </c>
      <c r="C524" s="4"/>
      <c r="D524" s="8"/>
      <c r="E524" s="4"/>
      <c r="F524" s="8"/>
      <c r="G524" s="4"/>
      <c r="H524" s="8"/>
      <c r="I524" s="4"/>
    </row>
    <row r="525" spans="1:9" x14ac:dyDescent="0.2">
      <c r="A525" s="2">
        <v>1</v>
      </c>
      <c r="B525" s="1" t="s">
        <v>185</v>
      </c>
      <c r="C525" s="4">
        <v>11</v>
      </c>
      <c r="D525" s="8">
        <v>16.420000000000002</v>
      </c>
      <c r="E525" s="4">
        <v>10</v>
      </c>
      <c r="F525" s="8">
        <v>26.32</v>
      </c>
      <c r="G525" s="4">
        <v>1</v>
      </c>
      <c r="H525" s="8">
        <v>3.7</v>
      </c>
      <c r="I525" s="4">
        <v>0</v>
      </c>
    </row>
    <row r="526" spans="1:9" x14ac:dyDescent="0.2">
      <c r="A526" s="2">
        <v>2</v>
      </c>
      <c r="B526" s="1" t="s">
        <v>216</v>
      </c>
      <c r="C526" s="4">
        <v>4</v>
      </c>
      <c r="D526" s="8">
        <v>5.97</v>
      </c>
      <c r="E526" s="4">
        <v>0</v>
      </c>
      <c r="F526" s="8">
        <v>0</v>
      </c>
      <c r="G526" s="4">
        <v>4</v>
      </c>
      <c r="H526" s="8">
        <v>14.81</v>
      </c>
      <c r="I526" s="4">
        <v>0</v>
      </c>
    </row>
    <row r="527" spans="1:9" x14ac:dyDescent="0.2">
      <c r="A527" s="2">
        <v>3</v>
      </c>
      <c r="B527" s="1" t="s">
        <v>186</v>
      </c>
      <c r="C527" s="4">
        <v>3</v>
      </c>
      <c r="D527" s="8">
        <v>4.4800000000000004</v>
      </c>
      <c r="E527" s="4">
        <v>2</v>
      </c>
      <c r="F527" s="8">
        <v>5.26</v>
      </c>
      <c r="G527" s="4">
        <v>1</v>
      </c>
      <c r="H527" s="8">
        <v>3.7</v>
      </c>
      <c r="I527" s="4">
        <v>0</v>
      </c>
    </row>
    <row r="528" spans="1:9" x14ac:dyDescent="0.2">
      <c r="A528" s="2">
        <v>3</v>
      </c>
      <c r="B528" s="1" t="s">
        <v>187</v>
      </c>
      <c r="C528" s="4">
        <v>3</v>
      </c>
      <c r="D528" s="8">
        <v>4.4800000000000004</v>
      </c>
      <c r="E528" s="4">
        <v>3</v>
      </c>
      <c r="F528" s="8">
        <v>7.89</v>
      </c>
      <c r="G528" s="4">
        <v>0</v>
      </c>
      <c r="H528" s="8">
        <v>0</v>
      </c>
      <c r="I528" s="4">
        <v>0</v>
      </c>
    </row>
    <row r="529" spans="1:9" x14ac:dyDescent="0.2">
      <c r="A529" s="2">
        <v>3</v>
      </c>
      <c r="B529" s="1" t="s">
        <v>190</v>
      </c>
      <c r="C529" s="4">
        <v>3</v>
      </c>
      <c r="D529" s="8">
        <v>4.4800000000000004</v>
      </c>
      <c r="E529" s="4">
        <v>3</v>
      </c>
      <c r="F529" s="8">
        <v>7.89</v>
      </c>
      <c r="G529" s="4">
        <v>0</v>
      </c>
      <c r="H529" s="8">
        <v>0</v>
      </c>
      <c r="I529" s="4">
        <v>0</v>
      </c>
    </row>
    <row r="530" spans="1:9" x14ac:dyDescent="0.2">
      <c r="A530" s="2">
        <v>6</v>
      </c>
      <c r="B530" s="1" t="s">
        <v>210</v>
      </c>
      <c r="C530" s="4">
        <v>2</v>
      </c>
      <c r="D530" s="8">
        <v>2.99</v>
      </c>
      <c r="E530" s="4">
        <v>2</v>
      </c>
      <c r="F530" s="8">
        <v>5.26</v>
      </c>
      <c r="G530" s="4">
        <v>0</v>
      </c>
      <c r="H530" s="8">
        <v>0</v>
      </c>
      <c r="I530" s="4">
        <v>0</v>
      </c>
    </row>
    <row r="531" spans="1:9" x14ac:dyDescent="0.2">
      <c r="A531" s="2">
        <v>6</v>
      </c>
      <c r="B531" s="1" t="s">
        <v>241</v>
      </c>
      <c r="C531" s="4">
        <v>2</v>
      </c>
      <c r="D531" s="8">
        <v>2.99</v>
      </c>
      <c r="E531" s="4">
        <v>0</v>
      </c>
      <c r="F531" s="8">
        <v>0</v>
      </c>
      <c r="G531" s="4">
        <v>2</v>
      </c>
      <c r="H531" s="8">
        <v>7.41</v>
      </c>
      <c r="I531" s="4">
        <v>0</v>
      </c>
    </row>
    <row r="532" spans="1:9" x14ac:dyDescent="0.2">
      <c r="A532" s="2">
        <v>6</v>
      </c>
      <c r="B532" s="1" t="s">
        <v>227</v>
      </c>
      <c r="C532" s="4">
        <v>2</v>
      </c>
      <c r="D532" s="8">
        <v>2.99</v>
      </c>
      <c r="E532" s="4">
        <v>2</v>
      </c>
      <c r="F532" s="8">
        <v>5.26</v>
      </c>
      <c r="G532" s="4">
        <v>0</v>
      </c>
      <c r="H532" s="8">
        <v>0</v>
      </c>
      <c r="I532" s="4">
        <v>0</v>
      </c>
    </row>
    <row r="533" spans="1:9" x14ac:dyDescent="0.2">
      <c r="A533" s="2">
        <v>6</v>
      </c>
      <c r="B533" s="1" t="s">
        <v>181</v>
      </c>
      <c r="C533" s="4">
        <v>2</v>
      </c>
      <c r="D533" s="8">
        <v>2.99</v>
      </c>
      <c r="E533" s="4">
        <v>1</v>
      </c>
      <c r="F533" s="8">
        <v>2.63</v>
      </c>
      <c r="G533" s="4">
        <v>1</v>
      </c>
      <c r="H533" s="8">
        <v>3.7</v>
      </c>
      <c r="I533" s="4">
        <v>0</v>
      </c>
    </row>
    <row r="534" spans="1:9" x14ac:dyDescent="0.2">
      <c r="A534" s="2">
        <v>6</v>
      </c>
      <c r="B534" s="1" t="s">
        <v>247</v>
      </c>
      <c r="C534" s="4">
        <v>2</v>
      </c>
      <c r="D534" s="8">
        <v>2.99</v>
      </c>
      <c r="E534" s="4">
        <v>1</v>
      </c>
      <c r="F534" s="8">
        <v>2.63</v>
      </c>
      <c r="G534" s="4">
        <v>1</v>
      </c>
      <c r="H534" s="8">
        <v>3.7</v>
      </c>
      <c r="I534" s="4">
        <v>0</v>
      </c>
    </row>
    <row r="535" spans="1:9" x14ac:dyDescent="0.2">
      <c r="A535" s="2">
        <v>6</v>
      </c>
      <c r="B535" s="1" t="s">
        <v>200</v>
      </c>
      <c r="C535" s="4">
        <v>2</v>
      </c>
      <c r="D535" s="8">
        <v>2.99</v>
      </c>
      <c r="E535" s="4">
        <v>1</v>
      </c>
      <c r="F535" s="8">
        <v>2.63</v>
      </c>
      <c r="G535" s="4">
        <v>1</v>
      </c>
      <c r="H535" s="8">
        <v>3.7</v>
      </c>
      <c r="I535" s="4">
        <v>0</v>
      </c>
    </row>
    <row r="536" spans="1:9" x14ac:dyDescent="0.2">
      <c r="A536" s="2">
        <v>12</v>
      </c>
      <c r="B536" s="1" t="s">
        <v>174</v>
      </c>
      <c r="C536" s="4">
        <v>1</v>
      </c>
      <c r="D536" s="8">
        <v>1.49</v>
      </c>
      <c r="E536" s="4">
        <v>0</v>
      </c>
      <c r="F536" s="8">
        <v>0</v>
      </c>
      <c r="G536" s="4">
        <v>1</v>
      </c>
      <c r="H536" s="8">
        <v>3.7</v>
      </c>
      <c r="I536" s="4">
        <v>0</v>
      </c>
    </row>
    <row r="537" spans="1:9" x14ac:dyDescent="0.2">
      <c r="A537" s="2">
        <v>12</v>
      </c>
      <c r="B537" s="1" t="s">
        <v>175</v>
      </c>
      <c r="C537" s="4">
        <v>1</v>
      </c>
      <c r="D537" s="8">
        <v>1.49</v>
      </c>
      <c r="E537" s="4">
        <v>0</v>
      </c>
      <c r="F537" s="8">
        <v>0</v>
      </c>
      <c r="G537" s="4">
        <v>1</v>
      </c>
      <c r="H537" s="8">
        <v>3.7</v>
      </c>
      <c r="I537" s="4">
        <v>0</v>
      </c>
    </row>
    <row r="538" spans="1:9" x14ac:dyDescent="0.2">
      <c r="A538" s="2">
        <v>12</v>
      </c>
      <c r="B538" s="1" t="s">
        <v>176</v>
      </c>
      <c r="C538" s="4">
        <v>1</v>
      </c>
      <c r="D538" s="8">
        <v>1.49</v>
      </c>
      <c r="E538" s="4">
        <v>1</v>
      </c>
      <c r="F538" s="8">
        <v>2.63</v>
      </c>
      <c r="G538" s="4">
        <v>0</v>
      </c>
      <c r="H538" s="8">
        <v>0</v>
      </c>
      <c r="I538" s="4">
        <v>0</v>
      </c>
    </row>
    <row r="539" spans="1:9" x14ac:dyDescent="0.2">
      <c r="A539" s="2">
        <v>12</v>
      </c>
      <c r="B539" s="1" t="s">
        <v>224</v>
      </c>
      <c r="C539" s="4">
        <v>1</v>
      </c>
      <c r="D539" s="8">
        <v>1.49</v>
      </c>
      <c r="E539" s="4">
        <v>1</v>
      </c>
      <c r="F539" s="8">
        <v>2.63</v>
      </c>
      <c r="G539" s="4">
        <v>0</v>
      </c>
      <c r="H539" s="8">
        <v>0</v>
      </c>
      <c r="I539" s="4">
        <v>0</v>
      </c>
    </row>
    <row r="540" spans="1:9" x14ac:dyDescent="0.2">
      <c r="A540" s="2">
        <v>12</v>
      </c>
      <c r="B540" s="1" t="s">
        <v>178</v>
      </c>
      <c r="C540" s="4">
        <v>1</v>
      </c>
      <c r="D540" s="8">
        <v>1.49</v>
      </c>
      <c r="E540" s="4">
        <v>0</v>
      </c>
      <c r="F540" s="8">
        <v>0</v>
      </c>
      <c r="G540" s="4">
        <v>1</v>
      </c>
      <c r="H540" s="8">
        <v>3.7</v>
      </c>
      <c r="I540" s="4">
        <v>0</v>
      </c>
    </row>
    <row r="541" spans="1:9" x14ac:dyDescent="0.2">
      <c r="A541" s="2">
        <v>12</v>
      </c>
      <c r="B541" s="1" t="s">
        <v>235</v>
      </c>
      <c r="C541" s="4">
        <v>1</v>
      </c>
      <c r="D541" s="8">
        <v>1.49</v>
      </c>
      <c r="E541" s="4">
        <v>0</v>
      </c>
      <c r="F541" s="8">
        <v>0</v>
      </c>
      <c r="G541" s="4">
        <v>1</v>
      </c>
      <c r="H541" s="8">
        <v>3.7</v>
      </c>
      <c r="I541" s="4">
        <v>0</v>
      </c>
    </row>
    <row r="542" spans="1:9" x14ac:dyDescent="0.2">
      <c r="A542" s="2">
        <v>12</v>
      </c>
      <c r="B542" s="1" t="s">
        <v>236</v>
      </c>
      <c r="C542" s="4">
        <v>1</v>
      </c>
      <c r="D542" s="8">
        <v>1.49</v>
      </c>
      <c r="E542" s="4">
        <v>1</v>
      </c>
      <c r="F542" s="8">
        <v>2.63</v>
      </c>
      <c r="G542" s="4">
        <v>0</v>
      </c>
      <c r="H542" s="8">
        <v>0</v>
      </c>
      <c r="I542" s="4">
        <v>0</v>
      </c>
    </row>
    <row r="543" spans="1:9" x14ac:dyDescent="0.2">
      <c r="A543" s="2">
        <v>12</v>
      </c>
      <c r="B543" s="1" t="s">
        <v>237</v>
      </c>
      <c r="C543" s="4">
        <v>1</v>
      </c>
      <c r="D543" s="8">
        <v>1.49</v>
      </c>
      <c r="E543" s="4">
        <v>0</v>
      </c>
      <c r="F543" s="8">
        <v>0</v>
      </c>
      <c r="G543" s="4">
        <v>1</v>
      </c>
      <c r="H543" s="8">
        <v>3.7</v>
      </c>
      <c r="I543" s="4">
        <v>0</v>
      </c>
    </row>
    <row r="544" spans="1:9" x14ac:dyDescent="0.2">
      <c r="A544" s="2">
        <v>12</v>
      </c>
      <c r="B544" s="1" t="s">
        <v>238</v>
      </c>
      <c r="C544" s="4">
        <v>1</v>
      </c>
      <c r="D544" s="8">
        <v>1.49</v>
      </c>
      <c r="E544" s="4">
        <v>0</v>
      </c>
      <c r="F544" s="8">
        <v>0</v>
      </c>
      <c r="G544" s="4">
        <v>1</v>
      </c>
      <c r="H544" s="8">
        <v>3.7</v>
      </c>
      <c r="I544" s="4">
        <v>0</v>
      </c>
    </row>
    <row r="545" spans="1:9" x14ac:dyDescent="0.2">
      <c r="A545" s="2">
        <v>12</v>
      </c>
      <c r="B545" s="1" t="s">
        <v>239</v>
      </c>
      <c r="C545" s="4">
        <v>1</v>
      </c>
      <c r="D545" s="8">
        <v>1.49</v>
      </c>
      <c r="E545" s="4">
        <v>0</v>
      </c>
      <c r="F545" s="8">
        <v>0</v>
      </c>
      <c r="G545" s="4">
        <v>0</v>
      </c>
      <c r="H545" s="8">
        <v>0</v>
      </c>
      <c r="I545" s="4">
        <v>0</v>
      </c>
    </row>
    <row r="546" spans="1:9" x14ac:dyDescent="0.2">
      <c r="A546" s="2">
        <v>12</v>
      </c>
      <c r="B546" s="1" t="s">
        <v>240</v>
      </c>
      <c r="C546" s="4">
        <v>1</v>
      </c>
      <c r="D546" s="8">
        <v>1.49</v>
      </c>
      <c r="E546" s="4">
        <v>0</v>
      </c>
      <c r="F546" s="8">
        <v>0</v>
      </c>
      <c r="G546" s="4">
        <v>1</v>
      </c>
      <c r="H546" s="8">
        <v>3.7</v>
      </c>
      <c r="I546" s="4">
        <v>0</v>
      </c>
    </row>
    <row r="547" spans="1:9" x14ac:dyDescent="0.2">
      <c r="A547" s="2">
        <v>12</v>
      </c>
      <c r="B547" s="1" t="s">
        <v>213</v>
      </c>
      <c r="C547" s="4">
        <v>1</v>
      </c>
      <c r="D547" s="8">
        <v>1.49</v>
      </c>
      <c r="E547" s="4">
        <v>0</v>
      </c>
      <c r="F547" s="8">
        <v>0</v>
      </c>
      <c r="G547" s="4">
        <v>1</v>
      </c>
      <c r="H547" s="8">
        <v>3.7</v>
      </c>
      <c r="I547" s="4">
        <v>0</v>
      </c>
    </row>
    <row r="548" spans="1:9" x14ac:dyDescent="0.2">
      <c r="A548" s="2">
        <v>12</v>
      </c>
      <c r="B548" s="1" t="s">
        <v>225</v>
      </c>
      <c r="C548" s="4">
        <v>1</v>
      </c>
      <c r="D548" s="8">
        <v>1.49</v>
      </c>
      <c r="E548" s="4">
        <v>0</v>
      </c>
      <c r="F548" s="8">
        <v>0</v>
      </c>
      <c r="G548" s="4">
        <v>1</v>
      </c>
      <c r="H548" s="8">
        <v>3.7</v>
      </c>
      <c r="I548" s="4">
        <v>0</v>
      </c>
    </row>
    <row r="549" spans="1:9" x14ac:dyDescent="0.2">
      <c r="A549" s="2">
        <v>12</v>
      </c>
      <c r="B549" s="1" t="s">
        <v>206</v>
      </c>
      <c r="C549" s="4">
        <v>1</v>
      </c>
      <c r="D549" s="8">
        <v>1.49</v>
      </c>
      <c r="E549" s="4">
        <v>0</v>
      </c>
      <c r="F549" s="8">
        <v>0</v>
      </c>
      <c r="G549" s="4">
        <v>1</v>
      </c>
      <c r="H549" s="8">
        <v>3.7</v>
      </c>
      <c r="I549" s="4">
        <v>0</v>
      </c>
    </row>
    <row r="550" spans="1:9" x14ac:dyDescent="0.2">
      <c r="A550" s="2">
        <v>12</v>
      </c>
      <c r="B550" s="1" t="s">
        <v>180</v>
      </c>
      <c r="C550" s="4">
        <v>1</v>
      </c>
      <c r="D550" s="8">
        <v>1.49</v>
      </c>
      <c r="E550" s="4">
        <v>1</v>
      </c>
      <c r="F550" s="8">
        <v>2.63</v>
      </c>
      <c r="G550" s="4">
        <v>0</v>
      </c>
      <c r="H550" s="8">
        <v>0</v>
      </c>
      <c r="I550" s="4">
        <v>0</v>
      </c>
    </row>
    <row r="551" spans="1:9" x14ac:dyDescent="0.2">
      <c r="A551" s="2">
        <v>12</v>
      </c>
      <c r="B551" s="1" t="s">
        <v>215</v>
      </c>
      <c r="C551" s="4">
        <v>1</v>
      </c>
      <c r="D551" s="8">
        <v>1.49</v>
      </c>
      <c r="E551" s="4">
        <v>0</v>
      </c>
      <c r="F551" s="8">
        <v>0</v>
      </c>
      <c r="G551" s="4">
        <v>1</v>
      </c>
      <c r="H551" s="8">
        <v>3.7</v>
      </c>
      <c r="I551" s="4">
        <v>0</v>
      </c>
    </row>
    <row r="552" spans="1:9" x14ac:dyDescent="0.2">
      <c r="A552" s="2">
        <v>12</v>
      </c>
      <c r="B552" s="1" t="s">
        <v>242</v>
      </c>
      <c r="C552" s="4">
        <v>1</v>
      </c>
      <c r="D552" s="8">
        <v>1.49</v>
      </c>
      <c r="E552" s="4">
        <v>1</v>
      </c>
      <c r="F552" s="8">
        <v>2.63</v>
      </c>
      <c r="G552" s="4">
        <v>0</v>
      </c>
      <c r="H552" s="8">
        <v>0</v>
      </c>
      <c r="I552" s="4">
        <v>0</v>
      </c>
    </row>
    <row r="553" spans="1:9" x14ac:dyDescent="0.2">
      <c r="A553" s="2">
        <v>12</v>
      </c>
      <c r="B553" s="1" t="s">
        <v>243</v>
      </c>
      <c r="C553" s="4">
        <v>1</v>
      </c>
      <c r="D553" s="8">
        <v>1.49</v>
      </c>
      <c r="E553" s="4">
        <v>1</v>
      </c>
      <c r="F553" s="8">
        <v>2.63</v>
      </c>
      <c r="G553" s="4">
        <v>0</v>
      </c>
      <c r="H553" s="8">
        <v>0</v>
      </c>
      <c r="I553" s="4">
        <v>0</v>
      </c>
    </row>
    <row r="554" spans="1:9" x14ac:dyDescent="0.2">
      <c r="A554" s="2">
        <v>12</v>
      </c>
      <c r="B554" s="1" t="s">
        <v>183</v>
      </c>
      <c r="C554" s="4">
        <v>1</v>
      </c>
      <c r="D554" s="8">
        <v>1.49</v>
      </c>
      <c r="E554" s="4">
        <v>0</v>
      </c>
      <c r="F554" s="8">
        <v>0</v>
      </c>
      <c r="G554" s="4">
        <v>1</v>
      </c>
      <c r="H554" s="8">
        <v>3.7</v>
      </c>
      <c r="I554" s="4">
        <v>0</v>
      </c>
    </row>
    <row r="555" spans="1:9" x14ac:dyDescent="0.2">
      <c r="A555" s="2">
        <v>12</v>
      </c>
      <c r="B555" s="1" t="s">
        <v>244</v>
      </c>
      <c r="C555" s="4">
        <v>1</v>
      </c>
      <c r="D555" s="8">
        <v>1.49</v>
      </c>
      <c r="E555" s="4">
        <v>0</v>
      </c>
      <c r="F555" s="8">
        <v>0</v>
      </c>
      <c r="G555" s="4">
        <v>1</v>
      </c>
      <c r="H555" s="8">
        <v>3.7</v>
      </c>
      <c r="I555" s="4">
        <v>0</v>
      </c>
    </row>
    <row r="556" spans="1:9" x14ac:dyDescent="0.2">
      <c r="A556" s="2">
        <v>12</v>
      </c>
      <c r="B556" s="1" t="s">
        <v>245</v>
      </c>
      <c r="C556" s="4">
        <v>1</v>
      </c>
      <c r="D556" s="8">
        <v>1.49</v>
      </c>
      <c r="E556" s="4">
        <v>1</v>
      </c>
      <c r="F556" s="8">
        <v>2.63</v>
      </c>
      <c r="G556" s="4">
        <v>0</v>
      </c>
      <c r="H556" s="8">
        <v>0</v>
      </c>
      <c r="I556" s="4">
        <v>0</v>
      </c>
    </row>
    <row r="557" spans="1:9" x14ac:dyDescent="0.2">
      <c r="A557" s="2">
        <v>12</v>
      </c>
      <c r="B557" s="1" t="s">
        <v>246</v>
      </c>
      <c r="C557" s="4">
        <v>1</v>
      </c>
      <c r="D557" s="8">
        <v>1.49</v>
      </c>
      <c r="E557" s="4">
        <v>0</v>
      </c>
      <c r="F557" s="8">
        <v>0</v>
      </c>
      <c r="G557" s="4">
        <v>1</v>
      </c>
      <c r="H557" s="8">
        <v>3.7</v>
      </c>
      <c r="I557" s="4">
        <v>0</v>
      </c>
    </row>
    <row r="558" spans="1:9" x14ac:dyDescent="0.2">
      <c r="A558" s="2">
        <v>12</v>
      </c>
      <c r="B558" s="1" t="s">
        <v>198</v>
      </c>
      <c r="C558" s="4">
        <v>1</v>
      </c>
      <c r="D558" s="8">
        <v>1.49</v>
      </c>
      <c r="E558" s="4">
        <v>1</v>
      </c>
      <c r="F558" s="8">
        <v>2.63</v>
      </c>
      <c r="G558" s="4">
        <v>0</v>
      </c>
      <c r="H558" s="8">
        <v>0</v>
      </c>
      <c r="I558" s="4">
        <v>0</v>
      </c>
    </row>
    <row r="559" spans="1:9" x14ac:dyDescent="0.2">
      <c r="A559" s="2">
        <v>12</v>
      </c>
      <c r="B559" s="1" t="s">
        <v>248</v>
      </c>
      <c r="C559" s="4">
        <v>1</v>
      </c>
      <c r="D559" s="8">
        <v>1.49</v>
      </c>
      <c r="E559" s="4">
        <v>1</v>
      </c>
      <c r="F559" s="8">
        <v>2.63</v>
      </c>
      <c r="G559" s="4">
        <v>0</v>
      </c>
      <c r="H559" s="8">
        <v>0</v>
      </c>
      <c r="I559" s="4">
        <v>0</v>
      </c>
    </row>
    <row r="560" spans="1:9" x14ac:dyDescent="0.2">
      <c r="A560" s="2">
        <v>12</v>
      </c>
      <c r="B560" s="1" t="s">
        <v>191</v>
      </c>
      <c r="C560" s="4">
        <v>1</v>
      </c>
      <c r="D560" s="8">
        <v>1.49</v>
      </c>
      <c r="E560" s="4">
        <v>1</v>
      </c>
      <c r="F560" s="8">
        <v>2.63</v>
      </c>
      <c r="G560" s="4">
        <v>0</v>
      </c>
      <c r="H560" s="8">
        <v>0</v>
      </c>
      <c r="I560" s="4">
        <v>0</v>
      </c>
    </row>
    <row r="561" spans="1:9" x14ac:dyDescent="0.2">
      <c r="A561" s="2">
        <v>12</v>
      </c>
      <c r="B561" s="1" t="s">
        <v>249</v>
      </c>
      <c r="C561" s="4">
        <v>1</v>
      </c>
      <c r="D561" s="8">
        <v>1.49</v>
      </c>
      <c r="E561" s="4">
        <v>1</v>
      </c>
      <c r="F561" s="8">
        <v>2.63</v>
      </c>
      <c r="G561" s="4">
        <v>0</v>
      </c>
      <c r="H561" s="8">
        <v>0</v>
      </c>
      <c r="I561" s="4">
        <v>0</v>
      </c>
    </row>
    <row r="562" spans="1:9" x14ac:dyDescent="0.2">
      <c r="A562" s="2">
        <v>12</v>
      </c>
      <c r="B562" s="1" t="s">
        <v>223</v>
      </c>
      <c r="C562" s="4">
        <v>1</v>
      </c>
      <c r="D562" s="8">
        <v>1.49</v>
      </c>
      <c r="E562" s="4">
        <v>0</v>
      </c>
      <c r="F562" s="8">
        <v>0</v>
      </c>
      <c r="G562" s="4">
        <v>0</v>
      </c>
      <c r="H562" s="8">
        <v>0</v>
      </c>
      <c r="I562" s="4">
        <v>0</v>
      </c>
    </row>
    <row r="563" spans="1:9" x14ac:dyDescent="0.2">
      <c r="A563" s="2">
        <v>12</v>
      </c>
      <c r="B563" s="1" t="s">
        <v>192</v>
      </c>
      <c r="C563" s="4">
        <v>1</v>
      </c>
      <c r="D563" s="8">
        <v>1.49</v>
      </c>
      <c r="E563" s="4">
        <v>1</v>
      </c>
      <c r="F563" s="8">
        <v>2.63</v>
      </c>
      <c r="G563" s="4">
        <v>0</v>
      </c>
      <c r="H563" s="8">
        <v>0</v>
      </c>
      <c r="I563" s="4">
        <v>0</v>
      </c>
    </row>
    <row r="564" spans="1:9" x14ac:dyDescent="0.2">
      <c r="A564" s="2">
        <v>12</v>
      </c>
      <c r="B564" s="1" t="s">
        <v>193</v>
      </c>
      <c r="C564" s="4">
        <v>1</v>
      </c>
      <c r="D564" s="8">
        <v>1.49</v>
      </c>
      <c r="E564" s="4">
        <v>1</v>
      </c>
      <c r="F564" s="8">
        <v>2.63</v>
      </c>
      <c r="G564" s="4">
        <v>0</v>
      </c>
      <c r="H564" s="8">
        <v>0</v>
      </c>
      <c r="I564" s="4">
        <v>0</v>
      </c>
    </row>
    <row r="565" spans="1:9" x14ac:dyDescent="0.2">
      <c r="A565" s="2">
        <v>12</v>
      </c>
      <c r="B565" s="1" t="s">
        <v>250</v>
      </c>
      <c r="C565" s="4">
        <v>1</v>
      </c>
      <c r="D565" s="8">
        <v>1.49</v>
      </c>
      <c r="E565" s="4">
        <v>0</v>
      </c>
      <c r="F565" s="8">
        <v>0</v>
      </c>
      <c r="G565" s="4">
        <v>1</v>
      </c>
      <c r="H565" s="8">
        <v>3.7</v>
      </c>
      <c r="I565" s="4">
        <v>0</v>
      </c>
    </row>
    <row r="566" spans="1:9" x14ac:dyDescent="0.2">
      <c r="A566" s="2">
        <v>12</v>
      </c>
      <c r="B566" s="1" t="s">
        <v>251</v>
      </c>
      <c r="C566" s="4">
        <v>1</v>
      </c>
      <c r="D566" s="8">
        <v>1.49</v>
      </c>
      <c r="E566" s="4">
        <v>0</v>
      </c>
      <c r="F566" s="8">
        <v>0</v>
      </c>
      <c r="G566" s="4">
        <v>1</v>
      </c>
      <c r="H566" s="8">
        <v>3.7</v>
      </c>
      <c r="I566" s="4">
        <v>0</v>
      </c>
    </row>
    <row r="567" spans="1:9" x14ac:dyDescent="0.2">
      <c r="A567" s="1"/>
      <c r="C567" s="4"/>
      <c r="D567" s="8"/>
      <c r="E567" s="4"/>
      <c r="F567" s="8"/>
      <c r="G567" s="4"/>
      <c r="H567" s="8"/>
      <c r="I567" s="4"/>
    </row>
    <row r="568" spans="1:9" x14ac:dyDescent="0.2">
      <c r="A568" s="1" t="s">
        <v>23</v>
      </c>
      <c r="C568" s="4"/>
      <c r="D568" s="8"/>
      <c r="E568" s="4"/>
      <c r="F568" s="8"/>
      <c r="G568" s="4"/>
      <c r="H568" s="8"/>
      <c r="I568" s="4"/>
    </row>
    <row r="569" spans="1:9" x14ac:dyDescent="0.2">
      <c r="A569" s="2">
        <v>1</v>
      </c>
      <c r="B569" s="1" t="s">
        <v>176</v>
      </c>
      <c r="C569" s="4">
        <v>4</v>
      </c>
      <c r="D569" s="8">
        <v>9.3000000000000007</v>
      </c>
      <c r="E569" s="4">
        <v>2</v>
      </c>
      <c r="F569" s="8">
        <v>8.33</v>
      </c>
      <c r="G569" s="4">
        <v>2</v>
      </c>
      <c r="H569" s="8">
        <v>14.29</v>
      </c>
      <c r="I569" s="4">
        <v>0</v>
      </c>
    </row>
    <row r="570" spans="1:9" x14ac:dyDescent="0.2">
      <c r="A570" s="2">
        <v>2</v>
      </c>
      <c r="B570" s="1" t="s">
        <v>210</v>
      </c>
      <c r="C570" s="4">
        <v>3</v>
      </c>
      <c r="D570" s="8">
        <v>6.98</v>
      </c>
      <c r="E570" s="4">
        <v>2</v>
      </c>
      <c r="F570" s="8">
        <v>8.33</v>
      </c>
      <c r="G570" s="4">
        <v>1</v>
      </c>
      <c r="H570" s="8">
        <v>7.14</v>
      </c>
      <c r="I570" s="4">
        <v>0</v>
      </c>
    </row>
    <row r="571" spans="1:9" x14ac:dyDescent="0.2">
      <c r="A571" s="2">
        <v>2</v>
      </c>
      <c r="B571" s="1" t="s">
        <v>185</v>
      </c>
      <c r="C571" s="4">
        <v>3</v>
      </c>
      <c r="D571" s="8">
        <v>6.98</v>
      </c>
      <c r="E571" s="4">
        <v>2</v>
      </c>
      <c r="F571" s="8">
        <v>8.33</v>
      </c>
      <c r="G571" s="4">
        <v>1</v>
      </c>
      <c r="H571" s="8">
        <v>7.14</v>
      </c>
      <c r="I571" s="4">
        <v>0</v>
      </c>
    </row>
    <row r="572" spans="1:9" x14ac:dyDescent="0.2">
      <c r="A572" s="2">
        <v>4</v>
      </c>
      <c r="B572" s="1" t="s">
        <v>175</v>
      </c>
      <c r="C572" s="4">
        <v>2</v>
      </c>
      <c r="D572" s="8">
        <v>4.6500000000000004</v>
      </c>
      <c r="E572" s="4">
        <v>2</v>
      </c>
      <c r="F572" s="8">
        <v>8.33</v>
      </c>
      <c r="G572" s="4">
        <v>0</v>
      </c>
      <c r="H572" s="8">
        <v>0</v>
      </c>
      <c r="I572" s="4">
        <v>0</v>
      </c>
    </row>
    <row r="573" spans="1:9" x14ac:dyDescent="0.2">
      <c r="A573" s="2">
        <v>4</v>
      </c>
      <c r="B573" s="1" t="s">
        <v>179</v>
      </c>
      <c r="C573" s="4">
        <v>2</v>
      </c>
      <c r="D573" s="8">
        <v>4.6500000000000004</v>
      </c>
      <c r="E573" s="4">
        <v>2</v>
      </c>
      <c r="F573" s="8">
        <v>8.33</v>
      </c>
      <c r="G573" s="4">
        <v>0</v>
      </c>
      <c r="H573" s="8">
        <v>0</v>
      </c>
      <c r="I573" s="4">
        <v>0</v>
      </c>
    </row>
    <row r="574" spans="1:9" x14ac:dyDescent="0.2">
      <c r="A574" s="2">
        <v>4</v>
      </c>
      <c r="B574" s="1" t="s">
        <v>216</v>
      </c>
      <c r="C574" s="4">
        <v>2</v>
      </c>
      <c r="D574" s="8">
        <v>4.6500000000000004</v>
      </c>
      <c r="E574" s="4">
        <v>0</v>
      </c>
      <c r="F574" s="8">
        <v>0</v>
      </c>
      <c r="G574" s="4">
        <v>2</v>
      </c>
      <c r="H574" s="8">
        <v>14.29</v>
      </c>
      <c r="I574" s="4">
        <v>0</v>
      </c>
    </row>
    <row r="575" spans="1:9" x14ac:dyDescent="0.2">
      <c r="A575" s="2">
        <v>4</v>
      </c>
      <c r="B575" s="1" t="s">
        <v>234</v>
      </c>
      <c r="C575" s="4">
        <v>2</v>
      </c>
      <c r="D575" s="8">
        <v>4.6500000000000004</v>
      </c>
      <c r="E575" s="4">
        <v>0</v>
      </c>
      <c r="F575" s="8">
        <v>0</v>
      </c>
      <c r="G575" s="4">
        <v>2</v>
      </c>
      <c r="H575" s="8">
        <v>14.29</v>
      </c>
      <c r="I575" s="4">
        <v>0</v>
      </c>
    </row>
    <row r="576" spans="1:9" x14ac:dyDescent="0.2">
      <c r="A576" s="2">
        <v>4</v>
      </c>
      <c r="B576" s="1" t="s">
        <v>191</v>
      </c>
      <c r="C576" s="4">
        <v>2</v>
      </c>
      <c r="D576" s="8">
        <v>4.6500000000000004</v>
      </c>
      <c r="E576" s="4">
        <v>2</v>
      </c>
      <c r="F576" s="8">
        <v>8.33</v>
      </c>
      <c r="G576" s="4">
        <v>0</v>
      </c>
      <c r="H576" s="8">
        <v>0</v>
      </c>
      <c r="I576" s="4">
        <v>0</v>
      </c>
    </row>
    <row r="577" spans="1:9" x14ac:dyDescent="0.2">
      <c r="A577" s="2">
        <v>4</v>
      </c>
      <c r="B577" s="1" t="s">
        <v>223</v>
      </c>
      <c r="C577" s="4">
        <v>2</v>
      </c>
      <c r="D577" s="8">
        <v>4.6500000000000004</v>
      </c>
      <c r="E577" s="4">
        <v>0</v>
      </c>
      <c r="F577" s="8">
        <v>0</v>
      </c>
      <c r="G577" s="4">
        <v>0</v>
      </c>
      <c r="H577" s="8">
        <v>0</v>
      </c>
      <c r="I577" s="4">
        <v>0</v>
      </c>
    </row>
    <row r="578" spans="1:9" x14ac:dyDescent="0.2">
      <c r="A578" s="2">
        <v>10</v>
      </c>
      <c r="B578" s="1" t="s">
        <v>252</v>
      </c>
      <c r="C578" s="4">
        <v>1</v>
      </c>
      <c r="D578" s="8">
        <v>2.33</v>
      </c>
      <c r="E578" s="4">
        <v>1</v>
      </c>
      <c r="F578" s="8">
        <v>4.17</v>
      </c>
      <c r="G578" s="4">
        <v>0</v>
      </c>
      <c r="H578" s="8">
        <v>0</v>
      </c>
      <c r="I578" s="4">
        <v>0</v>
      </c>
    </row>
    <row r="579" spans="1:9" x14ac:dyDescent="0.2">
      <c r="A579" s="2">
        <v>10</v>
      </c>
      <c r="B579" s="1" t="s">
        <v>174</v>
      </c>
      <c r="C579" s="4">
        <v>1</v>
      </c>
      <c r="D579" s="8">
        <v>2.33</v>
      </c>
      <c r="E579" s="4">
        <v>0</v>
      </c>
      <c r="F579" s="8">
        <v>0</v>
      </c>
      <c r="G579" s="4">
        <v>1</v>
      </c>
      <c r="H579" s="8">
        <v>7.14</v>
      </c>
      <c r="I579" s="4">
        <v>0</v>
      </c>
    </row>
    <row r="580" spans="1:9" x14ac:dyDescent="0.2">
      <c r="A580" s="2">
        <v>10</v>
      </c>
      <c r="B580" s="1" t="s">
        <v>253</v>
      </c>
      <c r="C580" s="4">
        <v>1</v>
      </c>
      <c r="D580" s="8">
        <v>2.33</v>
      </c>
      <c r="E580" s="4">
        <v>1</v>
      </c>
      <c r="F580" s="8">
        <v>4.17</v>
      </c>
      <c r="G580" s="4">
        <v>0</v>
      </c>
      <c r="H580" s="8">
        <v>0</v>
      </c>
      <c r="I580" s="4">
        <v>0</v>
      </c>
    </row>
    <row r="581" spans="1:9" x14ac:dyDescent="0.2">
      <c r="A581" s="2">
        <v>10</v>
      </c>
      <c r="B581" s="1" t="s">
        <v>177</v>
      </c>
      <c r="C581" s="4">
        <v>1</v>
      </c>
      <c r="D581" s="8">
        <v>2.33</v>
      </c>
      <c r="E581" s="4">
        <v>1</v>
      </c>
      <c r="F581" s="8">
        <v>4.17</v>
      </c>
      <c r="G581" s="4">
        <v>0</v>
      </c>
      <c r="H581" s="8">
        <v>0</v>
      </c>
      <c r="I581" s="4">
        <v>0</v>
      </c>
    </row>
    <row r="582" spans="1:9" x14ac:dyDescent="0.2">
      <c r="A582" s="2">
        <v>10</v>
      </c>
      <c r="B582" s="1" t="s">
        <v>178</v>
      </c>
      <c r="C582" s="4">
        <v>1</v>
      </c>
      <c r="D582" s="8">
        <v>2.33</v>
      </c>
      <c r="E582" s="4">
        <v>1</v>
      </c>
      <c r="F582" s="8">
        <v>4.17</v>
      </c>
      <c r="G582" s="4">
        <v>0</v>
      </c>
      <c r="H582" s="8">
        <v>0</v>
      </c>
      <c r="I582" s="4">
        <v>0</v>
      </c>
    </row>
    <row r="583" spans="1:9" x14ac:dyDescent="0.2">
      <c r="A583" s="2">
        <v>10</v>
      </c>
      <c r="B583" s="1" t="s">
        <v>230</v>
      </c>
      <c r="C583" s="4">
        <v>1</v>
      </c>
      <c r="D583" s="8">
        <v>2.33</v>
      </c>
      <c r="E583" s="4">
        <v>1</v>
      </c>
      <c r="F583" s="8">
        <v>4.17</v>
      </c>
      <c r="G583" s="4">
        <v>0</v>
      </c>
      <c r="H583" s="8">
        <v>0</v>
      </c>
      <c r="I583" s="4">
        <v>0</v>
      </c>
    </row>
    <row r="584" spans="1:9" x14ac:dyDescent="0.2">
      <c r="A584" s="2">
        <v>10</v>
      </c>
      <c r="B584" s="1" t="s">
        <v>254</v>
      </c>
      <c r="C584" s="4">
        <v>1</v>
      </c>
      <c r="D584" s="8">
        <v>2.33</v>
      </c>
      <c r="E584" s="4">
        <v>1</v>
      </c>
      <c r="F584" s="8">
        <v>4.17</v>
      </c>
      <c r="G584" s="4">
        <v>0</v>
      </c>
      <c r="H584" s="8">
        <v>0</v>
      </c>
      <c r="I584" s="4">
        <v>0</v>
      </c>
    </row>
    <row r="585" spans="1:9" x14ac:dyDescent="0.2">
      <c r="A585" s="2">
        <v>10</v>
      </c>
      <c r="B585" s="1" t="s">
        <v>239</v>
      </c>
      <c r="C585" s="4">
        <v>1</v>
      </c>
      <c r="D585" s="8">
        <v>2.33</v>
      </c>
      <c r="E585" s="4">
        <v>0</v>
      </c>
      <c r="F585" s="8">
        <v>0</v>
      </c>
      <c r="G585" s="4">
        <v>0</v>
      </c>
      <c r="H585" s="8">
        <v>0</v>
      </c>
      <c r="I585" s="4">
        <v>0</v>
      </c>
    </row>
    <row r="586" spans="1:9" x14ac:dyDescent="0.2">
      <c r="A586" s="2">
        <v>10</v>
      </c>
      <c r="B586" s="1" t="s">
        <v>255</v>
      </c>
      <c r="C586" s="4">
        <v>1</v>
      </c>
      <c r="D586" s="8">
        <v>2.33</v>
      </c>
      <c r="E586" s="4">
        <v>0</v>
      </c>
      <c r="F586" s="8">
        <v>0</v>
      </c>
      <c r="G586" s="4">
        <v>0</v>
      </c>
      <c r="H586" s="8">
        <v>0</v>
      </c>
      <c r="I586" s="4">
        <v>0</v>
      </c>
    </row>
    <row r="587" spans="1:9" x14ac:dyDescent="0.2">
      <c r="A587" s="2">
        <v>10</v>
      </c>
      <c r="B587" s="1" t="s">
        <v>240</v>
      </c>
      <c r="C587" s="4">
        <v>1</v>
      </c>
      <c r="D587" s="8">
        <v>2.33</v>
      </c>
      <c r="E587" s="4">
        <v>0</v>
      </c>
      <c r="F587" s="8">
        <v>0</v>
      </c>
      <c r="G587" s="4">
        <v>1</v>
      </c>
      <c r="H587" s="8">
        <v>7.14</v>
      </c>
      <c r="I587" s="4">
        <v>0</v>
      </c>
    </row>
    <row r="588" spans="1:9" x14ac:dyDescent="0.2">
      <c r="A588" s="2">
        <v>10</v>
      </c>
      <c r="B588" s="1" t="s">
        <v>225</v>
      </c>
      <c r="C588" s="4">
        <v>1</v>
      </c>
      <c r="D588" s="8">
        <v>2.33</v>
      </c>
      <c r="E588" s="4">
        <v>0</v>
      </c>
      <c r="F588" s="8">
        <v>0</v>
      </c>
      <c r="G588" s="4">
        <v>1</v>
      </c>
      <c r="H588" s="8">
        <v>7.14</v>
      </c>
      <c r="I588" s="4">
        <v>0</v>
      </c>
    </row>
    <row r="589" spans="1:9" x14ac:dyDescent="0.2">
      <c r="A589" s="2">
        <v>10</v>
      </c>
      <c r="B589" s="1" t="s">
        <v>214</v>
      </c>
      <c r="C589" s="4">
        <v>1</v>
      </c>
      <c r="D589" s="8">
        <v>2.33</v>
      </c>
      <c r="E589" s="4">
        <v>1</v>
      </c>
      <c r="F589" s="8">
        <v>4.17</v>
      </c>
      <c r="G589" s="4">
        <v>0</v>
      </c>
      <c r="H589" s="8">
        <v>0</v>
      </c>
      <c r="I589" s="4">
        <v>0</v>
      </c>
    </row>
    <row r="590" spans="1:9" x14ac:dyDescent="0.2">
      <c r="A590" s="2">
        <v>10</v>
      </c>
      <c r="B590" s="1" t="s">
        <v>222</v>
      </c>
      <c r="C590" s="4">
        <v>1</v>
      </c>
      <c r="D590" s="8">
        <v>2.33</v>
      </c>
      <c r="E590" s="4">
        <v>1</v>
      </c>
      <c r="F590" s="8">
        <v>4.17</v>
      </c>
      <c r="G590" s="4">
        <v>0</v>
      </c>
      <c r="H590" s="8">
        <v>0</v>
      </c>
      <c r="I590" s="4">
        <v>0</v>
      </c>
    </row>
    <row r="591" spans="1:9" x14ac:dyDescent="0.2">
      <c r="A591" s="2">
        <v>10</v>
      </c>
      <c r="B591" s="1" t="s">
        <v>181</v>
      </c>
      <c r="C591" s="4">
        <v>1</v>
      </c>
      <c r="D591" s="8">
        <v>2.33</v>
      </c>
      <c r="E591" s="4">
        <v>1</v>
      </c>
      <c r="F591" s="8">
        <v>4.17</v>
      </c>
      <c r="G591" s="4">
        <v>0</v>
      </c>
      <c r="H591" s="8">
        <v>0</v>
      </c>
      <c r="I591" s="4">
        <v>0</v>
      </c>
    </row>
    <row r="592" spans="1:9" x14ac:dyDescent="0.2">
      <c r="A592" s="2">
        <v>10</v>
      </c>
      <c r="B592" s="1" t="s">
        <v>256</v>
      </c>
      <c r="C592" s="4">
        <v>1</v>
      </c>
      <c r="D592" s="8">
        <v>2.33</v>
      </c>
      <c r="E592" s="4">
        <v>0</v>
      </c>
      <c r="F592" s="8">
        <v>0</v>
      </c>
      <c r="G592" s="4">
        <v>1</v>
      </c>
      <c r="H592" s="8">
        <v>7.14</v>
      </c>
      <c r="I592" s="4">
        <v>0</v>
      </c>
    </row>
    <row r="593" spans="1:9" x14ac:dyDescent="0.2">
      <c r="A593" s="2">
        <v>10</v>
      </c>
      <c r="B593" s="1" t="s">
        <v>184</v>
      </c>
      <c r="C593" s="4">
        <v>1</v>
      </c>
      <c r="D593" s="8">
        <v>2.33</v>
      </c>
      <c r="E593" s="4">
        <v>0</v>
      </c>
      <c r="F593" s="8">
        <v>0</v>
      </c>
      <c r="G593" s="4">
        <v>1</v>
      </c>
      <c r="H593" s="8">
        <v>7.14</v>
      </c>
      <c r="I593" s="4">
        <v>0</v>
      </c>
    </row>
    <row r="594" spans="1:9" x14ac:dyDescent="0.2">
      <c r="A594" s="2">
        <v>10</v>
      </c>
      <c r="B594" s="1" t="s">
        <v>198</v>
      </c>
      <c r="C594" s="4">
        <v>1</v>
      </c>
      <c r="D594" s="8">
        <v>2.33</v>
      </c>
      <c r="E594" s="4">
        <v>1</v>
      </c>
      <c r="F594" s="8">
        <v>4.17</v>
      </c>
      <c r="G594" s="4">
        <v>0</v>
      </c>
      <c r="H594" s="8">
        <v>0</v>
      </c>
      <c r="I594" s="4">
        <v>0</v>
      </c>
    </row>
    <row r="595" spans="1:9" x14ac:dyDescent="0.2">
      <c r="A595" s="2">
        <v>10</v>
      </c>
      <c r="B595" s="1" t="s">
        <v>190</v>
      </c>
      <c r="C595" s="4">
        <v>1</v>
      </c>
      <c r="D595" s="8">
        <v>2.33</v>
      </c>
      <c r="E595" s="4">
        <v>1</v>
      </c>
      <c r="F595" s="8">
        <v>4.17</v>
      </c>
      <c r="G595" s="4">
        <v>0</v>
      </c>
      <c r="H595" s="8">
        <v>0</v>
      </c>
      <c r="I595" s="4">
        <v>0</v>
      </c>
    </row>
    <row r="596" spans="1:9" x14ac:dyDescent="0.2">
      <c r="A596" s="2">
        <v>10</v>
      </c>
      <c r="B596" s="1" t="s">
        <v>257</v>
      </c>
      <c r="C596" s="4">
        <v>1</v>
      </c>
      <c r="D596" s="8">
        <v>2.33</v>
      </c>
      <c r="E596" s="4">
        <v>0</v>
      </c>
      <c r="F596" s="8">
        <v>0</v>
      </c>
      <c r="G596" s="4">
        <v>0</v>
      </c>
      <c r="H596" s="8">
        <v>0</v>
      </c>
      <c r="I596" s="4">
        <v>0</v>
      </c>
    </row>
    <row r="597" spans="1:9" x14ac:dyDescent="0.2">
      <c r="A597" s="2">
        <v>10</v>
      </c>
      <c r="B597" s="1" t="s">
        <v>258</v>
      </c>
      <c r="C597" s="4">
        <v>1</v>
      </c>
      <c r="D597" s="8">
        <v>2.33</v>
      </c>
      <c r="E597" s="4">
        <v>1</v>
      </c>
      <c r="F597" s="8">
        <v>4.17</v>
      </c>
      <c r="G597" s="4">
        <v>0</v>
      </c>
      <c r="H597" s="8">
        <v>0</v>
      </c>
      <c r="I597" s="4">
        <v>0</v>
      </c>
    </row>
    <row r="598" spans="1:9" x14ac:dyDescent="0.2">
      <c r="A598" s="2">
        <v>10</v>
      </c>
      <c r="B598" s="1" t="s">
        <v>259</v>
      </c>
      <c r="C598" s="4">
        <v>1</v>
      </c>
      <c r="D598" s="8">
        <v>2.33</v>
      </c>
      <c r="E598" s="4">
        <v>0</v>
      </c>
      <c r="F598" s="8">
        <v>0</v>
      </c>
      <c r="G598" s="4">
        <v>1</v>
      </c>
      <c r="H598" s="8">
        <v>7.14</v>
      </c>
      <c r="I598" s="4">
        <v>0</v>
      </c>
    </row>
    <row r="599" spans="1:9" x14ac:dyDescent="0.2">
      <c r="A599" s="1"/>
      <c r="C599" s="4"/>
      <c r="D599" s="8"/>
      <c r="E599" s="4"/>
      <c r="F599" s="8"/>
      <c r="G599" s="4"/>
      <c r="H599" s="8"/>
      <c r="I599" s="4"/>
    </row>
    <row r="600" spans="1:9" x14ac:dyDescent="0.2">
      <c r="A600" s="1" t="s">
        <v>24</v>
      </c>
      <c r="C600" s="4"/>
      <c r="D600" s="8"/>
      <c r="E600" s="4"/>
      <c r="F600" s="8"/>
      <c r="G600" s="4"/>
      <c r="H600" s="8"/>
      <c r="I600" s="4"/>
    </row>
    <row r="601" spans="1:9" x14ac:dyDescent="0.2">
      <c r="A601" s="2">
        <v>1</v>
      </c>
      <c r="B601" s="1" t="s">
        <v>174</v>
      </c>
      <c r="C601" s="4">
        <v>4</v>
      </c>
      <c r="D601" s="8">
        <v>13.33</v>
      </c>
      <c r="E601" s="4">
        <v>0</v>
      </c>
      <c r="F601" s="8">
        <v>0</v>
      </c>
      <c r="G601" s="4">
        <v>4</v>
      </c>
      <c r="H601" s="8">
        <v>80</v>
      </c>
      <c r="I601" s="4">
        <v>0</v>
      </c>
    </row>
    <row r="602" spans="1:9" x14ac:dyDescent="0.2">
      <c r="A602" s="2">
        <v>2</v>
      </c>
      <c r="B602" s="1" t="s">
        <v>210</v>
      </c>
      <c r="C602" s="4">
        <v>2</v>
      </c>
      <c r="D602" s="8">
        <v>6.67</v>
      </c>
      <c r="E602" s="4">
        <v>2</v>
      </c>
      <c r="F602" s="8">
        <v>9.52</v>
      </c>
      <c r="G602" s="4">
        <v>0</v>
      </c>
      <c r="H602" s="8">
        <v>0</v>
      </c>
      <c r="I602" s="4">
        <v>0</v>
      </c>
    </row>
    <row r="603" spans="1:9" x14ac:dyDescent="0.2">
      <c r="A603" s="2">
        <v>2</v>
      </c>
      <c r="B603" s="1" t="s">
        <v>201</v>
      </c>
      <c r="C603" s="4">
        <v>2</v>
      </c>
      <c r="D603" s="8">
        <v>6.67</v>
      </c>
      <c r="E603" s="4">
        <v>2</v>
      </c>
      <c r="F603" s="8">
        <v>9.52</v>
      </c>
      <c r="G603" s="4">
        <v>0</v>
      </c>
      <c r="H603" s="8">
        <v>0</v>
      </c>
      <c r="I603" s="4">
        <v>0</v>
      </c>
    </row>
    <row r="604" spans="1:9" x14ac:dyDescent="0.2">
      <c r="A604" s="2">
        <v>2</v>
      </c>
      <c r="B604" s="1" t="s">
        <v>236</v>
      </c>
      <c r="C604" s="4">
        <v>2</v>
      </c>
      <c r="D604" s="8">
        <v>6.67</v>
      </c>
      <c r="E604" s="4">
        <v>2</v>
      </c>
      <c r="F604" s="8">
        <v>9.52</v>
      </c>
      <c r="G604" s="4">
        <v>0</v>
      </c>
      <c r="H604" s="8">
        <v>0</v>
      </c>
      <c r="I604" s="4">
        <v>0</v>
      </c>
    </row>
    <row r="605" spans="1:9" x14ac:dyDescent="0.2">
      <c r="A605" s="2">
        <v>2</v>
      </c>
      <c r="B605" s="1" t="s">
        <v>223</v>
      </c>
      <c r="C605" s="4">
        <v>2</v>
      </c>
      <c r="D605" s="8">
        <v>6.67</v>
      </c>
      <c r="E605" s="4">
        <v>0</v>
      </c>
      <c r="F605" s="8">
        <v>0</v>
      </c>
      <c r="G605" s="4">
        <v>0</v>
      </c>
      <c r="H605" s="8">
        <v>0</v>
      </c>
      <c r="I605" s="4">
        <v>0</v>
      </c>
    </row>
    <row r="606" spans="1:9" x14ac:dyDescent="0.2">
      <c r="A606" s="2">
        <v>6</v>
      </c>
      <c r="B606" s="1" t="s">
        <v>260</v>
      </c>
      <c r="C606" s="4">
        <v>1</v>
      </c>
      <c r="D606" s="8">
        <v>3.33</v>
      </c>
      <c r="E606" s="4">
        <v>1</v>
      </c>
      <c r="F606" s="8">
        <v>4.76</v>
      </c>
      <c r="G606" s="4">
        <v>0</v>
      </c>
      <c r="H606" s="8">
        <v>0</v>
      </c>
      <c r="I606" s="4">
        <v>0</v>
      </c>
    </row>
    <row r="607" spans="1:9" x14ac:dyDescent="0.2">
      <c r="A607" s="2">
        <v>6</v>
      </c>
      <c r="B607" s="1" t="s">
        <v>208</v>
      </c>
      <c r="C607" s="4">
        <v>1</v>
      </c>
      <c r="D607" s="8">
        <v>3.33</v>
      </c>
      <c r="E607" s="4">
        <v>1</v>
      </c>
      <c r="F607" s="8">
        <v>4.76</v>
      </c>
      <c r="G607" s="4">
        <v>0</v>
      </c>
      <c r="H607" s="8">
        <v>0</v>
      </c>
      <c r="I607" s="4">
        <v>0</v>
      </c>
    </row>
    <row r="608" spans="1:9" x14ac:dyDescent="0.2">
      <c r="A608" s="2">
        <v>6</v>
      </c>
      <c r="B608" s="1" t="s">
        <v>224</v>
      </c>
      <c r="C608" s="4">
        <v>1</v>
      </c>
      <c r="D608" s="8">
        <v>3.33</v>
      </c>
      <c r="E608" s="4">
        <v>1</v>
      </c>
      <c r="F608" s="8">
        <v>4.76</v>
      </c>
      <c r="G608" s="4">
        <v>0</v>
      </c>
      <c r="H608" s="8">
        <v>0</v>
      </c>
      <c r="I608" s="4">
        <v>0</v>
      </c>
    </row>
    <row r="609" spans="1:9" x14ac:dyDescent="0.2">
      <c r="A609" s="2">
        <v>6</v>
      </c>
      <c r="B609" s="1" t="s">
        <v>261</v>
      </c>
      <c r="C609" s="4">
        <v>1</v>
      </c>
      <c r="D609" s="8">
        <v>3.33</v>
      </c>
      <c r="E609" s="4">
        <v>1</v>
      </c>
      <c r="F609" s="8">
        <v>4.76</v>
      </c>
      <c r="G609" s="4">
        <v>0</v>
      </c>
      <c r="H609" s="8">
        <v>0</v>
      </c>
      <c r="I609" s="4">
        <v>0</v>
      </c>
    </row>
    <row r="610" spans="1:9" x14ac:dyDescent="0.2">
      <c r="A610" s="2">
        <v>6</v>
      </c>
      <c r="B610" s="1" t="s">
        <v>177</v>
      </c>
      <c r="C610" s="4">
        <v>1</v>
      </c>
      <c r="D610" s="8">
        <v>3.33</v>
      </c>
      <c r="E610" s="4">
        <v>1</v>
      </c>
      <c r="F610" s="8">
        <v>4.76</v>
      </c>
      <c r="G610" s="4">
        <v>0</v>
      </c>
      <c r="H610" s="8">
        <v>0</v>
      </c>
      <c r="I610" s="4">
        <v>0</v>
      </c>
    </row>
    <row r="611" spans="1:9" x14ac:dyDescent="0.2">
      <c r="A611" s="2">
        <v>6</v>
      </c>
      <c r="B611" s="1" t="s">
        <v>262</v>
      </c>
      <c r="C611" s="4">
        <v>1</v>
      </c>
      <c r="D611" s="8">
        <v>3.33</v>
      </c>
      <c r="E611" s="4">
        <v>0</v>
      </c>
      <c r="F611" s="8">
        <v>0</v>
      </c>
      <c r="G611" s="4">
        <v>1</v>
      </c>
      <c r="H611" s="8">
        <v>20</v>
      </c>
      <c r="I611" s="4">
        <v>0</v>
      </c>
    </row>
    <row r="612" spans="1:9" x14ac:dyDescent="0.2">
      <c r="A612" s="2">
        <v>6</v>
      </c>
      <c r="B612" s="1" t="s">
        <v>263</v>
      </c>
      <c r="C612" s="4">
        <v>1</v>
      </c>
      <c r="D612" s="8">
        <v>3.33</v>
      </c>
      <c r="E612" s="4">
        <v>1</v>
      </c>
      <c r="F612" s="8">
        <v>4.76</v>
      </c>
      <c r="G612" s="4">
        <v>0</v>
      </c>
      <c r="H612" s="8">
        <v>0</v>
      </c>
      <c r="I612" s="4">
        <v>0</v>
      </c>
    </row>
    <row r="613" spans="1:9" x14ac:dyDescent="0.2">
      <c r="A613" s="2">
        <v>6</v>
      </c>
      <c r="B613" s="1" t="s">
        <v>214</v>
      </c>
      <c r="C613" s="4">
        <v>1</v>
      </c>
      <c r="D613" s="8">
        <v>3.33</v>
      </c>
      <c r="E613" s="4">
        <v>1</v>
      </c>
      <c r="F613" s="8">
        <v>4.76</v>
      </c>
      <c r="G613" s="4">
        <v>0</v>
      </c>
      <c r="H613" s="8">
        <v>0</v>
      </c>
      <c r="I613" s="4">
        <v>0</v>
      </c>
    </row>
    <row r="614" spans="1:9" x14ac:dyDescent="0.2">
      <c r="A614" s="2">
        <v>6</v>
      </c>
      <c r="B614" s="1" t="s">
        <v>179</v>
      </c>
      <c r="C614" s="4">
        <v>1</v>
      </c>
      <c r="D614" s="8">
        <v>3.33</v>
      </c>
      <c r="E614" s="4">
        <v>1</v>
      </c>
      <c r="F614" s="8">
        <v>4.76</v>
      </c>
      <c r="G614" s="4">
        <v>0</v>
      </c>
      <c r="H614" s="8">
        <v>0</v>
      </c>
      <c r="I614" s="4">
        <v>0</v>
      </c>
    </row>
    <row r="615" spans="1:9" x14ac:dyDescent="0.2">
      <c r="A615" s="2">
        <v>6</v>
      </c>
      <c r="B615" s="1" t="s">
        <v>180</v>
      </c>
      <c r="C615" s="4">
        <v>1</v>
      </c>
      <c r="D615" s="8">
        <v>3.33</v>
      </c>
      <c r="E615" s="4">
        <v>1</v>
      </c>
      <c r="F615" s="8">
        <v>4.76</v>
      </c>
      <c r="G615" s="4">
        <v>0</v>
      </c>
      <c r="H615" s="8">
        <v>0</v>
      </c>
      <c r="I615" s="4">
        <v>0</v>
      </c>
    </row>
    <row r="616" spans="1:9" x14ac:dyDescent="0.2">
      <c r="A616" s="2">
        <v>6</v>
      </c>
      <c r="B616" s="1" t="s">
        <v>219</v>
      </c>
      <c r="C616" s="4">
        <v>1</v>
      </c>
      <c r="D616" s="8">
        <v>3.33</v>
      </c>
      <c r="E616" s="4">
        <v>1</v>
      </c>
      <c r="F616" s="8">
        <v>4.76</v>
      </c>
      <c r="G616" s="4">
        <v>0</v>
      </c>
      <c r="H616" s="8">
        <v>0</v>
      </c>
      <c r="I616" s="4">
        <v>0</v>
      </c>
    </row>
    <row r="617" spans="1:9" x14ac:dyDescent="0.2">
      <c r="A617" s="2">
        <v>6</v>
      </c>
      <c r="B617" s="1" t="s">
        <v>216</v>
      </c>
      <c r="C617" s="4">
        <v>1</v>
      </c>
      <c r="D617" s="8">
        <v>3.33</v>
      </c>
      <c r="E617" s="4">
        <v>1</v>
      </c>
      <c r="F617" s="8">
        <v>4.76</v>
      </c>
      <c r="G617" s="4">
        <v>0</v>
      </c>
      <c r="H617" s="8">
        <v>0</v>
      </c>
      <c r="I617" s="4">
        <v>0</v>
      </c>
    </row>
    <row r="618" spans="1:9" x14ac:dyDescent="0.2">
      <c r="A618" s="2">
        <v>6</v>
      </c>
      <c r="B618" s="1" t="s">
        <v>242</v>
      </c>
      <c r="C618" s="4">
        <v>1</v>
      </c>
      <c r="D618" s="8">
        <v>3.33</v>
      </c>
      <c r="E618" s="4">
        <v>1</v>
      </c>
      <c r="F618" s="8">
        <v>4.76</v>
      </c>
      <c r="G618" s="4">
        <v>0</v>
      </c>
      <c r="H618" s="8">
        <v>0</v>
      </c>
      <c r="I618" s="4">
        <v>0</v>
      </c>
    </row>
    <row r="619" spans="1:9" x14ac:dyDescent="0.2">
      <c r="A619" s="2">
        <v>6</v>
      </c>
      <c r="B619" s="1" t="s">
        <v>185</v>
      </c>
      <c r="C619" s="4">
        <v>1</v>
      </c>
      <c r="D619" s="8">
        <v>3.33</v>
      </c>
      <c r="E619" s="4">
        <v>1</v>
      </c>
      <c r="F619" s="8">
        <v>4.76</v>
      </c>
      <c r="G619" s="4">
        <v>0</v>
      </c>
      <c r="H619" s="8">
        <v>0</v>
      </c>
      <c r="I619" s="4">
        <v>0</v>
      </c>
    </row>
    <row r="620" spans="1:9" x14ac:dyDescent="0.2">
      <c r="A620" s="2">
        <v>6</v>
      </c>
      <c r="B620" s="1" t="s">
        <v>190</v>
      </c>
      <c r="C620" s="4">
        <v>1</v>
      </c>
      <c r="D620" s="8">
        <v>3.33</v>
      </c>
      <c r="E620" s="4">
        <v>1</v>
      </c>
      <c r="F620" s="8">
        <v>4.76</v>
      </c>
      <c r="G620" s="4">
        <v>0</v>
      </c>
      <c r="H620" s="8">
        <v>0</v>
      </c>
      <c r="I620" s="4">
        <v>0</v>
      </c>
    </row>
    <row r="621" spans="1:9" x14ac:dyDescent="0.2">
      <c r="A621" s="2">
        <v>6</v>
      </c>
      <c r="B621" s="1" t="s">
        <v>229</v>
      </c>
      <c r="C621" s="4">
        <v>1</v>
      </c>
      <c r="D621" s="8">
        <v>3.33</v>
      </c>
      <c r="E621" s="4">
        <v>0</v>
      </c>
      <c r="F621" s="8">
        <v>0</v>
      </c>
      <c r="G621" s="4">
        <v>0</v>
      </c>
      <c r="H621" s="8">
        <v>0</v>
      </c>
      <c r="I621" s="4">
        <v>0</v>
      </c>
    </row>
    <row r="622" spans="1:9" x14ac:dyDescent="0.2">
      <c r="A622" s="2">
        <v>6</v>
      </c>
      <c r="B622" s="1" t="s">
        <v>193</v>
      </c>
      <c r="C622" s="4">
        <v>1</v>
      </c>
      <c r="D622" s="8">
        <v>3.33</v>
      </c>
      <c r="E622" s="4">
        <v>1</v>
      </c>
      <c r="F622" s="8">
        <v>4.76</v>
      </c>
      <c r="G622" s="4">
        <v>0</v>
      </c>
      <c r="H622" s="8">
        <v>0</v>
      </c>
      <c r="I622" s="4">
        <v>0</v>
      </c>
    </row>
    <row r="623" spans="1:9" x14ac:dyDescent="0.2">
      <c r="A623" s="2">
        <v>6</v>
      </c>
      <c r="B623" s="1" t="s">
        <v>264</v>
      </c>
      <c r="C623" s="4">
        <v>1</v>
      </c>
      <c r="D623" s="8">
        <v>3.33</v>
      </c>
      <c r="E623" s="4">
        <v>0</v>
      </c>
      <c r="F623" s="8">
        <v>0</v>
      </c>
      <c r="G623" s="4">
        <v>0</v>
      </c>
      <c r="H623" s="8">
        <v>0</v>
      </c>
      <c r="I623" s="4">
        <v>0</v>
      </c>
    </row>
    <row r="624" spans="1:9" x14ac:dyDescent="0.2">
      <c r="A624" s="1"/>
      <c r="C624" s="4"/>
      <c r="D624" s="8"/>
      <c r="E624" s="4"/>
      <c r="F624" s="8"/>
      <c r="G624" s="4"/>
      <c r="H624" s="8"/>
      <c r="I624" s="4"/>
    </row>
    <row r="625" spans="1:9" x14ac:dyDescent="0.2">
      <c r="A625" s="1" t="s">
        <v>25</v>
      </c>
      <c r="C625" s="4"/>
      <c r="D625" s="8"/>
      <c r="E625" s="4"/>
      <c r="F625" s="8"/>
      <c r="G625" s="4"/>
      <c r="H625" s="8"/>
      <c r="I625" s="4"/>
    </row>
    <row r="626" spans="1:9" x14ac:dyDescent="0.2">
      <c r="A626" s="2">
        <v>1</v>
      </c>
      <c r="B626" s="1" t="s">
        <v>176</v>
      </c>
      <c r="C626" s="4">
        <v>19</v>
      </c>
      <c r="D626" s="8">
        <v>6.11</v>
      </c>
      <c r="E626" s="4">
        <v>13</v>
      </c>
      <c r="F626" s="8">
        <v>6.63</v>
      </c>
      <c r="G626" s="4">
        <v>6</v>
      </c>
      <c r="H626" s="8">
        <v>5.36</v>
      </c>
      <c r="I626" s="4">
        <v>0</v>
      </c>
    </row>
    <row r="627" spans="1:9" x14ac:dyDescent="0.2">
      <c r="A627" s="2">
        <v>2</v>
      </c>
      <c r="B627" s="1" t="s">
        <v>191</v>
      </c>
      <c r="C627" s="4">
        <v>17</v>
      </c>
      <c r="D627" s="8">
        <v>5.47</v>
      </c>
      <c r="E627" s="4">
        <v>17</v>
      </c>
      <c r="F627" s="8">
        <v>8.67</v>
      </c>
      <c r="G627" s="4">
        <v>0</v>
      </c>
      <c r="H627" s="8">
        <v>0</v>
      </c>
      <c r="I627" s="4">
        <v>0</v>
      </c>
    </row>
    <row r="628" spans="1:9" x14ac:dyDescent="0.2">
      <c r="A628" s="2">
        <v>3</v>
      </c>
      <c r="B628" s="1" t="s">
        <v>174</v>
      </c>
      <c r="C628" s="4">
        <v>15</v>
      </c>
      <c r="D628" s="8">
        <v>4.82</v>
      </c>
      <c r="E628" s="4">
        <v>3</v>
      </c>
      <c r="F628" s="8">
        <v>1.53</v>
      </c>
      <c r="G628" s="4">
        <v>12</v>
      </c>
      <c r="H628" s="8">
        <v>10.71</v>
      </c>
      <c r="I628" s="4">
        <v>0</v>
      </c>
    </row>
    <row r="629" spans="1:9" x14ac:dyDescent="0.2">
      <c r="A629" s="2">
        <v>4</v>
      </c>
      <c r="B629" s="1" t="s">
        <v>200</v>
      </c>
      <c r="C629" s="4">
        <v>10</v>
      </c>
      <c r="D629" s="8">
        <v>3.22</v>
      </c>
      <c r="E629" s="4">
        <v>8</v>
      </c>
      <c r="F629" s="8">
        <v>4.08</v>
      </c>
      <c r="G629" s="4">
        <v>2</v>
      </c>
      <c r="H629" s="8">
        <v>1.79</v>
      </c>
      <c r="I629" s="4">
        <v>0</v>
      </c>
    </row>
    <row r="630" spans="1:9" x14ac:dyDescent="0.2">
      <c r="A630" s="2">
        <v>5</v>
      </c>
      <c r="B630" s="1" t="s">
        <v>190</v>
      </c>
      <c r="C630" s="4">
        <v>9</v>
      </c>
      <c r="D630" s="8">
        <v>2.89</v>
      </c>
      <c r="E630" s="4">
        <v>9</v>
      </c>
      <c r="F630" s="8">
        <v>4.59</v>
      </c>
      <c r="G630" s="4">
        <v>0</v>
      </c>
      <c r="H630" s="8">
        <v>0</v>
      </c>
      <c r="I630" s="4">
        <v>0</v>
      </c>
    </row>
    <row r="631" spans="1:9" x14ac:dyDescent="0.2">
      <c r="A631" s="2">
        <v>6</v>
      </c>
      <c r="B631" s="1" t="s">
        <v>210</v>
      </c>
      <c r="C631" s="4">
        <v>8</v>
      </c>
      <c r="D631" s="8">
        <v>2.57</v>
      </c>
      <c r="E631" s="4">
        <v>8</v>
      </c>
      <c r="F631" s="8">
        <v>4.08</v>
      </c>
      <c r="G631" s="4">
        <v>0</v>
      </c>
      <c r="H631" s="8">
        <v>0</v>
      </c>
      <c r="I631" s="4">
        <v>0</v>
      </c>
    </row>
    <row r="632" spans="1:9" x14ac:dyDescent="0.2">
      <c r="A632" s="2">
        <v>6</v>
      </c>
      <c r="B632" s="1" t="s">
        <v>181</v>
      </c>
      <c r="C632" s="4">
        <v>8</v>
      </c>
      <c r="D632" s="8">
        <v>2.57</v>
      </c>
      <c r="E632" s="4">
        <v>6</v>
      </c>
      <c r="F632" s="8">
        <v>3.06</v>
      </c>
      <c r="G632" s="4">
        <v>2</v>
      </c>
      <c r="H632" s="8">
        <v>1.79</v>
      </c>
      <c r="I632" s="4">
        <v>0</v>
      </c>
    </row>
    <row r="633" spans="1:9" x14ac:dyDescent="0.2">
      <c r="A633" s="2">
        <v>6</v>
      </c>
      <c r="B633" s="1" t="s">
        <v>187</v>
      </c>
      <c r="C633" s="4">
        <v>8</v>
      </c>
      <c r="D633" s="8">
        <v>2.57</v>
      </c>
      <c r="E633" s="4">
        <v>7</v>
      </c>
      <c r="F633" s="8">
        <v>3.57</v>
      </c>
      <c r="G633" s="4">
        <v>1</v>
      </c>
      <c r="H633" s="8">
        <v>0.89</v>
      </c>
      <c r="I633" s="4">
        <v>0</v>
      </c>
    </row>
    <row r="634" spans="1:9" x14ac:dyDescent="0.2">
      <c r="A634" s="2">
        <v>9</v>
      </c>
      <c r="B634" s="1" t="s">
        <v>177</v>
      </c>
      <c r="C634" s="4">
        <v>7</v>
      </c>
      <c r="D634" s="8">
        <v>2.25</v>
      </c>
      <c r="E634" s="4">
        <v>4</v>
      </c>
      <c r="F634" s="8">
        <v>2.04</v>
      </c>
      <c r="G634" s="4">
        <v>3</v>
      </c>
      <c r="H634" s="8">
        <v>2.68</v>
      </c>
      <c r="I634" s="4">
        <v>0</v>
      </c>
    </row>
    <row r="635" spans="1:9" x14ac:dyDescent="0.2">
      <c r="A635" s="2">
        <v>9</v>
      </c>
      <c r="B635" s="1" t="s">
        <v>180</v>
      </c>
      <c r="C635" s="4">
        <v>7</v>
      </c>
      <c r="D635" s="8">
        <v>2.25</v>
      </c>
      <c r="E635" s="4">
        <v>3</v>
      </c>
      <c r="F635" s="8">
        <v>1.53</v>
      </c>
      <c r="G635" s="4">
        <v>4</v>
      </c>
      <c r="H635" s="8">
        <v>3.57</v>
      </c>
      <c r="I635" s="4">
        <v>0</v>
      </c>
    </row>
    <row r="636" spans="1:9" x14ac:dyDescent="0.2">
      <c r="A636" s="2">
        <v>11</v>
      </c>
      <c r="B636" s="1" t="s">
        <v>178</v>
      </c>
      <c r="C636" s="4">
        <v>6</v>
      </c>
      <c r="D636" s="8">
        <v>1.93</v>
      </c>
      <c r="E636" s="4">
        <v>3</v>
      </c>
      <c r="F636" s="8">
        <v>1.53</v>
      </c>
      <c r="G636" s="4">
        <v>3</v>
      </c>
      <c r="H636" s="8">
        <v>2.68</v>
      </c>
      <c r="I636" s="4">
        <v>0</v>
      </c>
    </row>
    <row r="637" spans="1:9" x14ac:dyDescent="0.2">
      <c r="A637" s="2">
        <v>11</v>
      </c>
      <c r="B637" s="1" t="s">
        <v>185</v>
      </c>
      <c r="C637" s="4">
        <v>6</v>
      </c>
      <c r="D637" s="8">
        <v>1.93</v>
      </c>
      <c r="E637" s="4">
        <v>5</v>
      </c>
      <c r="F637" s="8">
        <v>2.5499999999999998</v>
      </c>
      <c r="G637" s="4">
        <v>1</v>
      </c>
      <c r="H637" s="8">
        <v>0.89</v>
      </c>
      <c r="I637" s="4">
        <v>0</v>
      </c>
    </row>
    <row r="638" spans="1:9" x14ac:dyDescent="0.2">
      <c r="A638" s="2">
        <v>13</v>
      </c>
      <c r="B638" s="1" t="s">
        <v>204</v>
      </c>
      <c r="C638" s="4">
        <v>5</v>
      </c>
      <c r="D638" s="8">
        <v>1.61</v>
      </c>
      <c r="E638" s="4">
        <v>2</v>
      </c>
      <c r="F638" s="8">
        <v>1.02</v>
      </c>
      <c r="G638" s="4">
        <v>3</v>
      </c>
      <c r="H638" s="8">
        <v>2.68</v>
      </c>
      <c r="I638" s="4">
        <v>0</v>
      </c>
    </row>
    <row r="639" spans="1:9" x14ac:dyDescent="0.2">
      <c r="A639" s="2">
        <v>13</v>
      </c>
      <c r="B639" s="1" t="s">
        <v>216</v>
      </c>
      <c r="C639" s="4">
        <v>5</v>
      </c>
      <c r="D639" s="8">
        <v>1.61</v>
      </c>
      <c r="E639" s="4">
        <v>4</v>
      </c>
      <c r="F639" s="8">
        <v>2.04</v>
      </c>
      <c r="G639" s="4">
        <v>1</v>
      </c>
      <c r="H639" s="8">
        <v>0.89</v>
      </c>
      <c r="I639" s="4">
        <v>0</v>
      </c>
    </row>
    <row r="640" spans="1:9" x14ac:dyDescent="0.2">
      <c r="A640" s="2">
        <v>13</v>
      </c>
      <c r="B640" s="1" t="s">
        <v>183</v>
      </c>
      <c r="C640" s="4">
        <v>5</v>
      </c>
      <c r="D640" s="8">
        <v>1.61</v>
      </c>
      <c r="E640" s="4">
        <v>1</v>
      </c>
      <c r="F640" s="8">
        <v>0.51</v>
      </c>
      <c r="G640" s="4">
        <v>4</v>
      </c>
      <c r="H640" s="8">
        <v>3.57</v>
      </c>
      <c r="I640" s="4">
        <v>0</v>
      </c>
    </row>
    <row r="641" spans="1:9" x14ac:dyDescent="0.2">
      <c r="A641" s="2">
        <v>13</v>
      </c>
      <c r="B641" s="1" t="s">
        <v>193</v>
      </c>
      <c r="C641" s="4">
        <v>5</v>
      </c>
      <c r="D641" s="8">
        <v>1.61</v>
      </c>
      <c r="E641" s="4">
        <v>5</v>
      </c>
      <c r="F641" s="8">
        <v>2.5499999999999998</v>
      </c>
      <c r="G641" s="4">
        <v>0</v>
      </c>
      <c r="H641" s="8">
        <v>0</v>
      </c>
      <c r="I641" s="4">
        <v>0</v>
      </c>
    </row>
    <row r="642" spans="1:9" x14ac:dyDescent="0.2">
      <c r="A642" s="2">
        <v>17</v>
      </c>
      <c r="B642" s="1" t="s">
        <v>175</v>
      </c>
      <c r="C642" s="4">
        <v>4</v>
      </c>
      <c r="D642" s="8">
        <v>1.29</v>
      </c>
      <c r="E642" s="4">
        <v>4</v>
      </c>
      <c r="F642" s="8">
        <v>2.04</v>
      </c>
      <c r="G642" s="4">
        <v>0</v>
      </c>
      <c r="H642" s="8">
        <v>0</v>
      </c>
      <c r="I642" s="4">
        <v>0</v>
      </c>
    </row>
    <row r="643" spans="1:9" x14ac:dyDescent="0.2">
      <c r="A643" s="2">
        <v>17</v>
      </c>
      <c r="B643" s="1" t="s">
        <v>218</v>
      </c>
      <c r="C643" s="4">
        <v>4</v>
      </c>
      <c r="D643" s="8">
        <v>1.29</v>
      </c>
      <c r="E643" s="4">
        <v>3</v>
      </c>
      <c r="F643" s="8">
        <v>1.53</v>
      </c>
      <c r="G643" s="4">
        <v>1</v>
      </c>
      <c r="H643" s="8">
        <v>0.89</v>
      </c>
      <c r="I643" s="4">
        <v>0</v>
      </c>
    </row>
    <row r="644" spans="1:9" x14ac:dyDescent="0.2">
      <c r="A644" s="2">
        <v>17</v>
      </c>
      <c r="B644" s="1" t="s">
        <v>261</v>
      </c>
      <c r="C644" s="4">
        <v>4</v>
      </c>
      <c r="D644" s="8">
        <v>1.29</v>
      </c>
      <c r="E644" s="4">
        <v>3</v>
      </c>
      <c r="F644" s="8">
        <v>1.53</v>
      </c>
      <c r="G644" s="4">
        <v>1</v>
      </c>
      <c r="H644" s="8">
        <v>0.89</v>
      </c>
      <c r="I644" s="4">
        <v>0</v>
      </c>
    </row>
    <row r="645" spans="1:9" x14ac:dyDescent="0.2">
      <c r="A645" s="2">
        <v>17</v>
      </c>
      <c r="B645" s="1" t="s">
        <v>214</v>
      </c>
      <c r="C645" s="4">
        <v>4</v>
      </c>
      <c r="D645" s="8">
        <v>1.29</v>
      </c>
      <c r="E645" s="4">
        <v>4</v>
      </c>
      <c r="F645" s="8">
        <v>2.04</v>
      </c>
      <c r="G645" s="4">
        <v>0</v>
      </c>
      <c r="H645" s="8">
        <v>0</v>
      </c>
      <c r="I645" s="4">
        <v>0</v>
      </c>
    </row>
    <row r="646" spans="1:9" x14ac:dyDescent="0.2">
      <c r="A646" s="2">
        <v>17</v>
      </c>
      <c r="B646" s="1" t="s">
        <v>247</v>
      </c>
      <c r="C646" s="4">
        <v>4</v>
      </c>
      <c r="D646" s="8">
        <v>1.29</v>
      </c>
      <c r="E646" s="4">
        <v>3</v>
      </c>
      <c r="F646" s="8">
        <v>1.53</v>
      </c>
      <c r="G646" s="4">
        <v>1</v>
      </c>
      <c r="H646" s="8">
        <v>0.89</v>
      </c>
      <c r="I646" s="4">
        <v>0</v>
      </c>
    </row>
    <row r="647" spans="1:9" x14ac:dyDescent="0.2">
      <c r="A647" s="2">
        <v>17</v>
      </c>
      <c r="B647" s="1" t="s">
        <v>228</v>
      </c>
      <c r="C647" s="4">
        <v>4</v>
      </c>
      <c r="D647" s="8">
        <v>1.29</v>
      </c>
      <c r="E647" s="4">
        <v>4</v>
      </c>
      <c r="F647" s="8">
        <v>2.04</v>
      </c>
      <c r="G647" s="4">
        <v>0</v>
      </c>
      <c r="H647" s="8">
        <v>0</v>
      </c>
      <c r="I647" s="4">
        <v>0</v>
      </c>
    </row>
    <row r="648" spans="1:9" x14ac:dyDescent="0.2">
      <c r="A648" s="1"/>
      <c r="C648" s="4"/>
      <c r="D648" s="8"/>
      <c r="E648" s="4"/>
      <c r="F648" s="8"/>
      <c r="G648" s="4"/>
      <c r="H648" s="8"/>
      <c r="I648" s="4"/>
    </row>
    <row r="649" spans="1:9" x14ac:dyDescent="0.2">
      <c r="A649" s="1" t="s">
        <v>26</v>
      </c>
      <c r="C649" s="4"/>
      <c r="D649" s="8"/>
      <c r="E649" s="4"/>
      <c r="F649" s="8"/>
      <c r="G649" s="4"/>
      <c r="H649" s="8"/>
      <c r="I649" s="4"/>
    </row>
    <row r="650" spans="1:9" x14ac:dyDescent="0.2">
      <c r="A650" s="2">
        <v>1</v>
      </c>
      <c r="B650" s="1" t="s">
        <v>187</v>
      </c>
      <c r="C650" s="4">
        <v>68</v>
      </c>
      <c r="D650" s="8">
        <v>6.35</v>
      </c>
      <c r="E650" s="4">
        <v>54</v>
      </c>
      <c r="F650" s="8">
        <v>13.3</v>
      </c>
      <c r="G650" s="4">
        <v>14</v>
      </c>
      <c r="H650" s="8">
        <v>2.15</v>
      </c>
      <c r="I650" s="4">
        <v>0</v>
      </c>
    </row>
    <row r="651" spans="1:9" x14ac:dyDescent="0.2">
      <c r="A651" s="2">
        <v>2</v>
      </c>
      <c r="B651" s="1" t="s">
        <v>185</v>
      </c>
      <c r="C651" s="4">
        <v>53</v>
      </c>
      <c r="D651" s="8">
        <v>4.95</v>
      </c>
      <c r="E651" s="4">
        <v>39</v>
      </c>
      <c r="F651" s="8">
        <v>9.61</v>
      </c>
      <c r="G651" s="4">
        <v>14</v>
      </c>
      <c r="H651" s="8">
        <v>2.15</v>
      </c>
      <c r="I651" s="4">
        <v>0</v>
      </c>
    </row>
    <row r="652" spans="1:9" x14ac:dyDescent="0.2">
      <c r="A652" s="2">
        <v>3</v>
      </c>
      <c r="B652" s="1" t="s">
        <v>179</v>
      </c>
      <c r="C652" s="4">
        <v>39</v>
      </c>
      <c r="D652" s="8">
        <v>3.64</v>
      </c>
      <c r="E652" s="4">
        <v>11</v>
      </c>
      <c r="F652" s="8">
        <v>2.71</v>
      </c>
      <c r="G652" s="4">
        <v>27</v>
      </c>
      <c r="H652" s="8">
        <v>4.1399999999999997</v>
      </c>
      <c r="I652" s="4">
        <v>1</v>
      </c>
    </row>
    <row r="653" spans="1:9" x14ac:dyDescent="0.2">
      <c r="A653" s="2">
        <v>3</v>
      </c>
      <c r="B653" s="1" t="s">
        <v>181</v>
      </c>
      <c r="C653" s="4">
        <v>39</v>
      </c>
      <c r="D653" s="8">
        <v>3.64</v>
      </c>
      <c r="E653" s="4">
        <v>14</v>
      </c>
      <c r="F653" s="8">
        <v>3.45</v>
      </c>
      <c r="G653" s="4">
        <v>25</v>
      </c>
      <c r="H653" s="8">
        <v>3.83</v>
      </c>
      <c r="I653" s="4">
        <v>0</v>
      </c>
    </row>
    <row r="654" spans="1:9" x14ac:dyDescent="0.2">
      <c r="A654" s="2">
        <v>3</v>
      </c>
      <c r="B654" s="1" t="s">
        <v>234</v>
      </c>
      <c r="C654" s="4">
        <v>39</v>
      </c>
      <c r="D654" s="8">
        <v>3.64</v>
      </c>
      <c r="E654" s="4">
        <v>1</v>
      </c>
      <c r="F654" s="8">
        <v>0.25</v>
      </c>
      <c r="G654" s="4">
        <v>38</v>
      </c>
      <c r="H654" s="8">
        <v>5.83</v>
      </c>
      <c r="I654" s="4">
        <v>0</v>
      </c>
    </row>
    <row r="655" spans="1:9" x14ac:dyDescent="0.2">
      <c r="A655" s="2">
        <v>6</v>
      </c>
      <c r="B655" s="1" t="s">
        <v>226</v>
      </c>
      <c r="C655" s="4">
        <v>33</v>
      </c>
      <c r="D655" s="8">
        <v>3.08</v>
      </c>
      <c r="E655" s="4">
        <v>9</v>
      </c>
      <c r="F655" s="8">
        <v>2.2200000000000002</v>
      </c>
      <c r="G655" s="4">
        <v>24</v>
      </c>
      <c r="H655" s="8">
        <v>3.68</v>
      </c>
      <c r="I655" s="4">
        <v>0</v>
      </c>
    </row>
    <row r="656" spans="1:9" x14ac:dyDescent="0.2">
      <c r="A656" s="2">
        <v>6</v>
      </c>
      <c r="B656" s="1" t="s">
        <v>198</v>
      </c>
      <c r="C656" s="4">
        <v>33</v>
      </c>
      <c r="D656" s="8">
        <v>3.08</v>
      </c>
      <c r="E656" s="4">
        <v>21</v>
      </c>
      <c r="F656" s="8">
        <v>5.17</v>
      </c>
      <c r="G656" s="4">
        <v>12</v>
      </c>
      <c r="H656" s="8">
        <v>1.84</v>
      </c>
      <c r="I656" s="4">
        <v>0</v>
      </c>
    </row>
    <row r="657" spans="1:9" x14ac:dyDescent="0.2">
      <c r="A657" s="2">
        <v>8</v>
      </c>
      <c r="B657" s="1" t="s">
        <v>197</v>
      </c>
      <c r="C657" s="4">
        <v>31</v>
      </c>
      <c r="D657" s="8">
        <v>2.89</v>
      </c>
      <c r="E657" s="4">
        <v>15</v>
      </c>
      <c r="F657" s="8">
        <v>3.69</v>
      </c>
      <c r="G657" s="4">
        <v>16</v>
      </c>
      <c r="H657" s="8">
        <v>2.4500000000000002</v>
      </c>
      <c r="I657" s="4">
        <v>0</v>
      </c>
    </row>
    <row r="658" spans="1:9" x14ac:dyDescent="0.2">
      <c r="A658" s="2">
        <v>8</v>
      </c>
      <c r="B658" s="1" t="s">
        <v>183</v>
      </c>
      <c r="C658" s="4">
        <v>31</v>
      </c>
      <c r="D658" s="8">
        <v>2.89</v>
      </c>
      <c r="E658" s="4">
        <v>4</v>
      </c>
      <c r="F658" s="8">
        <v>0.99</v>
      </c>
      <c r="G658" s="4">
        <v>26</v>
      </c>
      <c r="H658" s="8">
        <v>3.99</v>
      </c>
      <c r="I658" s="4">
        <v>0</v>
      </c>
    </row>
    <row r="659" spans="1:9" x14ac:dyDescent="0.2">
      <c r="A659" s="2">
        <v>10</v>
      </c>
      <c r="B659" s="1" t="s">
        <v>196</v>
      </c>
      <c r="C659" s="4">
        <v>29</v>
      </c>
      <c r="D659" s="8">
        <v>2.71</v>
      </c>
      <c r="E659" s="4">
        <v>9</v>
      </c>
      <c r="F659" s="8">
        <v>2.2200000000000002</v>
      </c>
      <c r="G659" s="4">
        <v>20</v>
      </c>
      <c r="H659" s="8">
        <v>3.07</v>
      </c>
      <c r="I659" s="4">
        <v>0</v>
      </c>
    </row>
    <row r="660" spans="1:9" x14ac:dyDescent="0.2">
      <c r="A660" s="2">
        <v>11</v>
      </c>
      <c r="B660" s="1" t="s">
        <v>265</v>
      </c>
      <c r="C660" s="4">
        <v>27</v>
      </c>
      <c r="D660" s="8">
        <v>2.52</v>
      </c>
      <c r="E660" s="4">
        <v>2</v>
      </c>
      <c r="F660" s="8">
        <v>0.49</v>
      </c>
      <c r="G660" s="4">
        <v>25</v>
      </c>
      <c r="H660" s="8">
        <v>3.83</v>
      </c>
      <c r="I660" s="4">
        <v>0</v>
      </c>
    </row>
    <row r="661" spans="1:9" x14ac:dyDescent="0.2">
      <c r="A661" s="2">
        <v>12</v>
      </c>
      <c r="B661" s="1" t="s">
        <v>176</v>
      </c>
      <c r="C661" s="4">
        <v>25</v>
      </c>
      <c r="D661" s="8">
        <v>2.33</v>
      </c>
      <c r="E661" s="4">
        <v>2</v>
      </c>
      <c r="F661" s="8">
        <v>0.49</v>
      </c>
      <c r="G661" s="4">
        <v>23</v>
      </c>
      <c r="H661" s="8">
        <v>3.53</v>
      </c>
      <c r="I661" s="4">
        <v>0</v>
      </c>
    </row>
    <row r="662" spans="1:9" x14ac:dyDescent="0.2">
      <c r="A662" s="2">
        <v>13</v>
      </c>
      <c r="B662" s="1" t="s">
        <v>256</v>
      </c>
      <c r="C662" s="4">
        <v>24</v>
      </c>
      <c r="D662" s="8">
        <v>2.2400000000000002</v>
      </c>
      <c r="E662" s="4">
        <v>0</v>
      </c>
      <c r="F662" s="8">
        <v>0</v>
      </c>
      <c r="G662" s="4">
        <v>24</v>
      </c>
      <c r="H662" s="8">
        <v>3.68</v>
      </c>
      <c r="I662" s="4">
        <v>0</v>
      </c>
    </row>
    <row r="663" spans="1:9" x14ac:dyDescent="0.2">
      <c r="A663" s="2">
        <v>13</v>
      </c>
      <c r="B663" s="1" t="s">
        <v>191</v>
      </c>
      <c r="C663" s="4">
        <v>24</v>
      </c>
      <c r="D663" s="8">
        <v>2.2400000000000002</v>
      </c>
      <c r="E663" s="4">
        <v>20</v>
      </c>
      <c r="F663" s="8">
        <v>4.93</v>
      </c>
      <c r="G663" s="4">
        <v>4</v>
      </c>
      <c r="H663" s="8">
        <v>0.61</v>
      </c>
      <c r="I663" s="4">
        <v>0</v>
      </c>
    </row>
    <row r="664" spans="1:9" x14ac:dyDescent="0.2">
      <c r="A664" s="2">
        <v>15</v>
      </c>
      <c r="B664" s="1" t="s">
        <v>175</v>
      </c>
      <c r="C664" s="4">
        <v>22</v>
      </c>
      <c r="D664" s="8">
        <v>2.0499999999999998</v>
      </c>
      <c r="E664" s="4">
        <v>5</v>
      </c>
      <c r="F664" s="8">
        <v>1.23</v>
      </c>
      <c r="G664" s="4">
        <v>17</v>
      </c>
      <c r="H664" s="8">
        <v>2.61</v>
      </c>
      <c r="I664" s="4">
        <v>0</v>
      </c>
    </row>
    <row r="665" spans="1:9" x14ac:dyDescent="0.2">
      <c r="A665" s="2">
        <v>16</v>
      </c>
      <c r="B665" s="1" t="s">
        <v>244</v>
      </c>
      <c r="C665" s="4">
        <v>21</v>
      </c>
      <c r="D665" s="8">
        <v>1.96</v>
      </c>
      <c r="E665" s="4">
        <v>1</v>
      </c>
      <c r="F665" s="8">
        <v>0.25</v>
      </c>
      <c r="G665" s="4">
        <v>20</v>
      </c>
      <c r="H665" s="8">
        <v>3.07</v>
      </c>
      <c r="I665" s="4">
        <v>0</v>
      </c>
    </row>
    <row r="666" spans="1:9" x14ac:dyDescent="0.2">
      <c r="A666" s="2">
        <v>16</v>
      </c>
      <c r="B666" s="1" t="s">
        <v>247</v>
      </c>
      <c r="C666" s="4">
        <v>21</v>
      </c>
      <c r="D666" s="8">
        <v>1.96</v>
      </c>
      <c r="E666" s="4">
        <v>17</v>
      </c>
      <c r="F666" s="8">
        <v>4.1900000000000004</v>
      </c>
      <c r="G666" s="4">
        <v>4</v>
      </c>
      <c r="H666" s="8">
        <v>0.61</v>
      </c>
      <c r="I666" s="4">
        <v>0</v>
      </c>
    </row>
    <row r="667" spans="1:9" x14ac:dyDescent="0.2">
      <c r="A667" s="2">
        <v>18</v>
      </c>
      <c r="B667" s="1" t="s">
        <v>186</v>
      </c>
      <c r="C667" s="4">
        <v>17</v>
      </c>
      <c r="D667" s="8">
        <v>1.59</v>
      </c>
      <c r="E667" s="4">
        <v>11</v>
      </c>
      <c r="F667" s="8">
        <v>2.71</v>
      </c>
      <c r="G667" s="4">
        <v>6</v>
      </c>
      <c r="H667" s="8">
        <v>0.92</v>
      </c>
      <c r="I667" s="4">
        <v>0</v>
      </c>
    </row>
    <row r="668" spans="1:9" x14ac:dyDescent="0.2">
      <c r="A668" s="2">
        <v>19</v>
      </c>
      <c r="B668" s="1" t="s">
        <v>174</v>
      </c>
      <c r="C668" s="4">
        <v>16</v>
      </c>
      <c r="D668" s="8">
        <v>1.49</v>
      </c>
      <c r="E668" s="4">
        <v>1</v>
      </c>
      <c r="F668" s="8">
        <v>0.25</v>
      </c>
      <c r="G668" s="4">
        <v>15</v>
      </c>
      <c r="H668" s="8">
        <v>2.2999999999999998</v>
      </c>
      <c r="I668" s="4">
        <v>0</v>
      </c>
    </row>
    <row r="669" spans="1:9" x14ac:dyDescent="0.2">
      <c r="A669" s="2">
        <v>19</v>
      </c>
      <c r="B669" s="1" t="s">
        <v>222</v>
      </c>
      <c r="C669" s="4">
        <v>16</v>
      </c>
      <c r="D669" s="8">
        <v>1.49</v>
      </c>
      <c r="E669" s="4">
        <v>9</v>
      </c>
      <c r="F669" s="8">
        <v>2.2200000000000002</v>
      </c>
      <c r="G669" s="4">
        <v>7</v>
      </c>
      <c r="H669" s="8">
        <v>1.07</v>
      </c>
      <c r="I669" s="4">
        <v>0</v>
      </c>
    </row>
    <row r="670" spans="1:9" x14ac:dyDescent="0.2">
      <c r="A670" s="1"/>
      <c r="C670" s="4"/>
      <c r="D670" s="8"/>
      <c r="E670" s="4"/>
      <c r="F670" s="8"/>
      <c r="G670" s="4"/>
      <c r="H670" s="8"/>
      <c r="I670" s="4"/>
    </row>
    <row r="671" spans="1:9" x14ac:dyDescent="0.2">
      <c r="A671" s="1" t="s">
        <v>27</v>
      </c>
      <c r="C671" s="4"/>
      <c r="D671" s="8"/>
      <c r="E671" s="4"/>
      <c r="F671" s="8"/>
      <c r="G671" s="4"/>
      <c r="H671" s="8"/>
      <c r="I671" s="4"/>
    </row>
    <row r="672" spans="1:9" x14ac:dyDescent="0.2">
      <c r="A672" s="2">
        <v>1</v>
      </c>
      <c r="B672" s="1" t="s">
        <v>187</v>
      </c>
      <c r="C672" s="4">
        <v>14</v>
      </c>
      <c r="D672" s="8">
        <v>4.2699999999999996</v>
      </c>
      <c r="E672" s="4">
        <v>11</v>
      </c>
      <c r="F672" s="8">
        <v>6.21</v>
      </c>
      <c r="G672" s="4">
        <v>3</v>
      </c>
      <c r="H672" s="8">
        <v>2.04</v>
      </c>
      <c r="I672" s="4">
        <v>0</v>
      </c>
    </row>
    <row r="673" spans="1:9" x14ac:dyDescent="0.2">
      <c r="A673" s="2">
        <v>2</v>
      </c>
      <c r="B673" s="1" t="s">
        <v>174</v>
      </c>
      <c r="C673" s="4">
        <v>13</v>
      </c>
      <c r="D673" s="8">
        <v>3.96</v>
      </c>
      <c r="E673" s="4">
        <v>0</v>
      </c>
      <c r="F673" s="8">
        <v>0</v>
      </c>
      <c r="G673" s="4">
        <v>13</v>
      </c>
      <c r="H673" s="8">
        <v>8.84</v>
      </c>
      <c r="I673" s="4">
        <v>0</v>
      </c>
    </row>
    <row r="674" spans="1:9" x14ac:dyDescent="0.2">
      <c r="A674" s="2">
        <v>2</v>
      </c>
      <c r="B674" s="1" t="s">
        <v>191</v>
      </c>
      <c r="C674" s="4">
        <v>13</v>
      </c>
      <c r="D674" s="8">
        <v>3.96</v>
      </c>
      <c r="E674" s="4">
        <v>11</v>
      </c>
      <c r="F674" s="8">
        <v>6.21</v>
      </c>
      <c r="G674" s="4">
        <v>2</v>
      </c>
      <c r="H674" s="8">
        <v>1.36</v>
      </c>
      <c r="I674" s="4">
        <v>0</v>
      </c>
    </row>
    <row r="675" spans="1:9" x14ac:dyDescent="0.2">
      <c r="A675" s="2">
        <v>4</v>
      </c>
      <c r="B675" s="1" t="s">
        <v>188</v>
      </c>
      <c r="C675" s="4">
        <v>12</v>
      </c>
      <c r="D675" s="8">
        <v>3.66</v>
      </c>
      <c r="E675" s="4">
        <v>10</v>
      </c>
      <c r="F675" s="8">
        <v>5.65</v>
      </c>
      <c r="G675" s="4">
        <v>2</v>
      </c>
      <c r="H675" s="8">
        <v>1.36</v>
      </c>
      <c r="I675" s="4">
        <v>0</v>
      </c>
    </row>
    <row r="676" spans="1:9" x14ac:dyDescent="0.2">
      <c r="A676" s="2">
        <v>5</v>
      </c>
      <c r="B676" s="1" t="s">
        <v>183</v>
      </c>
      <c r="C676" s="4">
        <v>10</v>
      </c>
      <c r="D676" s="8">
        <v>3.05</v>
      </c>
      <c r="E676" s="4">
        <v>4</v>
      </c>
      <c r="F676" s="8">
        <v>2.2599999999999998</v>
      </c>
      <c r="G676" s="4">
        <v>6</v>
      </c>
      <c r="H676" s="8">
        <v>4.08</v>
      </c>
      <c r="I676" s="4">
        <v>0</v>
      </c>
    </row>
    <row r="677" spans="1:9" x14ac:dyDescent="0.2">
      <c r="A677" s="2">
        <v>5</v>
      </c>
      <c r="B677" s="1" t="s">
        <v>190</v>
      </c>
      <c r="C677" s="4">
        <v>10</v>
      </c>
      <c r="D677" s="8">
        <v>3.05</v>
      </c>
      <c r="E677" s="4">
        <v>10</v>
      </c>
      <c r="F677" s="8">
        <v>5.65</v>
      </c>
      <c r="G677" s="4">
        <v>0</v>
      </c>
      <c r="H677" s="8">
        <v>0</v>
      </c>
      <c r="I677" s="4">
        <v>0</v>
      </c>
    </row>
    <row r="678" spans="1:9" x14ac:dyDescent="0.2">
      <c r="A678" s="2">
        <v>7</v>
      </c>
      <c r="B678" s="1" t="s">
        <v>175</v>
      </c>
      <c r="C678" s="4">
        <v>9</v>
      </c>
      <c r="D678" s="8">
        <v>2.74</v>
      </c>
      <c r="E678" s="4">
        <v>3</v>
      </c>
      <c r="F678" s="8">
        <v>1.69</v>
      </c>
      <c r="G678" s="4">
        <v>6</v>
      </c>
      <c r="H678" s="8">
        <v>4.08</v>
      </c>
      <c r="I678" s="4">
        <v>0</v>
      </c>
    </row>
    <row r="679" spans="1:9" x14ac:dyDescent="0.2">
      <c r="A679" s="2">
        <v>7</v>
      </c>
      <c r="B679" s="1" t="s">
        <v>185</v>
      </c>
      <c r="C679" s="4">
        <v>9</v>
      </c>
      <c r="D679" s="8">
        <v>2.74</v>
      </c>
      <c r="E679" s="4">
        <v>3</v>
      </c>
      <c r="F679" s="8">
        <v>1.69</v>
      </c>
      <c r="G679" s="4">
        <v>6</v>
      </c>
      <c r="H679" s="8">
        <v>4.08</v>
      </c>
      <c r="I679" s="4">
        <v>0</v>
      </c>
    </row>
    <row r="680" spans="1:9" x14ac:dyDescent="0.2">
      <c r="A680" s="2">
        <v>7</v>
      </c>
      <c r="B680" s="1" t="s">
        <v>189</v>
      </c>
      <c r="C680" s="4">
        <v>9</v>
      </c>
      <c r="D680" s="8">
        <v>2.74</v>
      </c>
      <c r="E680" s="4">
        <v>9</v>
      </c>
      <c r="F680" s="8">
        <v>5.08</v>
      </c>
      <c r="G680" s="4">
        <v>0</v>
      </c>
      <c r="H680" s="8">
        <v>0</v>
      </c>
      <c r="I680" s="4">
        <v>0</v>
      </c>
    </row>
    <row r="681" spans="1:9" x14ac:dyDescent="0.2">
      <c r="A681" s="2">
        <v>10</v>
      </c>
      <c r="B681" s="1" t="s">
        <v>198</v>
      </c>
      <c r="C681" s="4">
        <v>8</v>
      </c>
      <c r="D681" s="8">
        <v>2.44</v>
      </c>
      <c r="E681" s="4">
        <v>7</v>
      </c>
      <c r="F681" s="8">
        <v>3.95</v>
      </c>
      <c r="G681" s="4">
        <v>1</v>
      </c>
      <c r="H681" s="8">
        <v>0.68</v>
      </c>
      <c r="I681" s="4">
        <v>0</v>
      </c>
    </row>
    <row r="682" spans="1:9" x14ac:dyDescent="0.2">
      <c r="A682" s="2">
        <v>10</v>
      </c>
      <c r="B682" s="1" t="s">
        <v>193</v>
      </c>
      <c r="C682" s="4">
        <v>8</v>
      </c>
      <c r="D682" s="8">
        <v>2.44</v>
      </c>
      <c r="E682" s="4">
        <v>7</v>
      </c>
      <c r="F682" s="8">
        <v>3.95</v>
      </c>
      <c r="G682" s="4">
        <v>1</v>
      </c>
      <c r="H682" s="8">
        <v>0.68</v>
      </c>
      <c r="I682" s="4">
        <v>0</v>
      </c>
    </row>
    <row r="683" spans="1:9" x14ac:dyDescent="0.2">
      <c r="A683" s="2">
        <v>12</v>
      </c>
      <c r="B683" s="1" t="s">
        <v>176</v>
      </c>
      <c r="C683" s="4">
        <v>7</v>
      </c>
      <c r="D683" s="8">
        <v>2.13</v>
      </c>
      <c r="E683" s="4">
        <v>5</v>
      </c>
      <c r="F683" s="8">
        <v>2.82</v>
      </c>
      <c r="G683" s="4">
        <v>2</v>
      </c>
      <c r="H683" s="8">
        <v>1.36</v>
      </c>
      <c r="I683" s="4">
        <v>0</v>
      </c>
    </row>
    <row r="684" spans="1:9" x14ac:dyDescent="0.2">
      <c r="A684" s="2">
        <v>12</v>
      </c>
      <c r="B684" s="1" t="s">
        <v>179</v>
      </c>
      <c r="C684" s="4">
        <v>7</v>
      </c>
      <c r="D684" s="8">
        <v>2.13</v>
      </c>
      <c r="E684" s="4">
        <v>6</v>
      </c>
      <c r="F684" s="8">
        <v>3.39</v>
      </c>
      <c r="G684" s="4">
        <v>1</v>
      </c>
      <c r="H684" s="8">
        <v>0.68</v>
      </c>
      <c r="I684" s="4">
        <v>0</v>
      </c>
    </row>
    <row r="685" spans="1:9" x14ac:dyDescent="0.2">
      <c r="A685" s="2">
        <v>14</v>
      </c>
      <c r="B685" s="1" t="s">
        <v>194</v>
      </c>
      <c r="C685" s="4">
        <v>6</v>
      </c>
      <c r="D685" s="8">
        <v>1.83</v>
      </c>
      <c r="E685" s="4">
        <v>3</v>
      </c>
      <c r="F685" s="8">
        <v>1.69</v>
      </c>
      <c r="G685" s="4">
        <v>3</v>
      </c>
      <c r="H685" s="8">
        <v>2.04</v>
      </c>
      <c r="I685" s="4">
        <v>0</v>
      </c>
    </row>
    <row r="686" spans="1:9" x14ac:dyDescent="0.2">
      <c r="A686" s="2">
        <v>14</v>
      </c>
      <c r="B686" s="1" t="s">
        <v>184</v>
      </c>
      <c r="C686" s="4">
        <v>6</v>
      </c>
      <c r="D686" s="8">
        <v>1.83</v>
      </c>
      <c r="E686" s="4">
        <v>1</v>
      </c>
      <c r="F686" s="8">
        <v>0.56000000000000005</v>
      </c>
      <c r="G686" s="4">
        <v>4</v>
      </c>
      <c r="H686" s="8">
        <v>2.72</v>
      </c>
      <c r="I686" s="4">
        <v>0</v>
      </c>
    </row>
    <row r="687" spans="1:9" x14ac:dyDescent="0.2">
      <c r="A687" s="2">
        <v>14</v>
      </c>
      <c r="B687" s="1" t="s">
        <v>192</v>
      </c>
      <c r="C687" s="4">
        <v>6</v>
      </c>
      <c r="D687" s="8">
        <v>1.83</v>
      </c>
      <c r="E687" s="4">
        <v>4</v>
      </c>
      <c r="F687" s="8">
        <v>2.2599999999999998</v>
      </c>
      <c r="G687" s="4">
        <v>1</v>
      </c>
      <c r="H687" s="8">
        <v>0.68</v>
      </c>
      <c r="I687" s="4">
        <v>1</v>
      </c>
    </row>
    <row r="688" spans="1:9" x14ac:dyDescent="0.2">
      <c r="A688" s="2">
        <v>17</v>
      </c>
      <c r="B688" s="1" t="s">
        <v>201</v>
      </c>
      <c r="C688" s="4">
        <v>5</v>
      </c>
      <c r="D688" s="8">
        <v>1.52</v>
      </c>
      <c r="E688" s="4">
        <v>2</v>
      </c>
      <c r="F688" s="8">
        <v>1.1299999999999999</v>
      </c>
      <c r="G688" s="4">
        <v>3</v>
      </c>
      <c r="H688" s="8">
        <v>2.04</v>
      </c>
      <c r="I688" s="4">
        <v>0</v>
      </c>
    </row>
    <row r="689" spans="1:9" x14ac:dyDescent="0.2">
      <c r="A689" s="2">
        <v>17</v>
      </c>
      <c r="B689" s="1" t="s">
        <v>178</v>
      </c>
      <c r="C689" s="4">
        <v>5</v>
      </c>
      <c r="D689" s="8">
        <v>1.52</v>
      </c>
      <c r="E689" s="4">
        <v>2</v>
      </c>
      <c r="F689" s="8">
        <v>1.1299999999999999</v>
      </c>
      <c r="G689" s="4">
        <v>3</v>
      </c>
      <c r="H689" s="8">
        <v>2.04</v>
      </c>
      <c r="I689" s="4">
        <v>0</v>
      </c>
    </row>
    <row r="690" spans="1:9" x14ac:dyDescent="0.2">
      <c r="A690" s="2">
        <v>17</v>
      </c>
      <c r="B690" s="1" t="s">
        <v>197</v>
      </c>
      <c r="C690" s="4">
        <v>5</v>
      </c>
      <c r="D690" s="8">
        <v>1.52</v>
      </c>
      <c r="E690" s="4">
        <v>4</v>
      </c>
      <c r="F690" s="8">
        <v>2.2599999999999998</v>
      </c>
      <c r="G690" s="4">
        <v>1</v>
      </c>
      <c r="H690" s="8">
        <v>0.68</v>
      </c>
      <c r="I690" s="4">
        <v>0</v>
      </c>
    </row>
    <row r="691" spans="1:9" x14ac:dyDescent="0.2">
      <c r="A691" s="2">
        <v>17</v>
      </c>
      <c r="B691" s="1" t="s">
        <v>180</v>
      </c>
      <c r="C691" s="4">
        <v>5</v>
      </c>
      <c r="D691" s="8">
        <v>1.52</v>
      </c>
      <c r="E691" s="4">
        <v>2</v>
      </c>
      <c r="F691" s="8">
        <v>1.1299999999999999</v>
      </c>
      <c r="G691" s="4">
        <v>3</v>
      </c>
      <c r="H691" s="8">
        <v>2.04</v>
      </c>
      <c r="I691" s="4">
        <v>0</v>
      </c>
    </row>
    <row r="692" spans="1:9" x14ac:dyDescent="0.2">
      <c r="A692" s="2">
        <v>17</v>
      </c>
      <c r="B692" s="1" t="s">
        <v>216</v>
      </c>
      <c r="C692" s="4">
        <v>5</v>
      </c>
      <c r="D692" s="8">
        <v>1.52</v>
      </c>
      <c r="E692" s="4">
        <v>0</v>
      </c>
      <c r="F692" s="8">
        <v>0</v>
      </c>
      <c r="G692" s="4">
        <v>5</v>
      </c>
      <c r="H692" s="8">
        <v>3.4</v>
      </c>
      <c r="I692" s="4">
        <v>0</v>
      </c>
    </row>
    <row r="693" spans="1:9" x14ac:dyDescent="0.2">
      <c r="A693" s="2">
        <v>17</v>
      </c>
      <c r="B693" s="1" t="s">
        <v>229</v>
      </c>
      <c r="C693" s="4">
        <v>5</v>
      </c>
      <c r="D693" s="8">
        <v>1.52</v>
      </c>
      <c r="E693" s="4">
        <v>0</v>
      </c>
      <c r="F693" s="8">
        <v>0</v>
      </c>
      <c r="G693" s="4">
        <v>3</v>
      </c>
      <c r="H693" s="8">
        <v>2.04</v>
      </c>
      <c r="I693" s="4">
        <v>0</v>
      </c>
    </row>
    <row r="694" spans="1:9" x14ac:dyDescent="0.2">
      <c r="A694" s="1"/>
      <c r="C694" s="4"/>
      <c r="D694" s="8"/>
      <c r="E694" s="4"/>
      <c r="F694" s="8"/>
      <c r="G694" s="4"/>
      <c r="H694" s="8"/>
      <c r="I694" s="4"/>
    </row>
    <row r="695" spans="1:9" x14ac:dyDescent="0.2">
      <c r="A695" s="1" t="s">
        <v>28</v>
      </c>
      <c r="C695" s="4"/>
      <c r="D695" s="8"/>
      <c r="E695" s="4"/>
      <c r="F695" s="8"/>
      <c r="G695" s="4"/>
      <c r="H695" s="8"/>
      <c r="I695" s="4"/>
    </row>
    <row r="696" spans="1:9" x14ac:dyDescent="0.2">
      <c r="A696" s="2">
        <v>1</v>
      </c>
      <c r="B696" s="1" t="s">
        <v>185</v>
      </c>
      <c r="C696" s="4">
        <v>30</v>
      </c>
      <c r="D696" s="8">
        <v>13.76</v>
      </c>
      <c r="E696" s="4">
        <v>23</v>
      </c>
      <c r="F696" s="8">
        <v>17.690000000000001</v>
      </c>
      <c r="G696" s="4">
        <v>7</v>
      </c>
      <c r="H696" s="8">
        <v>8.14</v>
      </c>
      <c r="I696" s="4">
        <v>0</v>
      </c>
    </row>
    <row r="697" spans="1:9" x14ac:dyDescent="0.2">
      <c r="A697" s="2">
        <v>2</v>
      </c>
      <c r="B697" s="1" t="s">
        <v>178</v>
      </c>
      <c r="C697" s="4">
        <v>6</v>
      </c>
      <c r="D697" s="8">
        <v>2.75</v>
      </c>
      <c r="E697" s="4">
        <v>4</v>
      </c>
      <c r="F697" s="8">
        <v>3.08</v>
      </c>
      <c r="G697" s="4">
        <v>2</v>
      </c>
      <c r="H697" s="8">
        <v>2.33</v>
      </c>
      <c r="I697" s="4">
        <v>0</v>
      </c>
    </row>
    <row r="698" spans="1:9" x14ac:dyDescent="0.2">
      <c r="A698" s="2">
        <v>2</v>
      </c>
      <c r="B698" s="1" t="s">
        <v>186</v>
      </c>
      <c r="C698" s="4">
        <v>6</v>
      </c>
      <c r="D698" s="8">
        <v>2.75</v>
      </c>
      <c r="E698" s="4">
        <v>5</v>
      </c>
      <c r="F698" s="8">
        <v>3.85</v>
      </c>
      <c r="G698" s="4">
        <v>1</v>
      </c>
      <c r="H698" s="8">
        <v>1.1599999999999999</v>
      </c>
      <c r="I698" s="4">
        <v>0</v>
      </c>
    </row>
    <row r="699" spans="1:9" x14ac:dyDescent="0.2">
      <c r="A699" s="2">
        <v>2</v>
      </c>
      <c r="B699" s="1" t="s">
        <v>190</v>
      </c>
      <c r="C699" s="4">
        <v>6</v>
      </c>
      <c r="D699" s="8">
        <v>2.75</v>
      </c>
      <c r="E699" s="4">
        <v>6</v>
      </c>
      <c r="F699" s="8">
        <v>4.62</v>
      </c>
      <c r="G699" s="4">
        <v>0</v>
      </c>
      <c r="H699" s="8">
        <v>0</v>
      </c>
      <c r="I699" s="4">
        <v>0</v>
      </c>
    </row>
    <row r="700" spans="1:9" x14ac:dyDescent="0.2">
      <c r="A700" s="2">
        <v>5</v>
      </c>
      <c r="B700" s="1" t="s">
        <v>174</v>
      </c>
      <c r="C700" s="4">
        <v>5</v>
      </c>
      <c r="D700" s="8">
        <v>2.29</v>
      </c>
      <c r="E700" s="4">
        <v>1</v>
      </c>
      <c r="F700" s="8">
        <v>0.77</v>
      </c>
      <c r="G700" s="4">
        <v>4</v>
      </c>
      <c r="H700" s="8">
        <v>4.6500000000000004</v>
      </c>
      <c r="I700" s="4">
        <v>0</v>
      </c>
    </row>
    <row r="701" spans="1:9" x14ac:dyDescent="0.2">
      <c r="A701" s="2">
        <v>5</v>
      </c>
      <c r="B701" s="1" t="s">
        <v>214</v>
      </c>
      <c r="C701" s="4">
        <v>5</v>
      </c>
      <c r="D701" s="8">
        <v>2.29</v>
      </c>
      <c r="E701" s="4">
        <v>3</v>
      </c>
      <c r="F701" s="8">
        <v>2.31</v>
      </c>
      <c r="G701" s="4">
        <v>2</v>
      </c>
      <c r="H701" s="8">
        <v>2.33</v>
      </c>
      <c r="I701" s="4">
        <v>0</v>
      </c>
    </row>
    <row r="702" spans="1:9" x14ac:dyDescent="0.2">
      <c r="A702" s="2">
        <v>5</v>
      </c>
      <c r="B702" s="1" t="s">
        <v>180</v>
      </c>
      <c r="C702" s="4">
        <v>5</v>
      </c>
      <c r="D702" s="8">
        <v>2.29</v>
      </c>
      <c r="E702" s="4">
        <v>5</v>
      </c>
      <c r="F702" s="8">
        <v>3.85</v>
      </c>
      <c r="G702" s="4">
        <v>0</v>
      </c>
      <c r="H702" s="8">
        <v>0</v>
      </c>
      <c r="I702" s="4">
        <v>0</v>
      </c>
    </row>
    <row r="703" spans="1:9" x14ac:dyDescent="0.2">
      <c r="A703" s="2">
        <v>5</v>
      </c>
      <c r="B703" s="1" t="s">
        <v>216</v>
      </c>
      <c r="C703" s="4">
        <v>5</v>
      </c>
      <c r="D703" s="8">
        <v>2.29</v>
      </c>
      <c r="E703" s="4">
        <v>2</v>
      </c>
      <c r="F703" s="8">
        <v>1.54</v>
      </c>
      <c r="G703" s="4">
        <v>3</v>
      </c>
      <c r="H703" s="8">
        <v>3.49</v>
      </c>
      <c r="I703" s="4">
        <v>0</v>
      </c>
    </row>
    <row r="704" spans="1:9" x14ac:dyDescent="0.2">
      <c r="A704" s="2">
        <v>5</v>
      </c>
      <c r="B704" s="1" t="s">
        <v>191</v>
      </c>
      <c r="C704" s="4">
        <v>5</v>
      </c>
      <c r="D704" s="8">
        <v>2.29</v>
      </c>
      <c r="E704" s="4">
        <v>5</v>
      </c>
      <c r="F704" s="8">
        <v>3.85</v>
      </c>
      <c r="G704" s="4">
        <v>0</v>
      </c>
      <c r="H704" s="8">
        <v>0</v>
      </c>
      <c r="I704" s="4">
        <v>0</v>
      </c>
    </row>
    <row r="705" spans="1:9" x14ac:dyDescent="0.2">
      <c r="A705" s="2">
        <v>10</v>
      </c>
      <c r="B705" s="1" t="s">
        <v>234</v>
      </c>
      <c r="C705" s="4">
        <v>4</v>
      </c>
      <c r="D705" s="8">
        <v>1.83</v>
      </c>
      <c r="E705" s="4">
        <v>0</v>
      </c>
      <c r="F705" s="8">
        <v>0</v>
      </c>
      <c r="G705" s="4">
        <v>4</v>
      </c>
      <c r="H705" s="8">
        <v>4.6500000000000004</v>
      </c>
      <c r="I705" s="4">
        <v>0</v>
      </c>
    </row>
    <row r="706" spans="1:9" x14ac:dyDescent="0.2">
      <c r="A706" s="2">
        <v>10</v>
      </c>
      <c r="B706" s="1" t="s">
        <v>187</v>
      </c>
      <c r="C706" s="4">
        <v>4</v>
      </c>
      <c r="D706" s="8">
        <v>1.83</v>
      </c>
      <c r="E706" s="4">
        <v>2</v>
      </c>
      <c r="F706" s="8">
        <v>1.54</v>
      </c>
      <c r="G706" s="4">
        <v>2</v>
      </c>
      <c r="H706" s="8">
        <v>2.33</v>
      </c>
      <c r="I706" s="4">
        <v>0</v>
      </c>
    </row>
    <row r="707" spans="1:9" x14ac:dyDescent="0.2">
      <c r="A707" s="2">
        <v>10</v>
      </c>
      <c r="B707" s="1" t="s">
        <v>220</v>
      </c>
      <c r="C707" s="4">
        <v>4</v>
      </c>
      <c r="D707" s="8">
        <v>1.83</v>
      </c>
      <c r="E707" s="4">
        <v>4</v>
      </c>
      <c r="F707" s="8">
        <v>3.08</v>
      </c>
      <c r="G707" s="4">
        <v>0</v>
      </c>
      <c r="H707" s="8">
        <v>0</v>
      </c>
      <c r="I707" s="4">
        <v>0</v>
      </c>
    </row>
    <row r="708" spans="1:9" x14ac:dyDescent="0.2">
      <c r="A708" s="2">
        <v>10</v>
      </c>
      <c r="B708" s="1" t="s">
        <v>188</v>
      </c>
      <c r="C708" s="4">
        <v>4</v>
      </c>
      <c r="D708" s="8">
        <v>1.83</v>
      </c>
      <c r="E708" s="4">
        <v>4</v>
      </c>
      <c r="F708" s="8">
        <v>3.08</v>
      </c>
      <c r="G708" s="4">
        <v>0</v>
      </c>
      <c r="H708" s="8">
        <v>0</v>
      </c>
      <c r="I708" s="4">
        <v>0</v>
      </c>
    </row>
    <row r="709" spans="1:9" x14ac:dyDescent="0.2">
      <c r="A709" s="2">
        <v>10</v>
      </c>
      <c r="B709" s="1" t="s">
        <v>192</v>
      </c>
      <c r="C709" s="4">
        <v>4</v>
      </c>
      <c r="D709" s="8">
        <v>1.83</v>
      </c>
      <c r="E709" s="4">
        <v>3</v>
      </c>
      <c r="F709" s="8">
        <v>2.31</v>
      </c>
      <c r="G709" s="4">
        <v>1</v>
      </c>
      <c r="H709" s="8">
        <v>1.1599999999999999</v>
      </c>
      <c r="I709" s="4">
        <v>0</v>
      </c>
    </row>
    <row r="710" spans="1:9" x14ac:dyDescent="0.2">
      <c r="A710" s="2">
        <v>10</v>
      </c>
      <c r="B710" s="1" t="s">
        <v>200</v>
      </c>
      <c r="C710" s="4">
        <v>4</v>
      </c>
      <c r="D710" s="8">
        <v>1.83</v>
      </c>
      <c r="E710" s="4">
        <v>4</v>
      </c>
      <c r="F710" s="8">
        <v>3.08</v>
      </c>
      <c r="G710" s="4">
        <v>0</v>
      </c>
      <c r="H710" s="8">
        <v>0</v>
      </c>
      <c r="I710" s="4">
        <v>0</v>
      </c>
    </row>
    <row r="711" spans="1:9" x14ac:dyDescent="0.2">
      <c r="A711" s="2">
        <v>16</v>
      </c>
      <c r="B711" s="1" t="s">
        <v>175</v>
      </c>
      <c r="C711" s="4">
        <v>3</v>
      </c>
      <c r="D711" s="8">
        <v>1.38</v>
      </c>
      <c r="E711" s="4">
        <v>1</v>
      </c>
      <c r="F711" s="8">
        <v>0.77</v>
      </c>
      <c r="G711" s="4">
        <v>2</v>
      </c>
      <c r="H711" s="8">
        <v>2.33</v>
      </c>
      <c r="I711" s="4">
        <v>0</v>
      </c>
    </row>
    <row r="712" spans="1:9" x14ac:dyDescent="0.2">
      <c r="A712" s="2">
        <v>16</v>
      </c>
      <c r="B712" s="1" t="s">
        <v>176</v>
      </c>
      <c r="C712" s="4">
        <v>3</v>
      </c>
      <c r="D712" s="8">
        <v>1.38</v>
      </c>
      <c r="E712" s="4">
        <v>2</v>
      </c>
      <c r="F712" s="8">
        <v>1.54</v>
      </c>
      <c r="G712" s="4">
        <v>1</v>
      </c>
      <c r="H712" s="8">
        <v>1.1599999999999999</v>
      </c>
      <c r="I712" s="4">
        <v>0</v>
      </c>
    </row>
    <row r="713" spans="1:9" x14ac:dyDescent="0.2">
      <c r="A713" s="2">
        <v>16</v>
      </c>
      <c r="B713" s="1" t="s">
        <v>201</v>
      </c>
      <c r="C713" s="4">
        <v>3</v>
      </c>
      <c r="D713" s="8">
        <v>1.38</v>
      </c>
      <c r="E713" s="4">
        <v>1</v>
      </c>
      <c r="F713" s="8">
        <v>0.77</v>
      </c>
      <c r="G713" s="4">
        <v>2</v>
      </c>
      <c r="H713" s="8">
        <v>2.33</v>
      </c>
      <c r="I713" s="4">
        <v>0</v>
      </c>
    </row>
    <row r="714" spans="1:9" x14ac:dyDescent="0.2">
      <c r="A714" s="2">
        <v>16</v>
      </c>
      <c r="B714" s="1" t="s">
        <v>181</v>
      </c>
      <c r="C714" s="4">
        <v>3</v>
      </c>
      <c r="D714" s="8">
        <v>1.38</v>
      </c>
      <c r="E714" s="4">
        <v>0</v>
      </c>
      <c r="F714" s="8">
        <v>0</v>
      </c>
      <c r="G714" s="4">
        <v>3</v>
      </c>
      <c r="H714" s="8">
        <v>3.49</v>
      </c>
      <c r="I714" s="4">
        <v>0</v>
      </c>
    </row>
    <row r="715" spans="1:9" x14ac:dyDescent="0.2">
      <c r="A715" s="2">
        <v>16</v>
      </c>
      <c r="B715" s="1" t="s">
        <v>184</v>
      </c>
      <c r="C715" s="4">
        <v>3</v>
      </c>
      <c r="D715" s="8">
        <v>1.38</v>
      </c>
      <c r="E715" s="4">
        <v>1</v>
      </c>
      <c r="F715" s="8">
        <v>0.77</v>
      </c>
      <c r="G715" s="4">
        <v>2</v>
      </c>
      <c r="H715" s="8">
        <v>2.33</v>
      </c>
      <c r="I715" s="4">
        <v>0</v>
      </c>
    </row>
    <row r="716" spans="1:9" x14ac:dyDescent="0.2">
      <c r="A716" s="2">
        <v>16</v>
      </c>
      <c r="B716" s="1" t="s">
        <v>247</v>
      </c>
      <c r="C716" s="4">
        <v>3</v>
      </c>
      <c r="D716" s="8">
        <v>1.38</v>
      </c>
      <c r="E716" s="4">
        <v>3</v>
      </c>
      <c r="F716" s="8">
        <v>2.31</v>
      </c>
      <c r="G716" s="4">
        <v>0</v>
      </c>
      <c r="H716" s="8">
        <v>0</v>
      </c>
      <c r="I716" s="4">
        <v>0</v>
      </c>
    </row>
    <row r="717" spans="1:9" x14ac:dyDescent="0.2">
      <c r="A717" s="2">
        <v>16</v>
      </c>
      <c r="B717" s="1" t="s">
        <v>199</v>
      </c>
      <c r="C717" s="4">
        <v>3</v>
      </c>
      <c r="D717" s="8">
        <v>1.38</v>
      </c>
      <c r="E717" s="4">
        <v>1</v>
      </c>
      <c r="F717" s="8">
        <v>0.77</v>
      </c>
      <c r="G717" s="4">
        <v>2</v>
      </c>
      <c r="H717" s="8">
        <v>2.33</v>
      </c>
      <c r="I717" s="4">
        <v>0</v>
      </c>
    </row>
    <row r="718" spans="1:9" x14ac:dyDescent="0.2">
      <c r="A718" s="2">
        <v>16</v>
      </c>
      <c r="B718" s="1" t="s">
        <v>209</v>
      </c>
      <c r="C718" s="4">
        <v>3</v>
      </c>
      <c r="D718" s="8">
        <v>1.38</v>
      </c>
      <c r="E718" s="4">
        <v>2</v>
      </c>
      <c r="F718" s="8">
        <v>1.54</v>
      </c>
      <c r="G718" s="4">
        <v>0</v>
      </c>
      <c r="H718" s="8">
        <v>0</v>
      </c>
      <c r="I718" s="4">
        <v>1</v>
      </c>
    </row>
    <row r="719" spans="1:9" x14ac:dyDescent="0.2">
      <c r="A719" s="1"/>
      <c r="C719" s="4"/>
      <c r="D719" s="8"/>
      <c r="E719" s="4"/>
      <c r="F719" s="8"/>
      <c r="G719" s="4"/>
      <c r="H719" s="8"/>
      <c r="I719" s="4"/>
    </row>
    <row r="720" spans="1:9" x14ac:dyDescent="0.2">
      <c r="A720" s="1" t="s">
        <v>29</v>
      </c>
      <c r="C720" s="4"/>
      <c r="D720" s="8"/>
      <c r="E720" s="4"/>
      <c r="F720" s="8"/>
      <c r="G720" s="4"/>
      <c r="H720" s="8"/>
      <c r="I720" s="4"/>
    </row>
    <row r="721" spans="1:9" x14ac:dyDescent="0.2">
      <c r="A721" s="2">
        <v>1</v>
      </c>
      <c r="B721" s="1" t="s">
        <v>191</v>
      </c>
      <c r="C721" s="4">
        <v>7</v>
      </c>
      <c r="D721" s="8">
        <v>5.34</v>
      </c>
      <c r="E721" s="4">
        <v>7</v>
      </c>
      <c r="F721" s="8">
        <v>7.95</v>
      </c>
      <c r="G721" s="4">
        <v>0</v>
      </c>
      <c r="H721" s="8">
        <v>0</v>
      </c>
      <c r="I721" s="4">
        <v>0</v>
      </c>
    </row>
    <row r="722" spans="1:9" x14ac:dyDescent="0.2">
      <c r="A722" s="2">
        <v>2</v>
      </c>
      <c r="B722" s="1" t="s">
        <v>208</v>
      </c>
      <c r="C722" s="4">
        <v>4</v>
      </c>
      <c r="D722" s="8">
        <v>3.05</v>
      </c>
      <c r="E722" s="4">
        <v>4</v>
      </c>
      <c r="F722" s="8">
        <v>4.55</v>
      </c>
      <c r="G722" s="4">
        <v>0</v>
      </c>
      <c r="H722" s="8">
        <v>0</v>
      </c>
      <c r="I722" s="4">
        <v>0</v>
      </c>
    </row>
    <row r="723" spans="1:9" x14ac:dyDescent="0.2">
      <c r="A723" s="2">
        <v>2</v>
      </c>
      <c r="B723" s="1" t="s">
        <v>185</v>
      </c>
      <c r="C723" s="4">
        <v>4</v>
      </c>
      <c r="D723" s="8">
        <v>3.05</v>
      </c>
      <c r="E723" s="4">
        <v>2</v>
      </c>
      <c r="F723" s="8">
        <v>2.27</v>
      </c>
      <c r="G723" s="4">
        <v>2</v>
      </c>
      <c r="H723" s="8">
        <v>6.45</v>
      </c>
      <c r="I723" s="4">
        <v>0</v>
      </c>
    </row>
    <row r="724" spans="1:9" x14ac:dyDescent="0.2">
      <c r="A724" s="2">
        <v>2</v>
      </c>
      <c r="B724" s="1" t="s">
        <v>220</v>
      </c>
      <c r="C724" s="4">
        <v>4</v>
      </c>
      <c r="D724" s="8">
        <v>3.05</v>
      </c>
      <c r="E724" s="4">
        <v>4</v>
      </c>
      <c r="F724" s="8">
        <v>4.55</v>
      </c>
      <c r="G724" s="4">
        <v>0</v>
      </c>
      <c r="H724" s="8">
        <v>0</v>
      </c>
      <c r="I724" s="4">
        <v>0</v>
      </c>
    </row>
    <row r="725" spans="1:9" x14ac:dyDescent="0.2">
      <c r="A725" s="2">
        <v>5</v>
      </c>
      <c r="B725" s="1" t="s">
        <v>174</v>
      </c>
      <c r="C725" s="4">
        <v>3</v>
      </c>
      <c r="D725" s="8">
        <v>2.29</v>
      </c>
      <c r="E725" s="4">
        <v>1</v>
      </c>
      <c r="F725" s="8">
        <v>1.1399999999999999</v>
      </c>
      <c r="G725" s="4">
        <v>2</v>
      </c>
      <c r="H725" s="8">
        <v>6.45</v>
      </c>
      <c r="I725" s="4">
        <v>0</v>
      </c>
    </row>
    <row r="726" spans="1:9" x14ac:dyDescent="0.2">
      <c r="A726" s="2">
        <v>5</v>
      </c>
      <c r="B726" s="1" t="s">
        <v>176</v>
      </c>
      <c r="C726" s="4">
        <v>3</v>
      </c>
      <c r="D726" s="8">
        <v>2.29</v>
      </c>
      <c r="E726" s="4">
        <v>3</v>
      </c>
      <c r="F726" s="8">
        <v>3.41</v>
      </c>
      <c r="G726" s="4">
        <v>0</v>
      </c>
      <c r="H726" s="8">
        <v>0</v>
      </c>
      <c r="I726" s="4">
        <v>0</v>
      </c>
    </row>
    <row r="727" spans="1:9" x14ac:dyDescent="0.2">
      <c r="A727" s="2">
        <v>5</v>
      </c>
      <c r="B727" s="1" t="s">
        <v>261</v>
      </c>
      <c r="C727" s="4">
        <v>3</v>
      </c>
      <c r="D727" s="8">
        <v>2.29</v>
      </c>
      <c r="E727" s="4">
        <v>3</v>
      </c>
      <c r="F727" s="8">
        <v>3.41</v>
      </c>
      <c r="G727" s="4">
        <v>0</v>
      </c>
      <c r="H727" s="8">
        <v>0</v>
      </c>
      <c r="I727" s="4">
        <v>0</v>
      </c>
    </row>
    <row r="728" spans="1:9" x14ac:dyDescent="0.2">
      <c r="A728" s="2">
        <v>5</v>
      </c>
      <c r="B728" s="1" t="s">
        <v>178</v>
      </c>
      <c r="C728" s="4">
        <v>3</v>
      </c>
      <c r="D728" s="8">
        <v>2.29</v>
      </c>
      <c r="E728" s="4">
        <v>2</v>
      </c>
      <c r="F728" s="8">
        <v>2.27</v>
      </c>
      <c r="G728" s="4">
        <v>1</v>
      </c>
      <c r="H728" s="8">
        <v>3.23</v>
      </c>
      <c r="I728" s="4">
        <v>0</v>
      </c>
    </row>
    <row r="729" spans="1:9" x14ac:dyDescent="0.2">
      <c r="A729" s="2">
        <v>5</v>
      </c>
      <c r="B729" s="1" t="s">
        <v>268</v>
      </c>
      <c r="C729" s="4">
        <v>3</v>
      </c>
      <c r="D729" s="8">
        <v>2.29</v>
      </c>
      <c r="E729" s="4">
        <v>3</v>
      </c>
      <c r="F729" s="8">
        <v>3.41</v>
      </c>
      <c r="G729" s="4">
        <v>0</v>
      </c>
      <c r="H729" s="8">
        <v>0</v>
      </c>
      <c r="I729" s="4">
        <v>0</v>
      </c>
    </row>
    <row r="730" spans="1:9" x14ac:dyDescent="0.2">
      <c r="A730" s="2">
        <v>5</v>
      </c>
      <c r="B730" s="1" t="s">
        <v>202</v>
      </c>
      <c r="C730" s="4">
        <v>3</v>
      </c>
      <c r="D730" s="8">
        <v>2.29</v>
      </c>
      <c r="E730" s="4">
        <v>2</v>
      </c>
      <c r="F730" s="8">
        <v>2.27</v>
      </c>
      <c r="G730" s="4">
        <v>1</v>
      </c>
      <c r="H730" s="8">
        <v>3.23</v>
      </c>
      <c r="I730" s="4">
        <v>0</v>
      </c>
    </row>
    <row r="731" spans="1:9" x14ac:dyDescent="0.2">
      <c r="A731" s="2">
        <v>5</v>
      </c>
      <c r="B731" s="1" t="s">
        <v>214</v>
      </c>
      <c r="C731" s="4">
        <v>3</v>
      </c>
      <c r="D731" s="8">
        <v>2.29</v>
      </c>
      <c r="E731" s="4">
        <v>3</v>
      </c>
      <c r="F731" s="8">
        <v>3.41</v>
      </c>
      <c r="G731" s="4">
        <v>0</v>
      </c>
      <c r="H731" s="8">
        <v>0</v>
      </c>
      <c r="I731" s="4">
        <v>0</v>
      </c>
    </row>
    <row r="732" spans="1:9" x14ac:dyDescent="0.2">
      <c r="A732" s="2">
        <v>5</v>
      </c>
      <c r="B732" s="1" t="s">
        <v>179</v>
      </c>
      <c r="C732" s="4">
        <v>3</v>
      </c>
      <c r="D732" s="8">
        <v>2.29</v>
      </c>
      <c r="E732" s="4">
        <v>1</v>
      </c>
      <c r="F732" s="8">
        <v>1.1399999999999999</v>
      </c>
      <c r="G732" s="4">
        <v>2</v>
      </c>
      <c r="H732" s="8">
        <v>6.45</v>
      </c>
      <c r="I732" s="4">
        <v>0</v>
      </c>
    </row>
    <row r="733" spans="1:9" x14ac:dyDescent="0.2">
      <c r="A733" s="2">
        <v>5</v>
      </c>
      <c r="B733" s="1" t="s">
        <v>216</v>
      </c>
      <c r="C733" s="4">
        <v>3</v>
      </c>
      <c r="D733" s="8">
        <v>2.29</v>
      </c>
      <c r="E733" s="4">
        <v>3</v>
      </c>
      <c r="F733" s="8">
        <v>3.41</v>
      </c>
      <c r="G733" s="4">
        <v>0</v>
      </c>
      <c r="H733" s="8">
        <v>0</v>
      </c>
      <c r="I733" s="4">
        <v>0</v>
      </c>
    </row>
    <row r="734" spans="1:9" x14ac:dyDescent="0.2">
      <c r="A734" s="2">
        <v>5</v>
      </c>
      <c r="B734" s="1" t="s">
        <v>184</v>
      </c>
      <c r="C734" s="4">
        <v>3</v>
      </c>
      <c r="D734" s="8">
        <v>2.29</v>
      </c>
      <c r="E734" s="4">
        <v>1</v>
      </c>
      <c r="F734" s="8">
        <v>1.1399999999999999</v>
      </c>
      <c r="G734" s="4">
        <v>2</v>
      </c>
      <c r="H734" s="8">
        <v>6.45</v>
      </c>
      <c r="I734" s="4">
        <v>0</v>
      </c>
    </row>
    <row r="735" spans="1:9" x14ac:dyDescent="0.2">
      <c r="A735" s="2">
        <v>5</v>
      </c>
      <c r="B735" s="1" t="s">
        <v>186</v>
      </c>
      <c r="C735" s="4">
        <v>3</v>
      </c>
      <c r="D735" s="8">
        <v>2.29</v>
      </c>
      <c r="E735" s="4">
        <v>3</v>
      </c>
      <c r="F735" s="8">
        <v>3.41</v>
      </c>
      <c r="G735" s="4">
        <v>0</v>
      </c>
      <c r="H735" s="8">
        <v>0</v>
      </c>
      <c r="I735" s="4">
        <v>0</v>
      </c>
    </row>
    <row r="736" spans="1:9" x14ac:dyDescent="0.2">
      <c r="A736" s="2">
        <v>5</v>
      </c>
      <c r="B736" s="1" t="s">
        <v>223</v>
      </c>
      <c r="C736" s="4">
        <v>3</v>
      </c>
      <c r="D736" s="8">
        <v>2.29</v>
      </c>
      <c r="E736" s="4">
        <v>0</v>
      </c>
      <c r="F736" s="8">
        <v>0</v>
      </c>
      <c r="G736" s="4">
        <v>0</v>
      </c>
      <c r="H736" s="8">
        <v>0</v>
      </c>
      <c r="I736" s="4">
        <v>0</v>
      </c>
    </row>
    <row r="737" spans="1:9" x14ac:dyDescent="0.2">
      <c r="A737" s="2">
        <v>5</v>
      </c>
      <c r="B737" s="1" t="s">
        <v>192</v>
      </c>
      <c r="C737" s="4">
        <v>3</v>
      </c>
      <c r="D737" s="8">
        <v>2.29</v>
      </c>
      <c r="E737" s="4">
        <v>3</v>
      </c>
      <c r="F737" s="8">
        <v>3.41</v>
      </c>
      <c r="G737" s="4">
        <v>0</v>
      </c>
      <c r="H737" s="8">
        <v>0</v>
      </c>
      <c r="I737" s="4">
        <v>0</v>
      </c>
    </row>
    <row r="738" spans="1:9" x14ac:dyDescent="0.2">
      <c r="A738" s="2">
        <v>5</v>
      </c>
      <c r="B738" s="1" t="s">
        <v>193</v>
      </c>
      <c r="C738" s="4">
        <v>3</v>
      </c>
      <c r="D738" s="8">
        <v>2.29</v>
      </c>
      <c r="E738" s="4">
        <v>3</v>
      </c>
      <c r="F738" s="8">
        <v>3.41</v>
      </c>
      <c r="G738" s="4">
        <v>0</v>
      </c>
      <c r="H738" s="8">
        <v>0</v>
      </c>
      <c r="I738" s="4">
        <v>0</v>
      </c>
    </row>
    <row r="739" spans="1:9" x14ac:dyDescent="0.2">
      <c r="A739" s="2">
        <v>5</v>
      </c>
      <c r="B739" s="1" t="s">
        <v>259</v>
      </c>
      <c r="C739" s="4">
        <v>3</v>
      </c>
      <c r="D739" s="8">
        <v>2.29</v>
      </c>
      <c r="E739" s="4">
        <v>0</v>
      </c>
      <c r="F739" s="8">
        <v>0</v>
      </c>
      <c r="G739" s="4">
        <v>3</v>
      </c>
      <c r="H739" s="8">
        <v>9.68</v>
      </c>
      <c r="I739" s="4">
        <v>0</v>
      </c>
    </row>
    <row r="740" spans="1:9" x14ac:dyDescent="0.2">
      <c r="A740" s="2">
        <v>20</v>
      </c>
      <c r="B740" s="1" t="s">
        <v>175</v>
      </c>
      <c r="C740" s="4">
        <v>2</v>
      </c>
      <c r="D740" s="8">
        <v>1.53</v>
      </c>
      <c r="E740" s="4">
        <v>0</v>
      </c>
      <c r="F740" s="8">
        <v>0</v>
      </c>
      <c r="G740" s="4">
        <v>2</v>
      </c>
      <c r="H740" s="8">
        <v>6.45</v>
      </c>
      <c r="I740" s="4">
        <v>0</v>
      </c>
    </row>
    <row r="741" spans="1:9" x14ac:dyDescent="0.2">
      <c r="A741" s="2">
        <v>20</v>
      </c>
      <c r="B741" s="1" t="s">
        <v>210</v>
      </c>
      <c r="C741" s="4">
        <v>2</v>
      </c>
      <c r="D741" s="8">
        <v>1.53</v>
      </c>
      <c r="E741" s="4">
        <v>2</v>
      </c>
      <c r="F741" s="8">
        <v>2.27</v>
      </c>
      <c r="G741" s="4">
        <v>0</v>
      </c>
      <c r="H741" s="8">
        <v>0</v>
      </c>
      <c r="I741" s="4">
        <v>0</v>
      </c>
    </row>
    <row r="742" spans="1:9" x14ac:dyDescent="0.2">
      <c r="A742" s="2">
        <v>20</v>
      </c>
      <c r="B742" s="1" t="s">
        <v>266</v>
      </c>
      <c r="C742" s="4">
        <v>2</v>
      </c>
      <c r="D742" s="8">
        <v>1.53</v>
      </c>
      <c r="E742" s="4">
        <v>1</v>
      </c>
      <c r="F742" s="8">
        <v>1.1399999999999999</v>
      </c>
      <c r="G742" s="4">
        <v>1</v>
      </c>
      <c r="H742" s="8">
        <v>3.23</v>
      </c>
      <c r="I742" s="4">
        <v>0</v>
      </c>
    </row>
    <row r="743" spans="1:9" x14ac:dyDescent="0.2">
      <c r="A743" s="2">
        <v>20</v>
      </c>
      <c r="B743" s="1" t="s">
        <v>267</v>
      </c>
      <c r="C743" s="4">
        <v>2</v>
      </c>
      <c r="D743" s="8">
        <v>1.53</v>
      </c>
      <c r="E743" s="4">
        <v>1</v>
      </c>
      <c r="F743" s="8">
        <v>1.1399999999999999</v>
      </c>
      <c r="G743" s="4">
        <v>1</v>
      </c>
      <c r="H743" s="8">
        <v>3.23</v>
      </c>
      <c r="I743" s="4">
        <v>0</v>
      </c>
    </row>
    <row r="744" spans="1:9" x14ac:dyDescent="0.2">
      <c r="A744" s="2">
        <v>20</v>
      </c>
      <c r="B744" s="1" t="s">
        <v>203</v>
      </c>
      <c r="C744" s="4">
        <v>2</v>
      </c>
      <c r="D744" s="8">
        <v>1.53</v>
      </c>
      <c r="E744" s="4">
        <v>1</v>
      </c>
      <c r="F744" s="8">
        <v>1.1399999999999999</v>
      </c>
      <c r="G744" s="4">
        <v>1</v>
      </c>
      <c r="H744" s="8">
        <v>3.23</v>
      </c>
      <c r="I744" s="4">
        <v>0</v>
      </c>
    </row>
    <row r="745" spans="1:9" x14ac:dyDescent="0.2">
      <c r="A745" s="2">
        <v>20</v>
      </c>
      <c r="B745" s="1" t="s">
        <v>269</v>
      </c>
      <c r="C745" s="4">
        <v>2</v>
      </c>
      <c r="D745" s="8">
        <v>1.53</v>
      </c>
      <c r="E745" s="4">
        <v>2</v>
      </c>
      <c r="F745" s="8">
        <v>2.27</v>
      </c>
      <c r="G745" s="4">
        <v>0</v>
      </c>
      <c r="H745" s="8">
        <v>0</v>
      </c>
      <c r="I745" s="4">
        <v>0</v>
      </c>
    </row>
    <row r="746" spans="1:9" x14ac:dyDescent="0.2">
      <c r="A746" s="2">
        <v>20</v>
      </c>
      <c r="B746" s="1" t="s">
        <v>197</v>
      </c>
      <c r="C746" s="4">
        <v>2</v>
      </c>
      <c r="D746" s="8">
        <v>1.53</v>
      </c>
      <c r="E746" s="4">
        <v>2</v>
      </c>
      <c r="F746" s="8">
        <v>2.27</v>
      </c>
      <c r="G746" s="4">
        <v>0</v>
      </c>
      <c r="H746" s="8">
        <v>0</v>
      </c>
      <c r="I746" s="4">
        <v>0</v>
      </c>
    </row>
    <row r="747" spans="1:9" x14ac:dyDescent="0.2">
      <c r="A747" s="2">
        <v>20</v>
      </c>
      <c r="B747" s="1" t="s">
        <v>180</v>
      </c>
      <c r="C747" s="4">
        <v>2</v>
      </c>
      <c r="D747" s="8">
        <v>1.53</v>
      </c>
      <c r="E747" s="4">
        <v>0</v>
      </c>
      <c r="F747" s="8">
        <v>0</v>
      </c>
      <c r="G747" s="4">
        <v>2</v>
      </c>
      <c r="H747" s="8">
        <v>6.45</v>
      </c>
      <c r="I747" s="4">
        <v>0</v>
      </c>
    </row>
    <row r="748" spans="1:9" x14ac:dyDescent="0.2">
      <c r="A748" s="2">
        <v>20</v>
      </c>
      <c r="B748" s="1" t="s">
        <v>215</v>
      </c>
      <c r="C748" s="4">
        <v>2</v>
      </c>
      <c r="D748" s="8">
        <v>1.53</v>
      </c>
      <c r="E748" s="4">
        <v>1</v>
      </c>
      <c r="F748" s="8">
        <v>1.1399999999999999</v>
      </c>
      <c r="G748" s="4">
        <v>1</v>
      </c>
      <c r="H748" s="8">
        <v>3.23</v>
      </c>
      <c r="I748" s="4">
        <v>0</v>
      </c>
    </row>
    <row r="749" spans="1:9" x14ac:dyDescent="0.2">
      <c r="A749" s="2">
        <v>20</v>
      </c>
      <c r="B749" s="1" t="s">
        <v>188</v>
      </c>
      <c r="C749" s="4">
        <v>2</v>
      </c>
      <c r="D749" s="8">
        <v>1.53</v>
      </c>
      <c r="E749" s="4">
        <v>2</v>
      </c>
      <c r="F749" s="8">
        <v>2.27</v>
      </c>
      <c r="G749" s="4">
        <v>0</v>
      </c>
      <c r="H749" s="8">
        <v>0</v>
      </c>
      <c r="I749" s="4">
        <v>0</v>
      </c>
    </row>
    <row r="750" spans="1:9" x14ac:dyDescent="0.2">
      <c r="A750" s="2">
        <v>20</v>
      </c>
      <c r="B750" s="1" t="s">
        <v>190</v>
      </c>
      <c r="C750" s="4">
        <v>2</v>
      </c>
      <c r="D750" s="8">
        <v>1.53</v>
      </c>
      <c r="E750" s="4">
        <v>2</v>
      </c>
      <c r="F750" s="8">
        <v>2.27</v>
      </c>
      <c r="G750" s="4">
        <v>0</v>
      </c>
      <c r="H750" s="8">
        <v>0</v>
      </c>
      <c r="I750" s="4">
        <v>0</v>
      </c>
    </row>
    <row r="751" spans="1:9" x14ac:dyDescent="0.2">
      <c r="A751" s="2">
        <v>20</v>
      </c>
      <c r="B751" s="1" t="s">
        <v>270</v>
      </c>
      <c r="C751" s="4">
        <v>2</v>
      </c>
      <c r="D751" s="8">
        <v>1.53</v>
      </c>
      <c r="E751" s="4">
        <v>2</v>
      </c>
      <c r="F751" s="8">
        <v>2.27</v>
      </c>
      <c r="G751" s="4">
        <v>0</v>
      </c>
      <c r="H751" s="8">
        <v>0</v>
      </c>
      <c r="I751" s="4">
        <v>0</v>
      </c>
    </row>
    <row r="752" spans="1:9" x14ac:dyDescent="0.2">
      <c r="A752" s="2">
        <v>20</v>
      </c>
      <c r="B752" s="1" t="s">
        <v>264</v>
      </c>
      <c r="C752" s="4">
        <v>2</v>
      </c>
      <c r="D752" s="8">
        <v>1.53</v>
      </c>
      <c r="E752" s="4">
        <v>0</v>
      </c>
      <c r="F752" s="8">
        <v>0</v>
      </c>
      <c r="G752" s="4">
        <v>0</v>
      </c>
      <c r="H752" s="8">
        <v>0</v>
      </c>
      <c r="I752" s="4">
        <v>0</v>
      </c>
    </row>
    <row r="753" spans="1:9" x14ac:dyDescent="0.2">
      <c r="A753" s="2">
        <v>20</v>
      </c>
      <c r="B753" s="1" t="s">
        <v>271</v>
      </c>
      <c r="C753" s="4">
        <v>2</v>
      </c>
      <c r="D753" s="8">
        <v>1.53</v>
      </c>
      <c r="E753" s="4">
        <v>0</v>
      </c>
      <c r="F753" s="8">
        <v>0</v>
      </c>
      <c r="G753" s="4">
        <v>2</v>
      </c>
      <c r="H753" s="8">
        <v>6.45</v>
      </c>
      <c r="I753" s="4">
        <v>0</v>
      </c>
    </row>
    <row r="754" spans="1:9" x14ac:dyDescent="0.2">
      <c r="A754" s="2">
        <v>20</v>
      </c>
      <c r="B754" s="1" t="s">
        <v>200</v>
      </c>
      <c r="C754" s="4">
        <v>2</v>
      </c>
      <c r="D754" s="8">
        <v>1.53</v>
      </c>
      <c r="E754" s="4">
        <v>2</v>
      </c>
      <c r="F754" s="8">
        <v>2.27</v>
      </c>
      <c r="G754" s="4">
        <v>0</v>
      </c>
      <c r="H754" s="8">
        <v>0</v>
      </c>
      <c r="I754" s="4">
        <v>0</v>
      </c>
    </row>
    <row r="755" spans="1:9" x14ac:dyDescent="0.2">
      <c r="A755" s="1"/>
      <c r="C755" s="4"/>
      <c r="D755" s="8"/>
      <c r="E755" s="4"/>
      <c r="F755" s="8"/>
      <c r="G755" s="4"/>
      <c r="H755" s="8"/>
      <c r="I755" s="4"/>
    </row>
    <row r="756" spans="1:9" x14ac:dyDescent="0.2">
      <c r="A756" s="1" t="s">
        <v>30</v>
      </c>
      <c r="C756" s="4"/>
      <c r="D756" s="8"/>
      <c r="E756" s="4"/>
      <c r="F756" s="8"/>
      <c r="G756" s="4"/>
      <c r="H756" s="8"/>
      <c r="I756" s="4"/>
    </row>
    <row r="757" spans="1:9" x14ac:dyDescent="0.2">
      <c r="A757" s="2">
        <v>1</v>
      </c>
      <c r="B757" s="1" t="s">
        <v>185</v>
      </c>
      <c r="C757" s="4">
        <v>38</v>
      </c>
      <c r="D757" s="8">
        <v>16.309999999999999</v>
      </c>
      <c r="E757" s="4">
        <v>35</v>
      </c>
      <c r="F757" s="8">
        <v>22.58</v>
      </c>
      <c r="G757" s="4">
        <v>3</v>
      </c>
      <c r="H757" s="8">
        <v>4.29</v>
      </c>
      <c r="I757" s="4">
        <v>0</v>
      </c>
    </row>
    <row r="758" spans="1:9" x14ac:dyDescent="0.2">
      <c r="A758" s="2">
        <v>2</v>
      </c>
      <c r="B758" s="1" t="s">
        <v>174</v>
      </c>
      <c r="C758" s="4">
        <v>12</v>
      </c>
      <c r="D758" s="8">
        <v>5.15</v>
      </c>
      <c r="E758" s="4">
        <v>8</v>
      </c>
      <c r="F758" s="8">
        <v>5.16</v>
      </c>
      <c r="G758" s="4">
        <v>4</v>
      </c>
      <c r="H758" s="8">
        <v>5.71</v>
      </c>
      <c r="I758" s="4">
        <v>0</v>
      </c>
    </row>
    <row r="759" spans="1:9" x14ac:dyDescent="0.2">
      <c r="A759" s="2">
        <v>2</v>
      </c>
      <c r="B759" s="1" t="s">
        <v>186</v>
      </c>
      <c r="C759" s="4">
        <v>12</v>
      </c>
      <c r="D759" s="8">
        <v>5.15</v>
      </c>
      <c r="E759" s="4">
        <v>11</v>
      </c>
      <c r="F759" s="8">
        <v>7.1</v>
      </c>
      <c r="G759" s="4">
        <v>1</v>
      </c>
      <c r="H759" s="8">
        <v>1.43</v>
      </c>
      <c r="I759" s="4">
        <v>0</v>
      </c>
    </row>
    <row r="760" spans="1:9" x14ac:dyDescent="0.2">
      <c r="A760" s="2">
        <v>4</v>
      </c>
      <c r="B760" s="1" t="s">
        <v>176</v>
      </c>
      <c r="C760" s="4">
        <v>8</v>
      </c>
      <c r="D760" s="8">
        <v>3.43</v>
      </c>
      <c r="E760" s="4">
        <v>5</v>
      </c>
      <c r="F760" s="8">
        <v>3.23</v>
      </c>
      <c r="G760" s="4">
        <v>3</v>
      </c>
      <c r="H760" s="8">
        <v>4.29</v>
      </c>
      <c r="I760" s="4">
        <v>0</v>
      </c>
    </row>
    <row r="761" spans="1:9" x14ac:dyDescent="0.2">
      <c r="A761" s="2">
        <v>5</v>
      </c>
      <c r="B761" s="1" t="s">
        <v>187</v>
      </c>
      <c r="C761" s="4">
        <v>7</v>
      </c>
      <c r="D761" s="8">
        <v>3</v>
      </c>
      <c r="E761" s="4">
        <v>7</v>
      </c>
      <c r="F761" s="8">
        <v>4.5199999999999996</v>
      </c>
      <c r="G761" s="4">
        <v>0</v>
      </c>
      <c r="H761" s="8">
        <v>0</v>
      </c>
      <c r="I761" s="4">
        <v>0</v>
      </c>
    </row>
    <row r="762" spans="1:9" x14ac:dyDescent="0.2">
      <c r="A762" s="2">
        <v>6</v>
      </c>
      <c r="B762" s="1" t="s">
        <v>247</v>
      </c>
      <c r="C762" s="4">
        <v>6</v>
      </c>
      <c r="D762" s="8">
        <v>2.58</v>
      </c>
      <c r="E762" s="4">
        <v>5</v>
      </c>
      <c r="F762" s="8">
        <v>3.23</v>
      </c>
      <c r="G762" s="4">
        <v>1</v>
      </c>
      <c r="H762" s="8">
        <v>1.43</v>
      </c>
      <c r="I762" s="4">
        <v>0</v>
      </c>
    </row>
    <row r="763" spans="1:9" x14ac:dyDescent="0.2">
      <c r="A763" s="2">
        <v>6</v>
      </c>
      <c r="B763" s="1" t="s">
        <v>191</v>
      </c>
      <c r="C763" s="4">
        <v>6</v>
      </c>
      <c r="D763" s="8">
        <v>2.58</v>
      </c>
      <c r="E763" s="4">
        <v>6</v>
      </c>
      <c r="F763" s="8">
        <v>3.87</v>
      </c>
      <c r="G763" s="4">
        <v>0</v>
      </c>
      <c r="H763" s="8">
        <v>0</v>
      </c>
      <c r="I763" s="4">
        <v>0</v>
      </c>
    </row>
    <row r="764" spans="1:9" x14ac:dyDescent="0.2">
      <c r="A764" s="2">
        <v>8</v>
      </c>
      <c r="B764" s="1" t="s">
        <v>180</v>
      </c>
      <c r="C764" s="4">
        <v>5</v>
      </c>
      <c r="D764" s="8">
        <v>2.15</v>
      </c>
      <c r="E764" s="4">
        <v>4</v>
      </c>
      <c r="F764" s="8">
        <v>2.58</v>
      </c>
      <c r="G764" s="4">
        <v>1</v>
      </c>
      <c r="H764" s="8">
        <v>1.43</v>
      </c>
      <c r="I764" s="4">
        <v>0</v>
      </c>
    </row>
    <row r="765" spans="1:9" x14ac:dyDescent="0.2">
      <c r="A765" s="2">
        <v>9</v>
      </c>
      <c r="B765" s="1" t="s">
        <v>261</v>
      </c>
      <c r="C765" s="4">
        <v>4</v>
      </c>
      <c r="D765" s="8">
        <v>1.72</v>
      </c>
      <c r="E765" s="4">
        <v>4</v>
      </c>
      <c r="F765" s="8">
        <v>2.58</v>
      </c>
      <c r="G765" s="4">
        <v>0</v>
      </c>
      <c r="H765" s="8">
        <v>0</v>
      </c>
      <c r="I765" s="4">
        <v>0</v>
      </c>
    </row>
    <row r="766" spans="1:9" x14ac:dyDescent="0.2">
      <c r="A766" s="2">
        <v>9</v>
      </c>
      <c r="B766" s="1" t="s">
        <v>272</v>
      </c>
      <c r="C766" s="4">
        <v>4</v>
      </c>
      <c r="D766" s="8">
        <v>1.72</v>
      </c>
      <c r="E766" s="4">
        <v>2</v>
      </c>
      <c r="F766" s="8">
        <v>1.29</v>
      </c>
      <c r="G766" s="4">
        <v>2</v>
      </c>
      <c r="H766" s="8">
        <v>2.86</v>
      </c>
      <c r="I766" s="4">
        <v>0</v>
      </c>
    </row>
    <row r="767" spans="1:9" x14ac:dyDescent="0.2">
      <c r="A767" s="2">
        <v>9</v>
      </c>
      <c r="B767" s="1" t="s">
        <v>214</v>
      </c>
      <c r="C767" s="4">
        <v>4</v>
      </c>
      <c r="D767" s="8">
        <v>1.72</v>
      </c>
      <c r="E767" s="4">
        <v>2</v>
      </c>
      <c r="F767" s="8">
        <v>1.29</v>
      </c>
      <c r="G767" s="4">
        <v>2</v>
      </c>
      <c r="H767" s="8">
        <v>2.86</v>
      </c>
      <c r="I767" s="4">
        <v>0</v>
      </c>
    </row>
    <row r="768" spans="1:9" x14ac:dyDescent="0.2">
      <c r="A768" s="2">
        <v>9</v>
      </c>
      <c r="B768" s="1" t="s">
        <v>216</v>
      </c>
      <c r="C768" s="4">
        <v>4</v>
      </c>
      <c r="D768" s="8">
        <v>1.72</v>
      </c>
      <c r="E768" s="4">
        <v>0</v>
      </c>
      <c r="F768" s="8">
        <v>0</v>
      </c>
      <c r="G768" s="4">
        <v>4</v>
      </c>
      <c r="H768" s="8">
        <v>5.71</v>
      </c>
      <c r="I768" s="4">
        <v>0</v>
      </c>
    </row>
    <row r="769" spans="1:9" x14ac:dyDescent="0.2">
      <c r="A769" s="2">
        <v>13</v>
      </c>
      <c r="B769" s="1" t="s">
        <v>175</v>
      </c>
      <c r="C769" s="4">
        <v>3</v>
      </c>
      <c r="D769" s="8">
        <v>1.29</v>
      </c>
      <c r="E769" s="4">
        <v>1</v>
      </c>
      <c r="F769" s="8">
        <v>0.65</v>
      </c>
      <c r="G769" s="4">
        <v>2</v>
      </c>
      <c r="H769" s="8">
        <v>2.86</v>
      </c>
      <c r="I769" s="4">
        <v>0</v>
      </c>
    </row>
    <row r="770" spans="1:9" x14ac:dyDescent="0.2">
      <c r="A770" s="2">
        <v>13</v>
      </c>
      <c r="B770" s="1" t="s">
        <v>208</v>
      </c>
      <c r="C770" s="4">
        <v>3</v>
      </c>
      <c r="D770" s="8">
        <v>1.29</v>
      </c>
      <c r="E770" s="4">
        <v>1</v>
      </c>
      <c r="F770" s="8">
        <v>0.65</v>
      </c>
      <c r="G770" s="4">
        <v>2</v>
      </c>
      <c r="H770" s="8">
        <v>2.86</v>
      </c>
      <c r="I770" s="4">
        <v>0</v>
      </c>
    </row>
    <row r="771" spans="1:9" x14ac:dyDescent="0.2">
      <c r="A771" s="2">
        <v>13</v>
      </c>
      <c r="B771" s="1" t="s">
        <v>218</v>
      </c>
      <c r="C771" s="4">
        <v>3</v>
      </c>
      <c r="D771" s="8">
        <v>1.29</v>
      </c>
      <c r="E771" s="4">
        <v>2</v>
      </c>
      <c r="F771" s="8">
        <v>1.29</v>
      </c>
      <c r="G771" s="4">
        <v>1</v>
      </c>
      <c r="H771" s="8">
        <v>1.43</v>
      </c>
      <c r="I771" s="4">
        <v>0</v>
      </c>
    </row>
    <row r="772" spans="1:9" x14ac:dyDescent="0.2">
      <c r="A772" s="2">
        <v>13</v>
      </c>
      <c r="B772" s="1" t="s">
        <v>273</v>
      </c>
      <c r="C772" s="4">
        <v>3</v>
      </c>
      <c r="D772" s="8">
        <v>1.29</v>
      </c>
      <c r="E772" s="4">
        <v>1</v>
      </c>
      <c r="F772" s="8">
        <v>0.65</v>
      </c>
      <c r="G772" s="4">
        <v>2</v>
      </c>
      <c r="H772" s="8">
        <v>2.86</v>
      </c>
      <c r="I772" s="4">
        <v>0</v>
      </c>
    </row>
    <row r="773" spans="1:9" x14ac:dyDescent="0.2">
      <c r="A773" s="2">
        <v>13</v>
      </c>
      <c r="B773" s="1" t="s">
        <v>227</v>
      </c>
      <c r="C773" s="4">
        <v>3</v>
      </c>
      <c r="D773" s="8">
        <v>1.29</v>
      </c>
      <c r="E773" s="4">
        <v>2</v>
      </c>
      <c r="F773" s="8">
        <v>1.29</v>
      </c>
      <c r="G773" s="4">
        <v>1</v>
      </c>
      <c r="H773" s="8">
        <v>1.43</v>
      </c>
      <c r="I773" s="4">
        <v>0</v>
      </c>
    </row>
    <row r="774" spans="1:9" x14ac:dyDescent="0.2">
      <c r="A774" s="2">
        <v>13</v>
      </c>
      <c r="B774" s="1" t="s">
        <v>179</v>
      </c>
      <c r="C774" s="4">
        <v>3</v>
      </c>
      <c r="D774" s="8">
        <v>1.29</v>
      </c>
      <c r="E774" s="4">
        <v>1</v>
      </c>
      <c r="F774" s="8">
        <v>0.65</v>
      </c>
      <c r="G774" s="4">
        <v>2</v>
      </c>
      <c r="H774" s="8">
        <v>2.86</v>
      </c>
      <c r="I774" s="4">
        <v>0</v>
      </c>
    </row>
    <row r="775" spans="1:9" x14ac:dyDescent="0.2">
      <c r="A775" s="2">
        <v>13</v>
      </c>
      <c r="B775" s="1" t="s">
        <v>205</v>
      </c>
      <c r="C775" s="4">
        <v>3</v>
      </c>
      <c r="D775" s="8">
        <v>1.29</v>
      </c>
      <c r="E775" s="4">
        <v>3</v>
      </c>
      <c r="F775" s="8">
        <v>1.94</v>
      </c>
      <c r="G775" s="4">
        <v>0</v>
      </c>
      <c r="H775" s="8">
        <v>0</v>
      </c>
      <c r="I775" s="4">
        <v>0</v>
      </c>
    </row>
    <row r="776" spans="1:9" x14ac:dyDescent="0.2">
      <c r="A776" s="2">
        <v>13</v>
      </c>
      <c r="B776" s="1" t="s">
        <v>184</v>
      </c>
      <c r="C776" s="4">
        <v>3</v>
      </c>
      <c r="D776" s="8">
        <v>1.29</v>
      </c>
      <c r="E776" s="4">
        <v>1</v>
      </c>
      <c r="F776" s="8">
        <v>0.65</v>
      </c>
      <c r="G776" s="4">
        <v>2</v>
      </c>
      <c r="H776" s="8">
        <v>2.86</v>
      </c>
      <c r="I776" s="4">
        <v>0</v>
      </c>
    </row>
    <row r="777" spans="1:9" x14ac:dyDescent="0.2">
      <c r="A777" s="2">
        <v>13</v>
      </c>
      <c r="B777" s="1" t="s">
        <v>189</v>
      </c>
      <c r="C777" s="4">
        <v>3</v>
      </c>
      <c r="D777" s="8">
        <v>1.29</v>
      </c>
      <c r="E777" s="4">
        <v>3</v>
      </c>
      <c r="F777" s="8">
        <v>1.94</v>
      </c>
      <c r="G777" s="4">
        <v>0</v>
      </c>
      <c r="H777" s="8">
        <v>0</v>
      </c>
      <c r="I777" s="4">
        <v>0</v>
      </c>
    </row>
    <row r="778" spans="1:9" x14ac:dyDescent="0.2">
      <c r="A778" s="2">
        <v>13</v>
      </c>
      <c r="B778" s="1" t="s">
        <v>207</v>
      </c>
      <c r="C778" s="4">
        <v>3</v>
      </c>
      <c r="D778" s="8">
        <v>1.29</v>
      </c>
      <c r="E778" s="4">
        <v>0</v>
      </c>
      <c r="F778" s="8">
        <v>0</v>
      </c>
      <c r="G778" s="4">
        <v>3</v>
      </c>
      <c r="H778" s="8">
        <v>4.29</v>
      </c>
      <c r="I778" s="4">
        <v>0</v>
      </c>
    </row>
    <row r="779" spans="1:9" x14ac:dyDescent="0.2">
      <c r="A779" s="2">
        <v>13</v>
      </c>
      <c r="B779" s="1" t="s">
        <v>190</v>
      </c>
      <c r="C779" s="4">
        <v>3</v>
      </c>
      <c r="D779" s="8">
        <v>1.29</v>
      </c>
      <c r="E779" s="4">
        <v>3</v>
      </c>
      <c r="F779" s="8">
        <v>1.94</v>
      </c>
      <c r="G779" s="4">
        <v>0</v>
      </c>
      <c r="H779" s="8">
        <v>0</v>
      </c>
      <c r="I779" s="4">
        <v>0</v>
      </c>
    </row>
    <row r="780" spans="1:9" x14ac:dyDescent="0.2">
      <c r="A780" s="1"/>
      <c r="C780" s="4"/>
      <c r="D780" s="8"/>
      <c r="E780" s="4"/>
      <c r="F780" s="8"/>
      <c r="G780" s="4"/>
      <c r="H780" s="8"/>
      <c r="I780" s="4"/>
    </row>
    <row r="781" spans="1:9" x14ac:dyDescent="0.2">
      <c r="A781" s="1" t="s">
        <v>31</v>
      </c>
      <c r="C781" s="4"/>
      <c r="D781" s="8"/>
      <c r="E781" s="4"/>
      <c r="F781" s="8"/>
      <c r="G781" s="4"/>
      <c r="H781" s="8"/>
      <c r="I781" s="4"/>
    </row>
    <row r="782" spans="1:9" x14ac:dyDescent="0.2">
      <c r="A782" s="2">
        <v>1</v>
      </c>
      <c r="B782" s="1" t="s">
        <v>191</v>
      </c>
      <c r="C782" s="4">
        <v>37</v>
      </c>
      <c r="D782" s="8">
        <v>5.94</v>
      </c>
      <c r="E782" s="4">
        <v>34</v>
      </c>
      <c r="F782" s="8">
        <v>10.06</v>
      </c>
      <c r="G782" s="4">
        <v>3</v>
      </c>
      <c r="H782" s="8">
        <v>1.1100000000000001</v>
      </c>
      <c r="I782" s="4">
        <v>0</v>
      </c>
    </row>
    <row r="783" spans="1:9" x14ac:dyDescent="0.2">
      <c r="A783" s="2">
        <v>2</v>
      </c>
      <c r="B783" s="1" t="s">
        <v>183</v>
      </c>
      <c r="C783" s="4">
        <v>21</v>
      </c>
      <c r="D783" s="8">
        <v>3.37</v>
      </c>
      <c r="E783" s="4">
        <v>11</v>
      </c>
      <c r="F783" s="8">
        <v>3.25</v>
      </c>
      <c r="G783" s="4">
        <v>10</v>
      </c>
      <c r="H783" s="8">
        <v>3.69</v>
      </c>
      <c r="I783" s="4">
        <v>0</v>
      </c>
    </row>
    <row r="784" spans="1:9" x14ac:dyDescent="0.2">
      <c r="A784" s="2">
        <v>3</v>
      </c>
      <c r="B784" s="1" t="s">
        <v>187</v>
      </c>
      <c r="C784" s="4">
        <v>20</v>
      </c>
      <c r="D784" s="8">
        <v>3.21</v>
      </c>
      <c r="E784" s="4">
        <v>17</v>
      </c>
      <c r="F784" s="8">
        <v>5.03</v>
      </c>
      <c r="G784" s="4">
        <v>3</v>
      </c>
      <c r="H784" s="8">
        <v>1.1100000000000001</v>
      </c>
      <c r="I784" s="4">
        <v>0</v>
      </c>
    </row>
    <row r="785" spans="1:9" x14ac:dyDescent="0.2">
      <c r="A785" s="2">
        <v>4</v>
      </c>
      <c r="B785" s="1" t="s">
        <v>190</v>
      </c>
      <c r="C785" s="4">
        <v>18</v>
      </c>
      <c r="D785" s="8">
        <v>2.89</v>
      </c>
      <c r="E785" s="4">
        <v>17</v>
      </c>
      <c r="F785" s="8">
        <v>5.03</v>
      </c>
      <c r="G785" s="4">
        <v>1</v>
      </c>
      <c r="H785" s="8">
        <v>0.37</v>
      </c>
      <c r="I785" s="4">
        <v>0</v>
      </c>
    </row>
    <row r="786" spans="1:9" x14ac:dyDescent="0.2">
      <c r="A786" s="2">
        <v>5</v>
      </c>
      <c r="B786" s="1" t="s">
        <v>188</v>
      </c>
      <c r="C786" s="4">
        <v>15</v>
      </c>
      <c r="D786" s="8">
        <v>2.41</v>
      </c>
      <c r="E786" s="4">
        <v>15</v>
      </c>
      <c r="F786" s="8">
        <v>4.4400000000000004</v>
      </c>
      <c r="G786" s="4">
        <v>0</v>
      </c>
      <c r="H786" s="8">
        <v>0</v>
      </c>
      <c r="I786" s="4">
        <v>0</v>
      </c>
    </row>
    <row r="787" spans="1:9" x14ac:dyDescent="0.2">
      <c r="A787" s="2">
        <v>6</v>
      </c>
      <c r="B787" s="1" t="s">
        <v>175</v>
      </c>
      <c r="C787" s="4">
        <v>12</v>
      </c>
      <c r="D787" s="8">
        <v>1.93</v>
      </c>
      <c r="E787" s="4">
        <v>2</v>
      </c>
      <c r="F787" s="8">
        <v>0.59</v>
      </c>
      <c r="G787" s="4">
        <v>10</v>
      </c>
      <c r="H787" s="8">
        <v>3.69</v>
      </c>
      <c r="I787" s="4">
        <v>0</v>
      </c>
    </row>
    <row r="788" spans="1:9" x14ac:dyDescent="0.2">
      <c r="A788" s="2">
        <v>6</v>
      </c>
      <c r="B788" s="1" t="s">
        <v>179</v>
      </c>
      <c r="C788" s="4">
        <v>12</v>
      </c>
      <c r="D788" s="8">
        <v>1.93</v>
      </c>
      <c r="E788" s="4">
        <v>9</v>
      </c>
      <c r="F788" s="8">
        <v>2.66</v>
      </c>
      <c r="G788" s="4">
        <v>3</v>
      </c>
      <c r="H788" s="8">
        <v>1.1100000000000001</v>
      </c>
      <c r="I788" s="4">
        <v>0</v>
      </c>
    </row>
    <row r="789" spans="1:9" x14ac:dyDescent="0.2">
      <c r="A789" s="2">
        <v>8</v>
      </c>
      <c r="B789" s="1" t="s">
        <v>194</v>
      </c>
      <c r="C789" s="4">
        <v>11</v>
      </c>
      <c r="D789" s="8">
        <v>1.77</v>
      </c>
      <c r="E789" s="4">
        <v>8</v>
      </c>
      <c r="F789" s="8">
        <v>2.37</v>
      </c>
      <c r="G789" s="4">
        <v>3</v>
      </c>
      <c r="H789" s="8">
        <v>1.1100000000000001</v>
      </c>
      <c r="I789" s="4">
        <v>0</v>
      </c>
    </row>
    <row r="790" spans="1:9" x14ac:dyDescent="0.2">
      <c r="A790" s="2">
        <v>8</v>
      </c>
      <c r="B790" s="1" t="s">
        <v>186</v>
      </c>
      <c r="C790" s="4">
        <v>11</v>
      </c>
      <c r="D790" s="8">
        <v>1.77</v>
      </c>
      <c r="E790" s="4">
        <v>10</v>
      </c>
      <c r="F790" s="8">
        <v>2.96</v>
      </c>
      <c r="G790" s="4">
        <v>1</v>
      </c>
      <c r="H790" s="8">
        <v>0.37</v>
      </c>
      <c r="I790" s="4">
        <v>0</v>
      </c>
    </row>
    <row r="791" spans="1:9" x14ac:dyDescent="0.2">
      <c r="A791" s="2">
        <v>8</v>
      </c>
      <c r="B791" s="1" t="s">
        <v>189</v>
      </c>
      <c r="C791" s="4">
        <v>11</v>
      </c>
      <c r="D791" s="8">
        <v>1.77</v>
      </c>
      <c r="E791" s="4">
        <v>10</v>
      </c>
      <c r="F791" s="8">
        <v>2.96</v>
      </c>
      <c r="G791" s="4">
        <v>1</v>
      </c>
      <c r="H791" s="8">
        <v>0.37</v>
      </c>
      <c r="I791" s="4">
        <v>0</v>
      </c>
    </row>
    <row r="792" spans="1:9" x14ac:dyDescent="0.2">
      <c r="A792" s="2">
        <v>11</v>
      </c>
      <c r="B792" s="1" t="s">
        <v>174</v>
      </c>
      <c r="C792" s="4">
        <v>10</v>
      </c>
      <c r="D792" s="8">
        <v>1.61</v>
      </c>
      <c r="E792" s="4">
        <v>3</v>
      </c>
      <c r="F792" s="8">
        <v>0.89</v>
      </c>
      <c r="G792" s="4">
        <v>7</v>
      </c>
      <c r="H792" s="8">
        <v>2.58</v>
      </c>
      <c r="I792" s="4">
        <v>0</v>
      </c>
    </row>
    <row r="793" spans="1:9" x14ac:dyDescent="0.2">
      <c r="A793" s="2">
        <v>11</v>
      </c>
      <c r="B793" s="1" t="s">
        <v>274</v>
      </c>
      <c r="C793" s="4">
        <v>10</v>
      </c>
      <c r="D793" s="8">
        <v>1.61</v>
      </c>
      <c r="E793" s="4">
        <v>6</v>
      </c>
      <c r="F793" s="8">
        <v>1.78</v>
      </c>
      <c r="G793" s="4">
        <v>4</v>
      </c>
      <c r="H793" s="8">
        <v>1.48</v>
      </c>
      <c r="I793" s="4">
        <v>0</v>
      </c>
    </row>
    <row r="794" spans="1:9" x14ac:dyDescent="0.2">
      <c r="A794" s="2">
        <v>11</v>
      </c>
      <c r="B794" s="1" t="s">
        <v>197</v>
      </c>
      <c r="C794" s="4">
        <v>10</v>
      </c>
      <c r="D794" s="8">
        <v>1.61</v>
      </c>
      <c r="E794" s="4">
        <v>6</v>
      </c>
      <c r="F794" s="8">
        <v>1.78</v>
      </c>
      <c r="G794" s="4">
        <v>4</v>
      </c>
      <c r="H794" s="8">
        <v>1.48</v>
      </c>
      <c r="I794" s="4">
        <v>0</v>
      </c>
    </row>
    <row r="795" spans="1:9" x14ac:dyDescent="0.2">
      <c r="A795" s="2">
        <v>11</v>
      </c>
      <c r="B795" s="1" t="s">
        <v>180</v>
      </c>
      <c r="C795" s="4">
        <v>10</v>
      </c>
      <c r="D795" s="8">
        <v>1.61</v>
      </c>
      <c r="E795" s="4">
        <v>5</v>
      </c>
      <c r="F795" s="8">
        <v>1.48</v>
      </c>
      <c r="G795" s="4">
        <v>5</v>
      </c>
      <c r="H795" s="8">
        <v>1.85</v>
      </c>
      <c r="I795" s="4">
        <v>0</v>
      </c>
    </row>
    <row r="796" spans="1:9" x14ac:dyDescent="0.2">
      <c r="A796" s="2">
        <v>11</v>
      </c>
      <c r="B796" s="1" t="s">
        <v>181</v>
      </c>
      <c r="C796" s="4">
        <v>10</v>
      </c>
      <c r="D796" s="8">
        <v>1.61</v>
      </c>
      <c r="E796" s="4">
        <v>8</v>
      </c>
      <c r="F796" s="8">
        <v>2.37</v>
      </c>
      <c r="G796" s="4">
        <v>2</v>
      </c>
      <c r="H796" s="8">
        <v>0.74</v>
      </c>
      <c r="I796" s="4">
        <v>0</v>
      </c>
    </row>
    <row r="797" spans="1:9" x14ac:dyDescent="0.2">
      <c r="A797" s="2">
        <v>11</v>
      </c>
      <c r="B797" s="1" t="s">
        <v>182</v>
      </c>
      <c r="C797" s="4">
        <v>10</v>
      </c>
      <c r="D797" s="8">
        <v>1.61</v>
      </c>
      <c r="E797" s="4">
        <v>2</v>
      </c>
      <c r="F797" s="8">
        <v>0.59</v>
      </c>
      <c r="G797" s="4">
        <v>8</v>
      </c>
      <c r="H797" s="8">
        <v>2.95</v>
      </c>
      <c r="I797" s="4">
        <v>0</v>
      </c>
    </row>
    <row r="798" spans="1:9" x14ac:dyDescent="0.2">
      <c r="A798" s="2">
        <v>11</v>
      </c>
      <c r="B798" s="1" t="s">
        <v>198</v>
      </c>
      <c r="C798" s="4">
        <v>10</v>
      </c>
      <c r="D798" s="8">
        <v>1.61</v>
      </c>
      <c r="E798" s="4">
        <v>9</v>
      </c>
      <c r="F798" s="8">
        <v>2.66</v>
      </c>
      <c r="G798" s="4">
        <v>1</v>
      </c>
      <c r="H798" s="8">
        <v>0.37</v>
      </c>
      <c r="I798" s="4">
        <v>0</v>
      </c>
    </row>
    <row r="799" spans="1:9" x14ac:dyDescent="0.2">
      <c r="A799" s="2">
        <v>11</v>
      </c>
      <c r="B799" s="1" t="s">
        <v>192</v>
      </c>
      <c r="C799" s="4">
        <v>10</v>
      </c>
      <c r="D799" s="8">
        <v>1.61</v>
      </c>
      <c r="E799" s="4">
        <v>5</v>
      </c>
      <c r="F799" s="8">
        <v>1.48</v>
      </c>
      <c r="G799" s="4">
        <v>5</v>
      </c>
      <c r="H799" s="8">
        <v>1.85</v>
      </c>
      <c r="I799" s="4">
        <v>0</v>
      </c>
    </row>
    <row r="800" spans="1:9" x14ac:dyDescent="0.2">
      <c r="A800" s="2">
        <v>19</v>
      </c>
      <c r="B800" s="1" t="s">
        <v>176</v>
      </c>
      <c r="C800" s="4">
        <v>9</v>
      </c>
      <c r="D800" s="8">
        <v>1.44</v>
      </c>
      <c r="E800" s="4">
        <v>4</v>
      </c>
      <c r="F800" s="8">
        <v>1.18</v>
      </c>
      <c r="G800" s="4">
        <v>5</v>
      </c>
      <c r="H800" s="8">
        <v>1.85</v>
      </c>
      <c r="I800" s="4">
        <v>0</v>
      </c>
    </row>
    <row r="801" spans="1:9" x14ac:dyDescent="0.2">
      <c r="A801" s="2">
        <v>20</v>
      </c>
      <c r="B801" s="1" t="s">
        <v>204</v>
      </c>
      <c r="C801" s="4">
        <v>8</v>
      </c>
      <c r="D801" s="8">
        <v>1.28</v>
      </c>
      <c r="E801" s="4">
        <v>3</v>
      </c>
      <c r="F801" s="8">
        <v>0.89</v>
      </c>
      <c r="G801" s="4">
        <v>5</v>
      </c>
      <c r="H801" s="8">
        <v>1.85</v>
      </c>
      <c r="I801" s="4">
        <v>0</v>
      </c>
    </row>
    <row r="802" spans="1:9" x14ac:dyDescent="0.2">
      <c r="A802" s="2">
        <v>20</v>
      </c>
      <c r="B802" s="1" t="s">
        <v>185</v>
      </c>
      <c r="C802" s="4">
        <v>8</v>
      </c>
      <c r="D802" s="8">
        <v>1.28</v>
      </c>
      <c r="E802" s="4">
        <v>6</v>
      </c>
      <c r="F802" s="8">
        <v>1.78</v>
      </c>
      <c r="G802" s="4">
        <v>2</v>
      </c>
      <c r="H802" s="8">
        <v>0.74</v>
      </c>
      <c r="I802" s="4">
        <v>0</v>
      </c>
    </row>
    <row r="803" spans="1:9" x14ac:dyDescent="0.2">
      <c r="A803" s="2">
        <v>20</v>
      </c>
      <c r="B803" s="1" t="s">
        <v>193</v>
      </c>
      <c r="C803" s="4">
        <v>8</v>
      </c>
      <c r="D803" s="8">
        <v>1.28</v>
      </c>
      <c r="E803" s="4">
        <v>7</v>
      </c>
      <c r="F803" s="8">
        <v>2.0699999999999998</v>
      </c>
      <c r="G803" s="4">
        <v>1</v>
      </c>
      <c r="H803" s="8">
        <v>0.37</v>
      </c>
      <c r="I803" s="4">
        <v>0</v>
      </c>
    </row>
    <row r="804" spans="1:9" x14ac:dyDescent="0.2">
      <c r="A804" s="1"/>
      <c r="C804" s="4"/>
      <c r="D804" s="8"/>
      <c r="E804" s="4"/>
      <c r="F804" s="8"/>
      <c r="G804" s="4"/>
      <c r="H804" s="8"/>
      <c r="I804" s="4"/>
    </row>
    <row r="805" spans="1:9" x14ac:dyDescent="0.2">
      <c r="A805" s="1" t="s">
        <v>32</v>
      </c>
      <c r="C805" s="4"/>
      <c r="D805" s="8"/>
      <c r="E805" s="4"/>
      <c r="F805" s="8"/>
      <c r="G805" s="4"/>
      <c r="H805" s="8"/>
      <c r="I805" s="4"/>
    </row>
    <row r="806" spans="1:9" x14ac:dyDescent="0.2">
      <c r="A806" s="2">
        <v>1</v>
      </c>
      <c r="B806" s="1" t="s">
        <v>185</v>
      </c>
      <c r="C806" s="4">
        <v>17</v>
      </c>
      <c r="D806" s="8">
        <v>4.53</v>
      </c>
      <c r="E806" s="4">
        <v>15</v>
      </c>
      <c r="F806" s="8">
        <v>9.43</v>
      </c>
      <c r="G806" s="4">
        <v>2</v>
      </c>
      <c r="H806" s="8">
        <v>0.96</v>
      </c>
      <c r="I806" s="4">
        <v>0</v>
      </c>
    </row>
    <row r="807" spans="1:9" x14ac:dyDescent="0.2">
      <c r="A807" s="2">
        <v>2</v>
      </c>
      <c r="B807" s="1" t="s">
        <v>176</v>
      </c>
      <c r="C807" s="4">
        <v>12</v>
      </c>
      <c r="D807" s="8">
        <v>3.2</v>
      </c>
      <c r="E807" s="4">
        <v>6</v>
      </c>
      <c r="F807" s="8">
        <v>3.77</v>
      </c>
      <c r="G807" s="4">
        <v>6</v>
      </c>
      <c r="H807" s="8">
        <v>2.87</v>
      </c>
      <c r="I807" s="4">
        <v>0</v>
      </c>
    </row>
    <row r="808" spans="1:9" x14ac:dyDescent="0.2">
      <c r="A808" s="2">
        <v>2</v>
      </c>
      <c r="B808" s="1" t="s">
        <v>191</v>
      </c>
      <c r="C808" s="4">
        <v>12</v>
      </c>
      <c r="D808" s="8">
        <v>3.2</v>
      </c>
      <c r="E808" s="4">
        <v>10</v>
      </c>
      <c r="F808" s="8">
        <v>6.29</v>
      </c>
      <c r="G808" s="4">
        <v>2</v>
      </c>
      <c r="H808" s="8">
        <v>0.96</v>
      </c>
      <c r="I808" s="4">
        <v>0</v>
      </c>
    </row>
    <row r="809" spans="1:9" x14ac:dyDescent="0.2">
      <c r="A809" s="2">
        <v>4</v>
      </c>
      <c r="B809" s="1" t="s">
        <v>174</v>
      </c>
      <c r="C809" s="4">
        <v>10</v>
      </c>
      <c r="D809" s="8">
        <v>2.67</v>
      </c>
      <c r="E809" s="4">
        <v>1</v>
      </c>
      <c r="F809" s="8">
        <v>0.63</v>
      </c>
      <c r="G809" s="4">
        <v>9</v>
      </c>
      <c r="H809" s="8">
        <v>4.3099999999999996</v>
      </c>
      <c r="I809" s="4">
        <v>0</v>
      </c>
    </row>
    <row r="810" spans="1:9" x14ac:dyDescent="0.2">
      <c r="A810" s="2">
        <v>4</v>
      </c>
      <c r="B810" s="1" t="s">
        <v>187</v>
      </c>
      <c r="C810" s="4">
        <v>10</v>
      </c>
      <c r="D810" s="8">
        <v>2.67</v>
      </c>
      <c r="E810" s="4">
        <v>7</v>
      </c>
      <c r="F810" s="8">
        <v>4.4000000000000004</v>
      </c>
      <c r="G810" s="4">
        <v>3</v>
      </c>
      <c r="H810" s="8">
        <v>1.44</v>
      </c>
      <c r="I810" s="4">
        <v>0</v>
      </c>
    </row>
    <row r="811" spans="1:9" x14ac:dyDescent="0.2">
      <c r="A811" s="2">
        <v>4</v>
      </c>
      <c r="B811" s="1" t="s">
        <v>192</v>
      </c>
      <c r="C811" s="4">
        <v>10</v>
      </c>
      <c r="D811" s="8">
        <v>2.67</v>
      </c>
      <c r="E811" s="4">
        <v>6</v>
      </c>
      <c r="F811" s="8">
        <v>3.77</v>
      </c>
      <c r="G811" s="4">
        <v>4</v>
      </c>
      <c r="H811" s="8">
        <v>1.91</v>
      </c>
      <c r="I811" s="4">
        <v>0</v>
      </c>
    </row>
    <row r="812" spans="1:9" x14ac:dyDescent="0.2">
      <c r="A812" s="2">
        <v>4</v>
      </c>
      <c r="B812" s="1" t="s">
        <v>193</v>
      </c>
      <c r="C812" s="4">
        <v>10</v>
      </c>
      <c r="D812" s="8">
        <v>2.67</v>
      </c>
      <c r="E812" s="4">
        <v>10</v>
      </c>
      <c r="F812" s="8">
        <v>6.29</v>
      </c>
      <c r="G812" s="4">
        <v>0</v>
      </c>
      <c r="H812" s="8">
        <v>0</v>
      </c>
      <c r="I812" s="4">
        <v>0</v>
      </c>
    </row>
    <row r="813" spans="1:9" x14ac:dyDescent="0.2">
      <c r="A813" s="2">
        <v>8</v>
      </c>
      <c r="B813" s="1" t="s">
        <v>220</v>
      </c>
      <c r="C813" s="4">
        <v>9</v>
      </c>
      <c r="D813" s="8">
        <v>2.4</v>
      </c>
      <c r="E813" s="4">
        <v>8</v>
      </c>
      <c r="F813" s="8">
        <v>5.03</v>
      </c>
      <c r="G813" s="4">
        <v>1</v>
      </c>
      <c r="H813" s="8">
        <v>0.48</v>
      </c>
      <c r="I813" s="4">
        <v>0</v>
      </c>
    </row>
    <row r="814" spans="1:9" x14ac:dyDescent="0.2">
      <c r="A814" s="2">
        <v>9</v>
      </c>
      <c r="B814" s="1" t="s">
        <v>175</v>
      </c>
      <c r="C814" s="4">
        <v>8</v>
      </c>
      <c r="D814" s="8">
        <v>2.13</v>
      </c>
      <c r="E814" s="4">
        <v>1</v>
      </c>
      <c r="F814" s="8">
        <v>0.63</v>
      </c>
      <c r="G814" s="4">
        <v>7</v>
      </c>
      <c r="H814" s="8">
        <v>3.35</v>
      </c>
      <c r="I814" s="4">
        <v>0</v>
      </c>
    </row>
    <row r="815" spans="1:9" x14ac:dyDescent="0.2">
      <c r="A815" s="2">
        <v>9</v>
      </c>
      <c r="B815" s="1" t="s">
        <v>197</v>
      </c>
      <c r="C815" s="4">
        <v>8</v>
      </c>
      <c r="D815" s="8">
        <v>2.13</v>
      </c>
      <c r="E815" s="4">
        <v>4</v>
      </c>
      <c r="F815" s="8">
        <v>2.52</v>
      </c>
      <c r="G815" s="4">
        <v>4</v>
      </c>
      <c r="H815" s="8">
        <v>1.91</v>
      </c>
      <c r="I815" s="4">
        <v>0</v>
      </c>
    </row>
    <row r="816" spans="1:9" x14ac:dyDescent="0.2">
      <c r="A816" s="2">
        <v>11</v>
      </c>
      <c r="B816" s="1" t="s">
        <v>186</v>
      </c>
      <c r="C816" s="4">
        <v>7</v>
      </c>
      <c r="D816" s="8">
        <v>1.87</v>
      </c>
      <c r="E816" s="4">
        <v>5</v>
      </c>
      <c r="F816" s="8">
        <v>3.14</v>
      </c>
      <c r="G816" s="4">
        <v>2</v>
      </c>
      <c r="H816" s="8">
        <v>0.96</v>
      </c>
      <c r="I816" s="4">
        <v>0</v>
      </c>
    </row>
    <row r="817" spans="1:9" x14ac:dyDescent="0.2">
      <c r="A817" s="2">
        <v>11</v>
      </c>
      <c r="B817" s="1" t="s">
        <v>198</v>
      </c>
      <c r="C817" s="4">
        <v>7</v>
      </c>
      <c r="D817" s="8">
        <v>1.87</v>
      </c>
      <c r="E817" s="4">
        <v>7</v>
      </c>
      <c r="F817" s="8">
        <v>4.4000000000000004</v>
      </c>
      <c r="G817" s="4">
        <v>0</v>
      </c>
      <c r="H817" s="8">
        <v>0</v>
      </c>
      <c r="I817" s="4">
        <v>0</v>
      </c>
    </row>
    <row r="818" spans="1:9" x14ac:dyDescent="0.2">
      <c r="A818" s="2">
        <v>11</v>
      </c>
      <c r="B818" s="1" t="s">
        <v>207</v>
      </c>
      <c r="C818" s="4">
        <v>7</v>
      </c>
      <c r="D818" s="8">
        <v>1.87</v>
      </c>
      <c r="E818" s="4">
        <v>0</v>
      </c>
      <c r="F818" s="8">
        <v>0</v>
      </c>
      <c r="G818" s="4">
        <v>7</v>
      </c>
      <c r="H818" s="8">
        <v>3.35</v>
      </c>
      <c r="I818" s="4">
        <v>0</v>
      </c>
    </row>
    <row r="819" spans="1:9" x14ac:dyDescent="0.2">
      <c r="A819" s="2">
        <v>11</v>
      </c>
      <c r="B819" s="1" t="s">
        <v>200</v>
      </c>
      <c r="C819" s="4">
        <v>7</v>
      </c>
      <c r="D819" s="8">
        <v>1.87</v>
      </c>
      <c r="E819" s="4">
        <v>3</v>
      </c>
      <c r="F819" s="8">
        <v>1.89</v>
      </c>
      <c r="G819" s="4">
        <v>4</v>
      </c>
      <c r="H819" s="8">
        <v>1.91</v>
      </c>
      <c r="I819" s="4">
        <v>0</v>
      </c>
    </row>
    <row r="820" spans="1:9" x14ac:dyDescent="0.2">
      <c r="A820" s="2">
        <v>15</v>
      </c>
      <c r="B820" s="1" t="s">
        <v>276</v>
      </c>
      <c r="C820" s="4">
        <v>6</v>
      </c>
      <c r="D820" s="8">
        <v>1.6</v>
      </c>
      <c r="E820" s="4">
        <v>1</v>
      </c>
      <c r="F820" s="8">
        <v>0.63</v>
      </c>
      <c r="G820" s="4">
        <v>5</v>
      </c>
      <c r="H820" s="8">
        <v>2.39</v>
      </c>
      <c r="I820" s="4">
        <v>0</v>
      </c>
    </row>
    <row r="821" spans="1:9" x14ac:dyDescent="0.2">
      <c r="A821" s="2">
        <v>15</v>
      </c>
      <c r="B821" s="1" t="s">
        <v>190</v>
      </c>
      <c r="C821" s="4">
        <v>6</v>
      </c>
      <c r="D821" s="8">
        <v>1.6</v>
      </c>
      <c r="E821" s="4">
        <v>6</v>
      </c>
      <c r="F821" s="8">
        <v>3.77</v>
      </c>
      <c r="G821" s="4">
        <v>0</v>
      </c>
      <c r="H821" s="8">
        <v>0</v>
      </c>
      <c r="I821" s="4">
        <v>0</v>
      </c>
    </row>
    <row r="822" spans="1:9" x14ac:dyDescent="0.2">
      <c r="A822" s="2">
        <v>17</v>
      </c>
      <c r="B822" s="1" t="s">
        <v>208</v>
      </c>
      <c r="C822" s="4">
        <v>5</v>
      </c>
      <c r="D822" s="8">
        <v>1.33</v>
      </c>
      <c r="E822" s="4">
        <v>2</v>
      </c>
      <c r="F822" s="8">
        <v>1.26</v>
      </c>
      <c r="G822" s="4">
        <v>3</v>
      </c>
      <c r="H822" s="8">
        <v>1.44</v>
      </c>
      <c r="I822" s="4">
        <v>0</v>
      </c>
    </row>
    <row r="823" spans="1:9" x14ac:dyDescent="0.2">
      <c r="A823" s="2">
        <v>17</v>
      </c>
      <c r="B823" s="1" t="s">
        <v>210</v>
      </c>
      <c r="C823" s="4">
        <v>5</v>
      </c>
      <c r="D823" s="8">
        <v>1.33</v>
      </c>
      <c r="E823" s="4">
        <v>4</v>
      </c>
      <c r="F823" s="8">
        <v>2.52</v>
      </c>
      <c r="G823" s="4">
        <v>1</v>
      </c>
      <c r="H823" s="8">
        <v>0.48</v>
      </c>
      <c r="I823" s="4">
        <v>0</v>
      </c>
    </row>
    <row r="824" spans="1:9" x14ac:dyDescent="0.2">
      <c r="A824" s="2">
        <v>17</v>
      </c>
      <c r="B824" s="1" t="s">
        <v>272</v>
      </c>
      <c r="C824" s="4">
        <v>5</v>
      </c>
      <c r="D824" s="8">
        <v>1.33</v>
      </c>
      <c r="E824" s="4">
        <v>0</v>
      </c>
      <c r="F824" s="8">
        <v>0</v>
      </c>
      <c r="G824" s="4">
        <v>5</v>
      </c>
      <c r="H824" s="8">
        <v>2.39</v>
      </c>
      <c r="I824" s="4">
        <v>0</v>
      </c>
    </row>
    <row r="825" spans="1:9" x14ac:dyDescent="0.2">
      <c r="A825" s="2">
        <v>17</v>
      </c>
      <c r="B825" s="1" t="s">
        <v>275</v>
      </c>
      <c r="C825" s="4">
        <v>5</v>
      </c>
      <c r="D825" s="8">
        <v>1.33</v>
      </c>
      <c r="E825" s="4">
        <v>3</v>
      </c>
      <c r="F825" s="8">
        <v>1.89</v>
      </c>
      <c r="G825" s="4">
        <v>2</v>
      </c>
      <c r="H825" s="8">
        <v>0.96</v>
      </c>
      <c r="I825" s="4">
        <v>0</v>
      </c>
    </row>
    <row r="826" spans="1:9" x14ac:dyDescent="0.2">
      <c r="A826" s="2">
        <v>17</v>
      </c>
      <c r="B826" s="1" t="s">
        <v>194</v>
      </c>
      <c r="C826" s="4">
        <v>5</v>
      </c>
      <c r="D826" s="8">
        <v>1.33</v>
      </c>
      <c r="E826" s="4">
        <v>1</v>
      </c>
      <c r="F826" s="8">
        <v>0.63</v>
      </c>
      <c r="G826" s="4">
        <v>4</v>
      </c>
      <c r="H826" s="8">
        <v>1.91</v>
      </c>
      <c r="I826" s="4">
        <v>0</v>
      </c>
    </row>
    <row r="827" spans="1:9" x14ac:dyDescent="0.2">
      <c r="A827" s="2">
        <v>17</v>
      </c>
      <c r="B827" s="1" t="s">
        <v>247</v>
      </c>
      <c r="C827" s="4">
        <v>5</v>
      </c>
      <c r="D827" s="8">
        <v>1.33</v>
      </c>
      <c r="E827" s="4">
        <v>5</v>
      </c>
      <c r="F827" s="8">
        <v>3.14</v>
      </c>
      <c r="G827" s="4">
        <v>0</v>
      </c>
      <c r="H827" s="8">
        <v>0</v>
      </c>
      <c r="I827" s="4">
        <v>0</v>
      </c>
    </row>
    <row r="828" spans="1:9" x14ac:dyDescent="0.2">
      <c r="A828" s="1"/>
      <c r="C828" s="4"/>
      <c r="D828" s="8"/>
      <c r="E828" s="4"/>
      <c r="F828" s="8"/>
      <c r="G828" s="4"/>
      <c r="H828" s="8"/>
      <c r="I828" s="4"/>
    </row>
    <row r="829" spans="1:9" x14ac:dyDescent="0.2">
      <c r="A829" s="1" t="s">
        <v>33</v>
      </c>
      <c r="C829" s="4"/>
      <c r="D829" s="8"/>
      <c r="E829" s="4"/>
      <c r="F829" s="8"/>
      <c r="G829" s="4"/>
      <c r="H829" s="8"/>
      <c r="I829" s="4"/>
    </row>
    <row r="830" spans="1:9" x14ac:dyDescent="0.2">
      <c r="A830" s="2">
        <v>1</v>
      </c>
      <c r="B830" s="1" t="s">
        <v>185</v>
      </c>
      <c r="C830" s="4">
        <v>53</v>
      </c>
      <c r="D830" s="8">
        <v>17.79</v>
      </c>
      <c r="E830" s="4">
        <v>47</v>
      </c>
      <c r="F830" s="8">
        <v>24.23</v>
      </c>
      <c r="G830" s="4">
        <v>6</v>
      </c>
      <c r="H830" s="8">
        <v>5.88</v>
      </c>
      <c r="I830" s="4">
        <v>0</v>
      </c>
    </row>
    <row r="831" spans="1:9" x14ac:dyDescent="0.2">
      <c r="A831" s="2">
        <v>2</v>
      </c>
      <c r="B831" s="1" t="s">
        <v>174</v>
      </c>
      <c r="C831" s="4">
        <v>15</v>
      </c>
      <c r="D831" s="8">
        <v>5.03</v>
      </c>
      <c r="E831" s="4">
        <v>8</v>
      </c>
      <c r="F831" s="8">
        <v>4.12</v>
      </c>
      <c r="G831" s="4">
        <v>7</v>
      </c>
      <c r="H831" s="8">
        <v>6.86</v>
      </c>
      <c r="I831" s="4">
        <v>0</v>
      </c>
    </row>
    <row r="832" spans="1:9" x14ac:dyDescent="0.2">
      <c r="A832" s="2">
        <v>3</v>
      </c>
      <c r="B832" s="1" t="s">
        <v>175</v>
      </c>
      <c r="C832" s="4">
        <v>8</v>
      </c>
      <c r="D832" s="8">
        <v>2.68</v>
      </c>
      <c r="E832" s="4">
        <v>3</v>
      </c>
      <c r="F832" s="8">
        <v>1.55</v>
      </c>
      <c r="G832" s="4">
        <v>5</v>
      </c>
      <c r="H832" s="8">
        <v>4.9000000000000004</v>
      </c>
      <c r="I832" s="4">
        <v>0</v>
      </c>
    </row>
    <row r="833" spans="1:9" x14ac:dyDescent="0.2">
      <c r="A833" s="2">
        <v>3</v>
      </c>
      <c r="B833" s="1" t="s">
        <v>177</v>
      </c>
      <c r="C833" s="4">
        <v>8</v>
      </c>
      <c r="D833" s="8">
        <v>2.68</v>
      </c>
      <c r="E833" s="4">
        <v>5</v>
      </c>
      <c r="F833" s="8">
        <v>2.58</v>
      </c>
      <c r="G833" s="4">
        <v>3</v>
      </c>
      <c r="H833" s="8">
        <v>2.94</v>
      </c>
      <c r="I833" s="4">
        <v>0</v>
      </c>
    </row>
    <row r="834" spans="1:9" x14ac:dyDescent="0.2">
      <c r="A834" s="2">
        <v>3</v>
      </c>
      <c r="B834" s="1" t="s">
        <v>198</v>
      </c>
      <c r="C834" s="4">
        <v>8</v>
      </c>
      <c r="D834" s="8">
        <v>2.68</v>
      </c>
      <c r="E834" s="4">
        <v>8</v>
      </c>
      <c r="F834" s="8">
        <v>4.12</v>
      </c>
      <c r="G834" s="4">
        <v>0</v>
      </c>
      <c r="H834" s="8">
        <v>0</v>
      </c>
      <c r="I834" s="4">
        <v>0</v>
      </c>
    </row>
    <row r="835" spans="1:9" x14ac:dyDescent="0.2">
      <c r="A835" s="2">
        <v>6</v>
      </c>
      <c r="B835" s="1" t="s">
        <v>176</v>
      </c>
      <c r="C835" s="4">
        <v>7</v>
      </c>
      <c r="D835" s="8">
        <v>2.35</v>
      </c>
      <c r="E835" s="4">
        <v>5</v>
      </c>
      <c r="F835" s="8">
        <v>2.58</v>
      </c>
      <c r="G835" s="4">
        <v>2</v>
      </c>
      <c r="H835" s="8">
        <v>1.96</v>
      </c>
      <c r="I835" s="4">
        <v>0</v>
      </c>
    </row>
    <row r="836" spans="1:9" x14ac:dyDescent="0.2">
      <c r="A836" s="2">
        <v>7</v>
      </c>
      <c r="B836" s="1" t="s">
        <v>178</v>
      </c>
      <c r="C836" s="4">
        <v>6</v>
      </c>
      <c r="D836" s="8">
        <v>2.0099999999999998</v>
      </c>
      <c r="E836" s="4">
        <v>4</v>
      </c>
      <c r="F836" s="8">
        <v>2.06</v>
      </c>
      <c r="G836" s="4">
        <v>2</v>
      </c>
      <c r="H836" s="8">
        <v>1.96</v>
      </c>
      <c r="I836" s="4">
        <v>0</v>
      </c>
    </row>
    <row r="837" spans="1:9" x14ac:dyDescent="0.2">
      <c r="A837" s="2">
        <v>7</v>
      </c>
      <c r="B837" s="1" t="s">
        <v>191</v>
      </c>
      <c r="C837" s="4">
        <v>6</v>
      </c>
      <c r="D837" s="8">
        <v>2.0099999999999998</v>
      </c>
      <c r="E837" s="4">
        <v>5</v>
      </c>
      <c r="F837" s="8">
        <v>2.58</v>
      </c>
      <c r="G837" s="4">
        <v>1</v>
      </c>
      <c r="H837" s="8">
        <v>0.98</v>
      </c>
      <c r="I837" s="4">
        <v>0</v>
      </c>
    </row>
    <row r="838" spans="1:9" x14ac:dyDescent="0.2">
      <c r="A838" s="2">
        <v>9</v>
      </c>
      <c r="B838" s="1" t="s">
        <v>210</v>
      </c>
      <c r="C838" s="4">
        <v>5</v>
      </c>
      <c r="D838" s="8">
        <v>1.68</v>
      </c>
      <c r="E838" s="4">
        <v>4</v>
      </c>
      <c r="F838" s="8">
        <v>2.06</v>
      </c>
      <c r="G838" s="4">
        <v>1</v>
      </c>
      <c r="H838" s="8">
        <v>0.98</v>
      </c>
      <c r="I838" s="4">
        <v>0</v>
      </c>
    </row>
    <row r="839" spans="1:9" x14ac:dyDescent="0.2">
      <c r="A839" s="2">
        <v>9</v>
      </c>
      <c r="B839" s="1" t="s">
        <v>202</v>
      </c>
      <c r="C839" s="4">
        <v>5</v>
      </c>
      <c r="D839" s="8">
        <v>1.68</v>
      </c>
      <c r="E839" s="4">
        <v>3</v>
      </c>
      <c r="F839" s="8">
        <v>1.55</v>
      </c>
      <c r="G839" s="4">
        <v>2</v>
      </c>
      <c r="H839" s="8">
        <v>1.96</v>
      </c>
      <c r="I839" s="4">
        <v>0</v>
      </c>
    </row>
    <row r="840" spans="1:9" x14ac:dyDescent="0.2">
      <c r="A840" s="2">
        <v>9</v>
      </c>
      <c r="B840" s="1" t="s">
        <v>180</v>
      </c>
      <c r="C840" s="4">
        <v>5</v>
      </c>
      <c r="D840" s="8">
        <v>1.68</v>
      </c>
      <c r="E840" s="4">
        <v>4</v>
      </c>
      <c r="F840" s="8">
        <v>2.06</v>
      </c>
      <c r="G840" s="4">
        <v>1</v>
      </c>
      <c r="H840" s="8">
        <v>0.98</v>
      </c>
      <c r="I840" s="4">
        <v>0</v>
      </c>
    </row>
    <row r="841" spans="1:9" x14ac:dyDescent="0.2">
      <c r="A841" s="2">
        <v>9</v>
      </c>
      <c r="B841" s="1" t="s">
        <v>242</v>
      </c>
      <c r="C841" s="4">
        <v>5</v>
      </c>
      <c r="D841" s="8">
        <v>1.68</v>
      </c>
      <c r="E841" s="4">
        <v>1</v>
      </c>
      <c r="F841" s="8">
        <v>0.52</v>
      </c>
      <c r="G841" s="4">
        <v>4</v>
      </c>
      <c r="H841" s="8">
        <v>3.92</v>
      </c>
      <c r="I841" s="4">
        <v>0</v>
      </c>
    </row>
    <row r="842" spans="1:9" x14ac:dyDescent="0.2">
      <c r="A842" s="2">
        <v>9</v>
      </c>
      <c r="B842" s="1" t="s">
        <v>184</v>
      </c>
      <c r="C842" s="4">
        <v>5</v>
      </c>
      <c r="D842" s="8">
        <v>1.68</v>
      </c>
      <c r="E842" s="4">
        <v>2</v>
      </c>
      <c r="F842" s="8">
        <v>1.03</v>
      </c>
      <c r="G842" s="4">
        <v>3</v>
      </c>
      <c r="H842" s="8">
        <v>2.94</v>
      </c>
      <c r="I842" s="4">
        <v>0</v>
      </c>
    </row>
    <row r="843" spans="1:9" x14ac:dyDescent="0.2">
      <c r="A843" s="2">
        <v>9</v>
      </c>
      <c r="B843" s="1" t="s">
        <v>247</v>
      </c>
      <c r="C843" s="4">
        <v>5</v>
      </c>
      <c r="D843" s="8">
        <v>1.68</v>
      </c>
      <c r="E843" s="4">
        <v>4</v>
      </c>
      <c r="F843" s="8">
        <v>2.06</v>
      </c>
      <c r="G843" s="4">
        <v>1</v>
      </c>
      <c r="H843" s="8">
        <v>0.98</v>
      </c>
      <c r="I843" s="4">
        <v>0</v>
      </c>
    </row>
    <row r="844" spans="1:9" x14ac:dyDescent="0.2">
      <c r="A844" s="2">
        <v>15</v>
      </c>
      <c r="B844" s="1" t="s">
        <v>201</v>
      </c>
      <c r="C844" s="4">
        <v>4</v>
      </c>
      <c r="D844" s="8">
        <v>1.34</v>
      </c>
      <c r="E844" s="4">
        <v>3</v>
      </c>
      <c r="F844" s="8">
        <v>1.55</v>
      </c>
      <c r="G844" s="4">
        <v>1</v>
      </c>
      <c r="H844" s="8">
        <v>0.98</v>
      </c>
      <c r="I844" s="4">
        <v>0</v>
      </c>
    </row>
    <row r="845" spans="1:9" x14ac:dyDescent="0.2">
      <c r="A845" s="2">
        <v>15</v>
      </c>
      <c r="B845" s="1" t="s">
        <v>197</v>
      </c>
      <c r="C845" s="4">
        <v>4</v>
      </c>
      <c r="D845" s="8">
        <v>1.34</v>
      </c>
      <c r="E845" s="4">
        <v>3</v>
      </c>
      <c r="F845" s="8">
        <v>1.55</v>
      </c>
      <c r="G845" s="4">
        <v>1</v>
      </c>
      <c r="H845" s="8">
        <v>0.98</v>
      </c>
      <c r="I845" s="4">
        <v>0</v>
      </c>
    </row>
    <row r="846" spans="1:9" x14ac:dyDescent="0.2">
      <c r="A846" s="2">
        <v>15</v>
      </c>
      <c r="B846" s="1" t="s">
        <v>220</v>
      </c>
      <c r="C846" s="4">
        <v>4</v>
      </c>
      <c r="D846" s="8">
        <v>1.34</v>
      </c>
      <c r="E846" s="4">
        <v>4</v>
      </c>
      <c r="F846" s="8">
        <v>2.06</v>
      </c>
      <c r="G846" s="4">
        <v>0</v>
      </c>
      <c r="H846" s="8">
        <v>0</v>
      </c>
      <c r="I846" s="4">
        <v>0</v>
      </c>
    </row>
    <row r="847" spans="1:9" x14ac:dyDescent="0.2">
      <c r="A847" s="2">
        <v>15</v>
      </c>
      <c r="B847" s="1" t="s">
        <v>190</v>
      </c>
      <c r="C847" s="4">
        <v>4</v>
      </c>
      <c r="D847" s="8">
        <v>1.34</v>
      </c>
      <c r="E847" s="4">
        <v>4</v>
      </c>
      <c r="F847" s="8">
        <v>2.06</v>
      </c>
      <c r="G847" s="4">
        <v>0</v>
      </c>
      <c r="H847" s="8">
        <v>0</v>
      </c>
      <c r="I847" s="4">
        <v>0</v>
      </c>
    </row>
    <row r="848" spans="1:9" x14ac:dyDescent="0.2">
      <c r="A848" s="2">
        <v>15</v>
      </c>
      <c r="B848" s="1" t="s">
        <v>192</v>
      </c>
      <c r="C848" s="4">
        <v>4</v>
      </c>
      <c r="D848" s="8">
        <v>1.34</v>
      </c>
      <c r="E848" s="4">
        <v>4</v>
      </c>
      <c r="F848" s="8">
        <v>2.06</v>
      </c>
      <c r="G848" s="4">
        <v>0</v>
      </c>
      <c r="H848" s="8">
        <v>0</v>
      </c>
      <c r="I848" s="4">
        <v>0</v>
      </c>
    </row>
    <row r="849" spans="1:9" x14ac:dyDescent="0.2">
      <c r="A849" s="2">
        <v>15</v>
      </c>
      <c r="B849" s="1" t="s">
        <v>200</v>
      </c>
      <c r="C849" s="4">
        <v>4</v>
      </c>
      <c r="D849" s="8">
        <v>1.34</v>
      </c>
      <c r="E849" s="4">
        <v>4</v>
      </c>
      <c r="F849" s="8">
        <v>2.06</v>
      </c>
      <c r="G849" s="4">
        <v>0</v>
      </c>
      <c r="H849" s="8">
        <v>0</v>
      </c>
      <c r="I849" s="4">
        <v>0</v>
      </c>
    </row>
    <row r="850" spans="1:9" x14ac:dyDescent="0.2">
      <c r="A850" s="1"/>
      <c r="C850" s="4"/>
      <c r="D850" s="8"/>
      <c r="E850" s="4"/>
      <c r="F850" s="8"/>
      <c r="G850" s="4"/>
      <c r="H850" s="8"/>
      <c r="I850" s="4"/>
    </row>
    <row r="851" spans="1:9" x14ac:dyDescent="0.2">
      <c r="A851" s="1" t="s">
        <v>34</v>
      </c>
      <c r="C851" s="4"/>
      <c r="D851" s="8"/>
      <c r="E851" s="4"/>
      <c r="F851" s="8"/>
      <c r="G851" s="4"/>
      <c r="H851" s="8"/>
      <c r="I851" s="4"/>
    </row>
    <row r="852" spans="1:9" x14ac:dyDescent="0.2">
      <c r="A852" s="2">
        <v>1</v>
      </c>
      <c r="B852" s="1" t="s">
        <v>191</v>
      </c>
      <c r="C852" s="4">
        <v>33</v>
      </c>
      <c r="D852" s="8">
        <v>5.8</v>
      </c>
      <c r="E852" s="4">
        <v>29</v>
      </c>
      <c r="F852" s="8">
        <v>8.92</v>
      </c>
      <c r="G852" s="4">
        <v>4</v>
      </c>
      <c r="H852" s="8">
        <v>1.65</v>
      </c>
      <c r="I852" s="4">
        <v>0</v>
      </c>
    </row>
    <row r="853" spans="1:9" x14ac:dyDescent="0.2">
      <c r="A853" s="2">
        <v>2</v>
      </c>
      <c r="B853" s="1" t="s">
        <v>183</v>
      </c>
      <c r="C853" s="4">
        <v>20</v>
      </c>
      <c r="D853" s="8">
        <v>3.51</v>
      </c>
      <c r="E853" s="4">
        <v>14</v>
      </c>
      <c r="F853" s="8">
        <v>4.3099999999999996</v>
      </c>
      <c r="G853" s="4">
        <v>6</v>
      </c>
      <c r="H853" s="8">
        <v>2.48</v>
      </c>
      <c r="I853" s="4">
        <v>0</v>
      </c>
    </row>
    <row r="854" spans="1:9" x14ac:dyDescent="0.2">
      <c r="A854" s="2">
        <v>3</v>
      </c>
      <c r="B854" s="1" t="s">
        <v>174</v>
      </c>
      <c r="C854" s="4">
        <v>14</v>
      </c>
      <c r="D854" s="8">
        <v>2.46</v>
      </c>
      <c r="E854" s="4">
        <v>3</v>
      </c>
      <c r="F854" s="8">
        <v>0.92</v>
      </c>
      <c r="G854" s="4">
        <v>11</v>
      </c>
      <c r="H854" s="8">
        <v>4.55</v>
      </c>
      <c r="I854" s="4">
        <v>0</v>
      </c>
    </row>
    <row r="855" spans="1:9" x14ac:dyDescent="0.2">
      <c r="A855" s="2">
        <v>3</v>
      </c>
      <c r="B855" s="1" t="s">
        <v>175</v>
      </c>
      <c r="C855" s="4">
        <v>14</v>
      </c>
      <c r="D855" s="8">
        <v>2.46</v>
      </c>
      <c r="E855" s="4">
        <v>4</v>
      </c>
      <c r="F855" s="8">
        <v>1.23</v>
      </c>
      <c r="G855" s="4">
        <v>10</v>
      </c>
      <c r="H855" s="8">
        <v>4.13</v>
      </c>
      <c r="I855" s="4">
        <v>0</v>
      </c>
    </row>
    <row r="856" spans="1:9" x14ac:dyDescent="0.2">
      <c r="A856" s="2">
        <v>3</v>
      </c>
      <c r="B856" s="1" t="s">
        <v>186</v>
      </c>
      <c r="C856" s="4">
        <v>14</v>
      </c>
      <c r="D856" s="8">
        <v>2.46</v>
      </c>
      <c r="E856" s="4">
        <v>12</v>
      </c>
      <c r="F856" s="8">
        <v>3.69</v>
      </c>
      <c r="G856" s="4">
        <v>2</v>
      </c>
      <c r="H856" s="8">
        <v>0.83</v>
      </c>
      <c r="I856" s="4">
        <v>0</v>
      </c>
    </row>
    <row r="857" spans="1:9" x14ac:dyDescent="0.2">
      <c r="A857" s="2">
        <v>3</v>
      </c>
      <c r="B857" s="1" t="s">
        <v>189</v>
      </c>
      <c r="C857" s="4">
        <v>14</v>
      </c>
      <c r="D857" s="8">
        <v>2.46</v>
      </c>
      <c r="E857" s="4">
        <v>14</v>
      </c>
      <c r="F857" s="8">
        <v>4.3099999999999996</v>
      </c>
      <c r="G857" s="4">
        <v>0</v>
      </c>
      <c r="H857" s="8">
        <v>0</v>
      </c>
      <c r="I857" s="4">
        <v>0</v>
      </c>
    </row>
    <row r="858" spans="1:9" x14ac:dyDescent="0.2">
      <c r="A858" s="2">
        <v>7</v>
      </c>
      <c r="B858" s="1" t="s">
        <v>188</v>
      </c>
      <c r="C858" s="4">
        <v>13</v>
      </c>
      <c r="D858" s="8">
        <v>2.2799999999999998</v>
      </c>
      <c r="E858" s="4">
        <v>12</v>
      </c>
      <c r="F858" s="8">
        <v>3.69</v>
      </c>
      <c r="G858" s="4">
        <v>1</v>
      </c>
      <c r="H858" s="8">
        <v>0.41</v>
      </c>
      <c r="I858" s="4">
        <v>0</v>
      </c>
    </row>
    <row r="859" spans="1:9" x14ac:dyDescent="0.2">
      <c r="A859" s="2">
        <v>8</v>
      </c>
      <c r="B859" s="1" t="s">
        <v>203</v>
      </c>
      <c r="C859" s="4">
        <v>12</v>
      </c>
      <c r="D859" s="8">
        <v>2.11</v>
      </c>
      <c r="E859" s="4">
        <v>4</v>
      </c>
      <c r="F859" s="8">
        <v>1.23</v>
      </c>
      <c r="G859" s="4">
        <v>8</v>
      </c>
      <c r="H859" s="8">
        <v>3.31</v>
      </c>
      <c r="I859" s="4">
        <v>0</v>
      </c>
    </row>
    <row r="860" spans="1:9" x14ac:dyDescent="0.2">
      <c r="A860" s="2">
        <v>8</v>
      </c>
      <c r="B860" s="1" t="s">
        <v>179</v>
      </c>
      <c r="C860" s="4">
        <v>12</v>
      </c>
      <c r="D860" s="8">
        <v>2.11</v>
      </c>
      <c r="E860" s="4">
        <v>7</v>
      </c>
      <c r="F860" s="8">
        <v>2.15</v>
      </c>
      <c r="G860" s="4">
        <v>5</v>
      </c>
      <c r="H860" s="8">
        <v>2.0699999999999998</v>
      </c>
      <c r="I860" s="4">
        <v>0</v>
      </c>
    </row>
    <row r="861" spans="1:9" x14ac:dyDescent="0.2">
      <c r="A861" s="2">
        <v>10</v>
      </c>
      <c r="B861" s="1" t="s">
        <v>178</v>
      </c>
      <c r="C861" s="4">
        <v>11</v>
      </c>
      <c r="D861" s="8">
        <v>1.93</v>
      </c>
      <c r="E861" s="4">
        <v>5</v>
      </c>
      <c r="F861" s="8">
        <v>1.54</v>
      </c>
      <c r="G861" s="4">
        <v>6</v>
      </c>
      <c r="H861" s="8">
        <v>2.48</v>
      </c>
      <c r="I861" s="4">
        <v>0</v>
      </c>
    </row>
    <row r="862" spans="1:9" x14ac:dyDescent="0.2">
      <c r="A862" s="2">
        <v>10</v>
      </c>
      <c r="B862" s="1" t="s">
        <v>277</v>
      </c>
      <c r="C862" s="4">
        <v>11</v>
      </c>
      <c r="D862" s="8">
        <v>1.93</v>
      </c>
      <c r="E862" s="4">
        <v>5</v>
      </c>
      <c r="F862" s="8">
        <v>1.54</v>
      </c>
      <c r="G862" s="4">
        <v>6</v>
      </c>
      <c r="H862" s="8">
        <v>2.48</v>
      </c>
      <c r="I862" s="4">
        <v>0</v>
      </c>
    </row>
    <row r="863" spans="1:9" x14ac:dyDescent="0.2">
      <c r="A863" s="2">
        <v>10</v>
      </c>
      <c r="B863" s="1" t="s">
        <v>194</v>
      </c>
      <c r="C863" s="4">
        <v>11</v>
      </c>
      <c r="D863" s="8">
        <v>1.93</v>
      </c>
      <c r="E863" s="4">
        <v>5</v>
      </c>
      <c r="F863" s="8">
        <v>1.54</v>
      </c>
      <c r="G863" s="4">
        <v>6</v>
      </c>
      <c r="H863" s="8">
        <v>2.48</v>
      </c>
      <c r="I863" s="4">
        <v>0</v>
      </c>
    </row>
    <row r="864" spans="1:9" x14ac:dyDescent="0.2">
      <c r="A864" s="2">
        <v>10</v>
      </c>
      <c r="B864" s="1" t="s">
        <v>190</v>
      </c>
      <c r="C864" s="4">
        <v>11</v>
      </c>
      <c r="D864" s="8">
        <v>1.93</v>
      </c>
      <c r="E864" s="4">
        <v>11</v>
      </c>
      <c r="F864" s="8">
        <v>3.38</v>
      </c>
      <c r="G864" s="4">
        <v>0</v>
      </c>
      <c r="H864" s="8">
        <v>0</v>
      </c>
      <c r="I864" s="4">
        <v>0</v>
      </c>
    </row>
    <row r="865" spans="1:9" x14ac:dyDescent="0.2">
      <c r="A865" s="2">
        <v>10</v>
      </c>
      <c r="B865" s="1" t="s">
        <v>192</v>
      </c>
      <c r="C865" s="4">
        <v>11</v>
      </c>
      <c r="D865" s="8">
        <v>1.93</v>
      </c>
      <c r="E865" s="4">
        <v>10</v>
      </c>
      <c r="F865" s="8">
        <v>3.08</v>
      </c>
      <c r="G865" s="4">
        <v>1</v>
      </c>
      <c r="H865" s="8">
        <v>0.41</v>
      </c>
      <c r="I865" s="4">
        <v>0</v>
      </c>
    </row>
    <row r="866" spans="1:9" x14ac:dyDescent="0.2">
      <c r="A866" s="2">
        <v>15</v>
      </c>
      <c r="B866" s="1" t="s">
        <v>176</v>
      </c>
      <c r="C866" s="4">
        <v>10</v>
      </c>
      <c r="D866" s="8">
        <v>1.76</v>
      </c>
      <c r="E866" s="4">
        <v>3</v>
      </c>
      <c r="F866" s="8">
        <v>0.92</v>
      </c>
      <c r="G866" s="4">
        <v>7</v>
      </c>
      <c r="H866" s="8">
        <v>2.89</v>
      </c>
      <c r="I866" s="4">
        <v>0</v>
      </c>
    </row>
    <row r="867" spans="1:9" x14ac:dyDescent="0.2">
      <c r="A867" s="2">
        <v>15</v>
      </c>
      <c r="B867" s="1" t="s">
        <v>177</v>
      </c>
      <c r="C867" s="4">
        <v>10</v>
      </c>
      <c r="D867" s="8">
        <v>1.76</v>
      </c>
      <c r="E867" s="4">
        <v>7</v>
      </c>
      <c r="F867" s="8">
        <v>2.15</v>
      </c>
      <c r="G867" s="4">
        <v>3</v>
      </c>
      <c r="H867" s="8">
        <v>1.24</v>
      </c>
      <c r="I867" s="4">
        <v>0</v>
      </c>
    </row>
    <row r="868" spans="1:9" x14ac:dyDescent="0.2">
      <c r="A868" s="2">
        <v>15</v>
      </c>
      <c r="B868" s="1" t="s">
        <v>181</v>
      </c>
      <c r="C868" s="4">
        <v>10</v>
      </c>
      <c r="D868" s="8">
        <v>1.76</v>
      </c>
      <c r="E868" s="4">
        <v>7</v>
      </c>
      <c r="F868" s="8">
        <v>2.15</v>
      </c>
      <c r="G868" s="4">
        <v>3</v>
      </c>
      <c r="H868" s="8">
        <v>1.24</v>
      </c>
      <c r="I868" s="4">
        <v>0</v>
      </c>
    </row>
    <row r="869" spans="1:9" x14ac:dyDescent="0.2">
      <c r="A869" s="2">
        <v>15</v>
      </c>
      <c r="B869" s="1" t="s">
        <v>184</v>
      </c>
      <c r="C869" s="4">
        <v>10</v>
      </c>
      <c r="D869" s="8">
        <v>1.76</v>
      </c>
      <c r="E869" s="4">
        <v>3</v>
      </c>
      <c r="F869" s="8">
        <v>0.92</v>
      </c>
      <c r="G869" s="4">
        <v>7</v>
      </c>
      <c r="H869" s="8">
        <v>2.89</v>
      </c>
      <c r="I869" s="4">
        <v>0</v>
      </c>
    </row>
    <row r="870" spans="1:9" x14ac:dyDescent="0.2">
      <c r="A870" s="2">
        <v>19</v>
      </c>
      <c r="B870" s="1" t="s">
        <v>193</v>
      </c>
      <c r="C870" s="4">
        <v>8</v>
      </c>
      <c r="D870" s="8">
        <v>1.41</v>
      </c>
      <c r="E870" s="4">
        <v>8</v>
      </c>
      <c r="F870" s="8">
        <v>2.46</v>
      </c>
      <c r="G870" s="4">
        <v>0</v>
      </c>
      <c r="H870" s="8">
        <v>0</v>
      </c>
      <c r="I870" s="4">
        <v>0</v>
      </c>
    </row>
    <row r="871" spans="1:9" x14ac:dyDescent="0.2">
      <c r="A871" s="2">
        <v>20</v>
      </c>
      <c r="B871" s="1" t="s">
        <v>266</v>
      </c>
      <c r="C871" s="4">
        <v>7</v>
      </c>
      <c r="D871" s="8">
        <v>1.23</v>
      </c>
      <c r="E871" s="4">
        <v>3</v>
      </c>
      <c r="F871" s="8">
        <v>0.92</v>
      </c>
      <c r="G871" s="4">
        <v>4</v>
      </c>
      <c r="H871" s="8">
        <v>1.65</v>
      </c>
      <c r="I871" s="4">
        <v>0</v>
      </c>
    </row>
    <row r="872" spans="1:9" x14ac:dyDescent="0.2">
      <c r="A872" s="2">
        <v>20</v>
      </c>
      <c r="B872" s="1" t="s">
        <v>204</v>
      </c>
      <c r="C872" s="4">
        <v>7</v>
      </c>
      <c r="D872" s="8">
        <v>1.23</v>
      </c>
      <c r="E872" s="4">
        <v>2</v>
      </c>
      <c r="F872" s="8">
        <v>0.62</v>
      </c>
      <c r="G872" s="4">
        <v>5</v>
      </c>
      <c r="H872" s="8">
        <v>2.0699999999999998</v>
      </c>
      <c r="I872" s="4">
        <v>0</v>
      </c>
    </row>
    <row r="873" spans="1:9" x14ac:dyDescent="0.2">
      <c r="A873" s="2">
        <v>20</v>
      </c>
      <c r="B873" s="1" t="s">
        <v>216</v>
      </c>
      <c r="C873" s="4">
        <v>7</v>
      </c>
      <c r="D873" s="8">
        <v>1.23</v>
      </c>
      <c r="E873" s="4">
        <v>0</v>
      </c>
      <c r="F873" s="8">
        <v>0</v>
      </c>
      <c r="G873" s="4">
        <v>7</v>
      </c>
      <c r="H873" s="8">
        <v>2.89</v>
      </c>
      <c r="I873" s="4">
        <v>0</v>
      </c>
    </row>
    <row r="874" spans="1:9" x14ac:dyDescent="0.2">
      <c r="A874" s="2">
        <v>20</v>
      </c>
      <c r="B874" s="1" t="s">
        <v>199</v>
      </c>
      <c r="C874" s="4">
        <v>7</v>
      </c>
      <c r="D874" s="8">
        <v>1.23</v>
      </c>
      <c r="E874" s="4">
        <v>5</v>
      </c>
      <c r="F874" s="8">
        <v>1.54</v>
      </c>
      <c r="G874" s="4">
        <v>2</v>
      </c>
      <c r="H874" s="8">
        <v>0.83</v>
      </c>
      <c r="I874" s="4">
        <v>0</v>
      </c>
    </row>
    <row r="875" spans="1:9" x14ac:dyDescent="0.2">
      <c r="A875" s="2">
        <v>20</v>
      </c>
      <c r="B875" s="1" t="s">
        <v>278</v>
      </c>
      <c r="C875" s="4">
        <v>7</v>
      </c>
      <c r="D875" s="8">
        <v>1.23</v>
      </c>
      <c r="E875" s="4">
        <v>7</v>
      </c>
      <c r="F875" s="8">
        <v>2.15</v>
      </c>
      <c r="G875" s="4">
        <v>0</v>
      </c>
      <c r="H875" s="8">
        <v>0</v>
      </c>
      <c r="I875" s="4">
        <v>0</v>
      </c>
    </row>
    <row r="876" spans="1:9" x14ac:dyDescent="0.2">
      <c r="A876" s="1"/>
      <c r="C876" s="4"/>
      <c r="D876" s="8"/>
      <c r="E876" s="4"/>
      <c r="F876" s="8"/>
      <c r="G876" s="4"/>
      <c r="H876" s="8"/>
      <c r="I876" s="4"/>
    </row>
    <row r="877" spans="1:9" x14ac:dyDescent="0.2">
      <c r="A877" s="1" t="s">
        <v>35</v>
      </c>
      <c r="C877" s="4"/>
      <c r="D877" s="8"/>
      <c r="E877" s="4"/>
      <c r="F877" s="8"/>
      <c r="G877" s="4"/>
      <c r="H877" s="8"/>
      <c r="I877" s="4"/>
    </row>
    <row r="878" spans="1:9" x14ac:dyDescent="0.2">
      <c r="A878" s="2">
        <v>1</v>
      </c>
      <c r="B878" s="1" t="s">
        <v>191</v>
      </c>
      <c r="C878" s="4">
        <v>22</v>
      </c>
      <c r="D878" s="8">
        <v>3.75</v>
      </c>
      <c r="E878" s="4">
        <v>20</v>
      </c>
      <c r="F878" s="8">
        <v>6.99</v>
      </c>
      <c r="G878" s="4">
        <v>2</v>
      </c>
      <c r="H878" s="8">
        <v>0.67</v>
      </c>
      <c r="I878" s="4">
        <v>0</v>
      </c>
    </row>
    <row r="879" spans="1:9" x14ac:dyDescent="0.2">
      <c r="A879" s="2">
        <v>2</v>
      </c>
      <c r="B879" s="1" t="s">
        <v>203</v>
      </c>
      <c r="C879" s="4">
        <v>21</v>
      </c>
      <c r="D879" s="8">
        <v>3.58</v>
      </c>
      <c r="E879" s="4">
        <v>10</v>
      </c>
      <c r="F879" s="8">
        <v>3.5</v>
      </c>
      <c r="G879" s="4">
        <v>11</v>
      </c>
      <c r="H879" s="8">
        <v>3.68</v>
      </c>
      <c r="I879" s="4">
        <v>0</v>
      </c>
    </row>
    <row r="880" spans="1:9" x14ac:dyDescent="0.2">
      <c r="A880" s="2">
        <v>3</v>
      </c>
      <c r="B880" s="1" t="s">
        <v>180</v>
      </c>
      <c r="C880" s="4">
        <v>18</v>
      </c>
      <c r="D880" s="8">
        <v>3.07</v>
      </c>
      <c r="E880" s="4">
        <v>5</v>
      </c>
      <c r="F880" s="8">
        <v>1.75</v>
      </c>
      <c r="G880" s="4">
        <v>13</v>
      </c>
      <c r="H880" s="8">
        <v>4.3499999999999996</v>
      </c>
      <c r="I880" s="4">
        <v>0</v>
      </c>
    </row>
    <row r="881" spans="1:9" x14ac:dyDescent="0.2">
      <c r="A881" s="2">
        <v>4</v>
      </c>
      <c r="B881" s="1" t="s">
        <v>187</v>
      </c>
      <c r="C881" s="4">
        <v>16</v>
      </c>
      <c r="D881" s="8">
        <v>2.73</v>
      </c>
      <c r="E881" s="4">
        <v>9</v>
      </c>
      <c r="F881" s="8">
        <v>3.15</v>
      </c>
      <c r="G881" s="4">
        <v>7</v>
      </c>
      <c r="H881" s="8">
        <v>2.34</v>
      </c>
      <c r="I881" s="4">
        <v>0</v>
      </c>
    </row>
    <row r="882" spans="1:9" x14ac:dyDescent="0.2">
      <c r="A882" s="2">
        <v>4</v>
      </c>
      <c r="B882" s="1" t="s">
        <v>188</v>
      </c>
      <c r="C882" s="4">
        <v>16</v>
      </c>
      <c r="D882" s="8">
        <v>2.73</v>
      </c>
      <c r="E882" s="4">
        <v>10</v>
      </c>
      <c r="F882" s="8">
        <v>3.5</v>
      </c>
      <c r="G882" s="4">
        <v>6</v>
      </c>
      <c r="H882" s="8">
        <v>2.0099999999999998</v>
      </c>
      <c r="I882" s="4">
        <v>0</v>
      </c>
    </row>
    <row r="883" spans="1:9" x14ac:dyDescent="0.2">
      <c r="A883" s="2">
        <v>6</v>
      </c>
      <c r="B883" s="1" t="s">
        <v>183</v>
      </c>
      <c r="C883" s="4">
        <v>15</v>
      </c>
      <c r="D883" s="8">
        <v>2.56</v>
      </c>
      <c r="E883" s="4">
        <v>11</v>
      </c>
      <c r="F883" s="8">
        <v>3.85</v>
      </c>
      <c r="G883" s="4">
        <v>4</v>
      </c>
      <c r="H883" s="8">
        <v>1.34</v>
      </c>
      <c r="I883" s="4">
        <v>0</v>
      </c>
    </row>
    <row r="884" spans="1:9" x14ac:dyDescent="0.2">
      <c r="A884" s="2">
        <v>7</v>
      </c>
      <c r="B884" s="1" t="s">
        <v>176</v>
      </c>
      <c r="C884" s="4">
        <v>14</v>
      </c>
      <c r="D884" s="8">
        <v>2.39</v>
      </c>
      <c r="E884" s="4">
        <v>8</v>
      </c>
      <c r="F884" s="8">
        <v>2.8</v>
      </c>
      <c r="G884" s="4">
        <v>6</v>
      </c>
      <c r="H884" s="8">
        <v>2.0099999999999998</v>
      </c>
      <c r="I884" s="4">
        <v>0</v>
      </c>
    </row>
    <row r="885" spans="1:9" x14ac:dyDescent="0.2">
      <c r="A885" s="2">
        <v>7</v>
      </c>
      <c r="B885" s="1" t="s">
        <v>190</v>
      </c>
      <c r="C885" s="4">
        <v>14</v>
      </c>
      <c r="D885" s="8">
        <v>2.39</v>
      </c>
      <c r="E885" s="4">
        <v>11</v>
      </c>
      <c r="F885" s="8">
        <v>3.85</v>
      </c>
      <c r="G885" s="4">
        <v>3</v>
      </c>
      <c r="H885" s="8">
        <v>1</v>
      </c>
      <c r="I885" s="4">
        <v>0</v>
      </c>
    </row>
    <row r="886" spans="1:9" x14ac:dyDescent="0.2">
      <c r="A886" s="2">
        <v>9</v>
      </c>
      <c r="B886" s="1" t="s">
        <v>189</v>
      </c>
      <c r="C886" s="4">
        <v>13</v>
      </c>
      <c r="D886" s="8">
        <v>2.2200000000000002</v>
      </c>
      <c r="E886" s="4">
        <v>13</v>
      </c>
      <c r="F886" s="8">
        <v>4.55</v>
      </c>
      <c r="G886" s="4">
        <v>0</v>
      </c>
      <c r="H886" s="8">
        <v>0</v>
      </c>
      <c r="I886" s="4">
        <v>0</v>
      </c>
    </row>
    <row r="887" spans="1:9" x14ac:dyDescent="0.2">
      <c r="A887" s="2">
        <v>10</v>
      </c>
      <c r="B887" s="1" t="s">
        <v>204</v>
      </c>
      <c r="C887" s="4">
        <v>11</v>
      </c>
      <c r="D887" s="8">
        <v>1.88</v>
      </c>
      <c r="E887" s="4">
        <v>4</v>
      </c>
      <c r="F887" s="8">
        <v>1.4</v>
      </c>
      <c r="G887" s="4">
        <v>7</v>
      </c>
      <c r="H887" s="8">
        <v>2.34</v>
      </c>
      <c r="I887" s="4">
        <v>0</v>
      </c>
    </row>
    <row r="888" spans="1:9" x14ac:dyDescent="0.2">
      <c r="A888" s="2">
        <v>10</v>
      </c>
      <c r="B888" s="1" t="s">
        <v>179</v>
      </c>
      <c r="C888" s="4">
        <v>11</v>
      </c>
      <c r="D888" s="8">
        <v>1.88</v>
      </c>
      <c r="E888" s="4">
        <v>6</v>
      </c>
      <c r="F888" s="8">
        <v>2.1</v>
      </c>
      <c r="G888" s="4">
        <v>5</v>
      </c>
      <c r="H888" s="8">
        <v>1.67</v>
      </c>
      <c r="I888" s="4">
        <v>0</v>
      </c>
    </row>
    <row r="889" spans="1:9" x14ac:dyDescent="0.2">
      <c r="A889" s="2">
        <v>10</v>
      </c>
      <c r="B889" s="1" t="s">
        <v>194</v>
      </c>
      <c r="C889" s="4">
        <v>11</v>
      </c>
      <c r="D889" s="8">
        <v>1.88</v>
      </c>
      <c r="E889" s="4">
        <v>5</v>
      </c>
      <c r="F889" s="8">
        <v>1.75</v>
      </c>
      <c r="G889" s="4">
        <v>6</v>
      </c>
      <c r="H889" s="8">
        <v>2.0099999999999998</v>
      </c>
      <c r="I889" s="4">
        <v>0</v>
      </c>
    </row>
    <row r="890" spans="1:9" x14ac:dyDescent="0.2">
      <c r="A890" s="2">
        <v>13</v>
      </c>
      <c r="B890" s="1" t="s">
        <v>175</v>
      </c>
      <c r="C890" s="4">
        <v>10</v>
      </c>
      <c r="D890" s="8">
        <v>1.71</v>
      </c>
      <c r="E890" s="4">
        <v>1</v>
      </c>
      <c r="F890" s="8">
        <v>0.35</v>
      </c>
      <c r="G890" s="4">
        <v>9</v>
      </c>
      <c r="H890" s="8">
        <v>3.01</v>
      </c>
      <c r="I890" s="4">
        <v>0</v>
      </c>
    </row>
    <row r="891" spans="1:9" x14ac:dyDescent="0.2">
      <c r="A891" s="2">
        <v>13</v>
      </c>
      <c r="B891" s="1" t="s">
        <v>210</v>
      </c>
      <c r="C891" s="4">
        <v>10</v>
      </c>
      <c r="D891" s="8">
        <v>1.71</v>
      </c>
      <c r="E891" s="4">
        <v>9</v>
      </c>
      <c r="F891" s="8">
        <v>3.15</v>
      </c>
      <c r="G891" s="4">
        <v>1</v>
      </c>
      <c r="H891" s="8">
        <v>0.33</v>
      </c>
      <c r="I891" s="4">
        <v>0</v>
      </c>
    </row>
    <row r="892" spans="1:9" x14ac:dyDescent="0.2">
      <c r="A892" s="2">
        <v>15</v>
      </c>
      <c r="B892" s="1" t="s">
        <v>279</v>
      </c>
      <c r="C892" s="4">
        <v>9</v>
      </c>
      <c r="D892" s="8">
        <v>1.54</v>
      </c>
      <c r="E892" s="4">
        <v>3</v>
      </c>
      <c r="F892" s="8">
        <v>1.05</v>
      </c>
      <c r="G892" s="4">
        <v>6</v>
      </c>
      <c r="H892" s="8">
        <v>2.0099999999999998</v>
      </c>
      <c r="I892" s="4">
        <v>0</v>
      </c>
    </row>
    <row r="893" spans="1:9" x14ac:dyDescent="0.2">
      <c r="A893" s="2">
        <v>15</v>
      </c>
      <c r="B893" s="1" t="s">
        <v>192</v>
      </c>
      <c r="C893" s="4">
        <v>9</v>
      </c>
      <c r="D893" s="8">
        <v>1.54</v>
      </c>
      <c r="E893" s="4">
        <v>6</v>
      </c>
      <c r="F893" s="8">
        <v>2.1</v>
      </c>
      <c r="G893" s="4">
        <v>3</v>
      </c>
      <c r="H893" s="8">
        <v>1</v>
      </c>
      <c r="I893" s="4">
        <v>0</v>
      </c>
    </row>
    <row r="894" spans="1:9" x14ac:dyDescent="0.2">
      <c r="A894" s="2">
        <v>15</v>
      </c>
      <c r="B894" s="1" t="s">
        <v>193</v>
      </c>
      <c r="C894" s="4">
        <v>9</v>
      </c>
      <c r="D894" s="8">
        <v>1.54</v>
      </c>
      <c r="E894" s="4">
        <v>9</v>
      </c>
      <c r="F894" s="8">
        <v>3.15</v>
      </c>
      <c r="G894" s="4">
        <v>0</v>
      </c>
      <c r="H894" s="8">
        <v>0</v>
      </c>
      <c r="I894" s="4">
        <v>0</v>
      </c>
    </row>
    <row r="895" spans="1:9" x14ac:dyDescent="0.2">
      <c r="A895" s="2">
        <v>18</v>
      </c>
      <c r="B895" s="1" t="s">
        <v>275</v>
      </c>
      <c r="C895" s="4">
        <v>8</v>
      </c>
      <c r="D895" s="8">
        <v>1.37</v>
      </c>
      <c r="E895" s="4">
        <v>4</v>
      </c>
      <c r="F895" s="8">
        <v>1.4</v>
      </c>
      <c r="G895" s="4">
        <v>4</v>
      </c>
      <c r="H895" s="8">
        <v>1.34</v>
      </c>
      <c r="I895" s="4">
        <v>0</v>
      </c>
    </row>
    <row r="896" spans="1:9" x14ac:dyDescent="0.2">
      <c r="A896" s="2">
        <v>18</v>
      </c>
      <c r="B896" s="1" t="s">
        <v>196</v>
      </c>
      <c r="C896" s="4">
        <v>8</v>
      </c>
      <c r="D896" s="8">
        <v>1.37</v>
      </c>
      <c r="E896" s="4">
        <v>2</v>
      </c>
      <c r="F896" s="8">
        <v>0.7</v>
      </c>
      <c r="G896" s="4">
        <v>6</v>
      </c>
      <c r="H896" s="8">
        <v>2.0099999999999998</v>
      </c>
      <c r="I896" s="4">
        <v>0</v>
      </c>
    </row>
    <row r="897" spans="1:9" x14ac:dyDescent="0.2">
      <c r="A897" s="2">
        <v>18</v>
      </c>
      <c r="B897" s="1" t="s">
        <v>200</v>
      </c>
      <c r="C897" s="4">
        <v>8</v>
      </c>
      <c r="D897" s="8">
        <v>1.37</v>
      </c>
      <c r="E897" s="4">
        <v>5</v>
      </c>
      <c r="F897" s="8">
        <v>1.75</v>
      </c>
      <c r="G897" s="4">
        <v>3</v>
      </c>
      <c r="H897" s="8">
        <v>1</v>
      </c>
      <c r="I897" s="4">
        <v>0</v>
      </c>
    </row>
    <row r="898" spans="1:9" x14ac:dyDescent="0.2">
      <c r="A898" s="1"/>
      <c r="C898" s="4"/>
      <c r="D898" s="8"/>
      <c r="E898" s="4"/>
      <c r="F898" s="8"/>
      <c r="G898" s="4"/>
      <c r="H898" s="8"/>
      <c r="I898" s="4"/>
    </row>
    <row r="899" spans="1:9" x14ac:dyDescent="0.2">
      <c r="A899" s="1" t="s">
        <v>36</v>
      </c>
      <c r="C899" s="4"/>
      <c r="D899" s="8"/>
      <c r="E899" s="4"/>
      <c r="F899" s="8"/>
      <c r="G899" s="4"/>
      <c r="H899" s="8"/>
      <c r="I899" s="4"/>
    </row>
    <row r="900" spans="1:9" x14ac:dyDescent="0.2">
      <c r="A900" s="2">
        <v>1</v>
      </c>
      <c r="B900" s="1" t="s">
        <v>191</v>
      </c>
      <c r="C900" s="4">
        <v>17</v>
      </c>
      <c r="D900" s="8">
        <v>6.32</v>
      </c>
      <c r="E900" s="4">
        <v>16</v>
      </c>
      <c r="F900" s="8">
        <v>9.36</v>
      </c>
      <c r="G900" s="4">
        <v>1</v>
      </c>
      <c r="H900" s="8">
        <v>1.04</v>
      </c>
      <c r="I900" s="4">
        <v>0</v>
      </c>
    </row>
    <row r="901" spans="1:9" x14ac:dyDescent="0.2">
      <c r="A901" s="2">
        <v>2</v>
      </c>
      <c r="B901" s="1" t="s">
        <v>174</v>
      </c>
      <c r="C901" s="4">
        <v>13</v>
      </c>
      <c r="D901" s="8">
        <v>4.83</v>
      </c>
      <c r="E901" s="4">
        <v>5</v>
      </c>
      <c r="F901" s="8">
        <v>2.92</v>
      </c>
      <c r="G901" s="4">
        <v>8</v>
      </c>
      <c r="H901" s="8">
        <v>8.33</v>
      </c>
      <c r="I901" s="4">
        <v>0</v>
      </c>
    </row>
    <row r="902" spans="1:9" x14ac:dyDescent="0.2">
      <c r="A902" s="2">
        <v>3</v>
      </c>
      <c r="B902" s="1" t="s">
        <v>193</v>
      </c>
      <c r="C902" s="4">
        <v>12</v>
      </c>
      <c r="D902" s="8">
        <v>4.46</v>
      </c>
      <c r="E902" s="4">
        <v>12</v>
      </c>
      <c r="F902" s="8">
        <v>7.02</v>
      </c>
      <c r="G902" s="4">
        <v>0</v>
      </c>
      <c r="H902" s="8">
        <v>0</v>
      </c>
      <c r="I902" s="4">
        <v>0</v>
      </c>
    </row>
    <row r="903" spans="1:9" x14ac:dyDescent="0.2">
      <c r="A903" s="2">
        <v>4</v>
      </c>
      <c r="B903" s="1" t="s">
        <v>187</v>
      </c>
      <c r="C903" s="4">
        <v>10</v>
      </c>
      <c r="D903" s="8">
        <v>3.72</v>
      </c>
      <c r="E903" s="4">
        <v>8</v>
      </c>
      <c r="F903" s="8">
        <v>4.68</v>
      </c>
      <c r="G903" s="4">
        <v>2</v>
      </c>
      <c r="H903" s="8">
        <v>2.08</v>
      </c>
      <c r="I903" s="4">
        <v>0</v>
      </c>
    </row>
    <row r="904" spans="1:9" x14ac:dyDescent="0.2">
      <c r="A904" s="2">
        <v>5</v>
      </c>
      <c r="B904" s="1" t="s">
        <v>197</v>
      </c>
      <c r="C904" s="4">
        <v>8</v>
      </c>
      <c r="D904" s="8">
        <v>2.97</v>
      </c>
      <c r="E904" s="4">
        <v>6</v>
      </c>
      <c r="F904" s="8">
        <v>3.51</v>
      </c>
      <c r="G904" s="4">
        <v>2</v>
      </c>
      <c r="H904" s="8">
        <v>2.08</v>
      </c>
      <c r="I904" s="4">
        <v>0</v>
      </c>
    </row>
    <row r="905" spans="1:9" x14ac:dyDescent="0.2">
      <c r="A905" s="2">
        <v>5</v>
      </c>
      <c r="B905" s="1" t="s">
        <v>192</v>
      </c>
      <c r="C905" s="4">
        <v>8</v>
      </c>
      <c r="D905" s="8">
        <v>2.97</v>
      </c>
      <c r="E905" s="4">
        <v>8</v>
      </c>
      <c r="F905" s="8">
        <v>4.68</v>
      </c>
      <c r="G905" s="4">
        <v>0</v>
      </c>
      <c r="H905" s="8">
        <v>0</v>
      </c>
      <c r="I905" s="4">
        <v>0</v>
      </c>
    </row>
    <row r="906" spans="1:9" x14ac:dyDescent="0.2">
      <c r="A906" s="2">
        <v>7</v>
      </c>
      <c r="B906" s="1" t="s">
        <v>175</v>
      </c>
      <c r="C906" s="4">
        <v>7</v>
      </c>
      <c r="D906" s="8">
        <v>2.6</v>
      </c>
      <c r="E906" s="4">
        <v>3</v>
      </c>
      <c r="F906" s="8">
        <v>1.75</v>
      </c>
      <c r="G906" s="4">
        <v>4</v>
      </c>
      <c r="H906" s="8">
        <v>4.17</v>
      </c>
      <c r="I906" s="4">
        <v>0</v>
      </c>
    </row>
    <row r="907" spans="1:9" x14ac:dyDescent="0.2">
      <c r="A907" s="2">
        <v>7</v>
      </c>
      <c r="B907" s="1" t="s">
        <v>184</v>
      </c>
      <c r="C907" s="4">
        <v>7</v>
      </c>
      <c r="D907" s="8">
        <v>2.6</v>
      </c>
      <c r="E907" s="4">
        <v>4</v>
      </c>
      <c r="F907" s="8">
        <v>2.34</v>
      </c>
      <c r="G907" s="4">
        <v>2</v>
      </c>
      <c r="H907" s="8">
        <v>2.08</v>
      </c>
      <c r="I907" s="4">
        <v>0</v>
      </c>
    </row>
    <row r="908" spans="1:9" x14ac:dyDescent="0.2">
      <c r="A908" s="2">
        <v>7</v>
      </c>
      <c r="B908" s="1" t="s">
        <v>189</v>
      </c>
      <c r="C908" s="4">
        <v>7</v>
      </c>
      <c r="D908" s="8">
        <v>2.6</v>
      </c>
      <c r="E908" s="4">
        <v>7</v>
      </c>
      <c r="F908" s="8">
        <v>4.09</v>
      </c>
      <c r="G908" s="4">
        <v>0</v>
      </c>
      <c r="H908" s="8">
        <v>0</v>
      </c>
      <c r="I908" s="4">
        <v>0</v>
      </c>
    </row>
    <row r="909" spans="1:9" x14ac:dyDescent="0.2">
      <c r="A909" s="2">
        <v>7</v>
      </c>
      <c r="B909" s="1" t="s">
        <v>190</v>
      </c>
      <c r="C909" s="4">
        <v>7</v>
      </c>
      <c r="D909" s="8">
        <v>2.6</v>
      </c>
      <c r="E909" s="4">
        <v>7</v>
      </c>
      <c r="F909" s="8">
        <v>4.09</v>
      </c>
      <c r="G909" s="4">
        <v>0</v>
      </c>
      <c r="H909" s="8">
        <v>0</v>
      </c>
      <c r="I909" s="4">
        <v>0</v>
      </c>
    </row>
    <row r="910" spans="1:9" x14ac:dyDescent="0.2">
      <c r="A910" s="2">
        <v>11</v>
      </c>
      <c r="B910" s="1" t="s">
        <v>176</v>
      </c>
      <c r="C910" s="4">
        <v>6</v>
      </c>
      <c r="D910" s="8">
        <v>2.23</v>
      </c>
      <c r="E910" s="4">
        <v>4</v>
      </c>
      <c r="F910" s="8">
        <v>2.34</v>
      </c>
      <c r="G910" s="4">
        <v>2</v>
      </c>
      <c r="H910" s="8">
        <v>2.08</v>
      </c>
      <c r="I910" s="4">
        <v>0</v>
      </c>
    </row>
    <row r="911" spans="1:9" x14ac:dyDescent="0.2">
      <c r="A911" s="2">
        <v>11</v>
      </c>
      <c r="B911" s="1" t="s">
        <v>210</v>
      </c>
      <c r="C911" s="4">
        <v>6</v>
      </c>
      <c r="D911" s="8">
        <v>2.23</v>
      </c>
      <c r="E911" s="4">
        <v>4</v>
      </c>
      <c r="F911" s="8">
        <v>2.34</v>
      </c>
      <c r="G911" s="4">
        <v>2</v>
      </c>
      <c r="H911" s="8">
        <v>2.08</v>
      </c>
      <c r="I911" s="4">
        <v>0</v>
      </c>
    </row>
    <row r="912" spans="1:9" x14ac:dyDescent="0.2">
      <c r="A912" s="2">
        <v>13</v>
      </c>
      <c r="B912" s="1" t="s">
        <v>280</v>
      </c>
      <c r="C912" s="4">
        <v>5</v>
      </c>
      <c r="D912" s="8">
        <v>1.86</v>
      </c>
      <c r="E912" s="4">
        <v>5</v>
      </c>
      <c r="F912" s="8">
        <v>2.92</v>
      </c>
      <c r="G912" s="4">
        <v>0</v>
      </c>
      <c r="H912" s="8">
        <v>0</v>
      </c>
      <c r="I912" s="4">
        <v>0</v>
      </c>
    </row>
    <row r="913" spans="1:9" x14ac:dyDescent="0.2">
      <c r="A913" s="2">
        <v>13</v>
      </c>
      <c r="B913" s="1" t="s">
        <v>188</v>
      </c>
      <c r="C913" s="4">
        <v>5</v>
      </c>
      <c r="D913" s="8">
        <v>1.86</v>
      </c>
      <c r="E913" s="4">
        <v>5</v>
      </c>
      <c r="F913" s="8">
        <v>2.92</v>
      </c>
      <c r="G913" s="4">
        <v>0</v>
      </c>
      <c r="H913" s="8">
        <v>0</v>
      </c>
      <c r="I913" s="4">
        <v>0</v>
      </c>
    </row>
    <row r="914" spans="1:9" x14ac:dyDescent="0.2">
      <c r="A914" s="2">
        <v>13</v>
      </c>
      <c r="B914" s="1" t="s">
        <v>198</v>
      </c>
      <c r="C914" s="4">
        <v>5</v>
      </c>
      <c r="D914" s="8">
        <v>1.86</v>
      </c>
      <c r="E914" s="4">
        <v>5</v>
      </c>
      <c r="F914" s="8">
        <v>2.92</v>
      </c>
      <c r="G914" s="4">
        <v>0</v>
      </c>
      <c r="H914" s="8">
        <v>0</v>
      </c>
      <c r="I914" s="4">
        <v>0</v>
      </c>
    </row>
    <row r="915" spans="1:9" x14ac:dyDescent="0.2">
      <c r="A915" s="2">
        <v>13</v>
      </c>
      <c r="B915" s="1" t="s">
        <v>200</v>
      </c>
      <c r="C915" s="4">
        <v>5</v>
      </c>
      <c r="D915" s="8">
        <v>1.86</v>
      </c>
      <c r="E915" s="4">
        <v>3</v>
      </c>
      <c r="F915" s="8">
        <v>1.75</v>
      </c>
      <c r="G915" s="4">
        <v>2</v>
      </c>
      <c r="H915" s="8">
        <v>2.08</v>
      </c>
      <c r="I915" s="4">
        <v>0</v>
      </c>
    </row>
    <row r="916" spans="1:9" x14ac:dyDescent="0.2">
      <c r="A916" s="2">
        <v>17</v>
      </c>
      <c r="B916" s="1" t="s">
        <v>208</v>
      </c>
      <c r="C916" s="4">
        <v>4</v>
      </c>
      <c r="D916" s="8">
        <v>1.49</v>
      </c>
      <c r="E916" s="4">
        <v>2</v>
      </c>
      <c r="F916" s="8">
        <v>1.17</v>
      </c>
      <c r="G916" s="4">
        <v>2</v>
      </c>
      <c r="H916" s="8">
        <v>2.08</v>
      </c>
      <c r="I916" s="4">
        <v>0</v>
      </c>
    </row>
    <row r="917" spans="1:9" x14ac:dyDescent="0.2">
      <c r="A917" s="2">
        <v>17</v>
      </c>
      <c r="B917" s="1" t="s">
        <v>201</v>
      </c>
      <c r="C917" s="4">
        <v>4</v>
      </c>
      <c r="D917" s="8">
        <v>1.49</v>
      </c>
      <c r="E917" s="4">
        <v>2</v>
      </c>
      <c r="F917" s="8">
        <v>1.17</v>
      </c>
      <c r="G917" s="4">
        <v>2</v>
      </c>
      <c r="H917" s="8">
        <v>2.08</v>
      </c>
      <c r="I917" s="4">
        <v>0</v>
      </c>
    </row>
    <row r="918" spans="1:9" x14ac:dyDescent="0.2">
      <c r="A918" s="2">
        <v>17</v>
      </c>
      <c r="B918" s="1" t="s">
        <v>178</v>
      </c>
      <c r="C918" s="4">
        <v>4</v>
      </c>
      <c r="D918" s="8">
        <v>1.49</v>
      </c>
      <c r="E918" s="4">
        <v>3</v>
      </c>
      <c r="F918" s="8">
        <v>1.75</v>
      </c>
      <c r="G918" s="4">
        <v>1</v>
      </c>
      <c r="H918" s="8">
        <v>1.04</v>
      </c>
      <c r="I918" s="4">
        <v>0</v>
      </c>
    </row>
    <row r="919" spans="1:9" x14ac:dyDescent="0.2">
      <c r="A919" s="2">
        <v>17</v>
      </c>
      <c r="B919" s="1" t="s">
        <v>203</v>
      </c>
      <c r="C919" s="4">
        <v>4</v>
      </c>
      <c r="D919" s="8">
        <v>1.49</v>
      </c>
      <c r="E919" s="4">
        <v>2</v>
      </c>
      <c r="F919" s="8">
        <v>1.17</v>
      </c>
      <c r="G919" s="4">
        <v>2</v>
      </c>
      <c r="H919" s="8">
        <v>2.08</v>
      </c>
      <c r="I919" s="4">
        <v>0</v>
      </c>
    </row>
    <row r="920" spans="1:9" x14ac:dyDescent="0.2">
      <c r="A920" s="2">
        <v>17</v>
      </c>
      <c r="B920" s="1" t="s">
        <v>196</v>
      </c>
      <c r="C920" s="4">
        <v>4</v>
      </c>
      <c r="D920" s="8">
        <v>1.49</v>
      </c>
      <c r="E920" s="4">
        <v>1</v>
      </c>
      <c r="F920" s="8">
        <v>0.57999999999999996</v>
      </c>
      <c r="G920" s="4">
        <v>3</v>
      </c>
      <c r="H920" s="8">
        <v>3.13</v>
      </c>
      <c r="I920" s="4">
        <v>0</v>
      </c>
    </row>
    <row r="921" spans="1:9" x14ac:dyDescent="0.2">
      <c r="A921" s="2">
        <v>17</v>
      </c>
      <c r="B921" s="1" t="s">
        <v>180</v>
      </c>
      <c r="C921" s="4">
        <v>4</v>
      </c>
      <c r="D921" s="8">
        <v>1.49</v>
      </c>
      <c r="E921" s="4">
        <v>4</v>
      </c>
      <c r="F921" s="8">
        <v>2.34</v>
      </c>
      <c r="G921" s="4">
        <v>0</v>
      </c>
      <c r="H921" s="8">
        <v>0</v>
      </c>
      <c r="I921" s="4">
        <v>0</v>
      </c>
    </row>
    <row r="922" spans="1:9" x14ac:dyDescent="0.2">
      <c r="A922" s="2">
        <v>17</v>
      </c>
      <c r="B922" s="1" t="s">
        <v>186</v>
      </c>
      <c r="C922" s="4">
        <v>4</v>
      </c>
      <c r="D922" s="8">
        <v>1.49</v>
      </c>
      <c r="E922" s="4">
        <v>3</v>
      </c>
      <c r="F922" s="8">
        <v>1.75</v>
      </c>
      <c r="G922" s="4">
        <v>1</v>
      </c>
      <c r="H922" s="8">
        <v>1.04</v>
      </c>
      <c r="I922" s="4">
        <v>0</v>
      </c>
    </row>
    <row r="923" spans="1:9" x14ac:dyDescent="0.2">
      <c r="A923" s="2">
        <v>17</v>
      </c>
      <c r="B923" s="1" t="s">
        <v>209</v>
      </c>
      <c r="C923" s="4">
        <v>4</v>
      </c>
      <c r="D923" s="8">
        <v>1.49</v>
      </c>
      <c r="E923" s="4">
        <v>4</v>
      </c>
      <c r="F923" s="8">
        <v>2.34</v>
      </c>
      <c r="G923" s="4">
        <v>0</v>
      </c>
      <c r="H923" s="8">
        <v>0</v>
      </c>
      <c r="I923" s="4">
        <v>0</v>
      </c>
    </row>
    <row r="924" spans="1:9" x14ac:dyDescent="0.2">
      <c r="A924" s="1"/>
      <c r="C924" s="4"/>
      <c r="D924" s="8"/>
      <c r="E924" s="4"/>
      <c r="F924" s="8"/>
      <c r="G924" s="4"/>
      <c r="H924" s="8"/>
      <c r="I924" s="4"/>
    </row>
    <row r="925" spans="1:9" x14ac:dyDescent="0.2">
      <c r="A925" s="1" t="s">
        <v>37</v>
      </c>
      <c r="C925" s="4"/>
      <c r="D925" s="8"/>
      <c r="E925" s="4"/>
      <c r="F925" s="8"/>
      <c r="G925" s="4"/>
      <c r="H925" s="8"/>
      <c r="I925" s="4"/>
    </row>
    <row r="926" spans="1:9" x14ac:dyDescent="0.2">
      <c r="A926" s="2">
        <v>1</v>
      </c>
      <c r="B926" s="1" t="s">
        <v>191</v>
      </c>
      <c r="C926" s="4">
        <v>22</v>
      </c>
      <c r="D926" s="8">
        <v>7.38</v>
      </c>
      <c r="E926" s="4">
        <v>21</v>
      </c>
      <c r="F926" s="8">
        <v>14.89</v>
      </c>
      <c r="G926" s="4">
        <v>1</v>
      </c>
      <c r="H926" s="8">
        <v>0.65</v>
      </c>
      <c r="I926" s="4">
        <v>0</v>
      </c>
    </row>
    <row r="927" spans="1:9" x14ac:dyDescent="0.2">
      <c r="A927" s="2">
        <v>2</v>
      </c>
      <c r="B927" s="1" t="s">
        <v>192</v>
      </c>
      <c r="C927" s="4">
        <v>16</v>
      </c>
      <c r="D927" s="8">
        <v>5.37</v>
      </c>
      <c r="E927" s="4">
        <v>14</v>
      </c>
      <c r="F927" s="8">
        <v>9.93</v>
      </c>
      <c r="G927" s="4">
        <v>2</v>
      </c>
      <c r="H927" s="8">
        <v>1.31</v>
      </c>
      <c r="I927" s="4">
        <v>0</v>
      </c>
    </row>
    <row r="928" spans="1:9" x14ac:dyDescent="0.2">
      <c r="A928" s="2">
        <v>3</v>
      </c>
      <c r="B928" s="1" t="s">
        <v>180</v>
      </c>
      <c r="C928" s="4">
        <v>10</v>
      </c>
      <c r="D928" s="8">
        <v>3.36</v>
      </c>
      <c r="E928" s="4">
        <v>2</v>
      </c>
      <c r="F928" s="8">
        <v>1.42</v>
      </c>
      <c r="G928" s="4">
        <v>8</v>
      </c>
      <c r="H928" s="8">
        <v>5.23</v>
      </c>
      <c r="I928" s="4">
        <v>0</v>
      </c>
    </row>
    <row r="929" spans="1:9" x14ac:dyDescent="0.2">
      <c r="A929" s="2">
        <v>3</v>
      </c>
      <c r="B929" s="1" t="s">
        <v>190</v>
      </c>
      <c r="C929" s="4">
        <v>10</v>
      </c>
      <c r="D929" s="8">
        <v>3.36</v>
      </c>
      <c r="E929" s="4">
        <v>10</v>
      </c>
      <c r="F929" s="8">
        <v>7.09</v>
      </c>
      <c r="G929" s="4">
        <v>0</v>
      </c>
      <c r="H929" s="8">
        <v>0</v>
      </c>
      <c r="I929" s="4">
        <v>0</v>
      </c>
    </row>
    <row r="930" spans="1:9" x14ac:dyDescent="0.2">
      <c r="A930" s="2">
        <v>3</v>
      </c>
      <c r="B930" s="1" t="s">
        <v>193</v>
      </c>
      <c r="C930" s="4">
        <v>10</v>
      </c>
      <c r="D930" s="8">
        <v>3.36</v>
      </c>
      <c r="E930" s="4">
        <v>10</v>
      </c>
      <c r="F930" s="8">
        <v>7.09</v>
      </c>
      <c r="G930" s="4">
        <v>0</v>
      </c>
      <c r="H930" s="8">
        <v>0</v>
      </c>
      <c r="I930" s="4">
        <v>0</v>
      </c>
    </row>
    <row r="931" spans="1:9" x14ac:dyDescent="0.2">
      <c r="A931" s="2">
        <v>6</v>
      </c>
      <c r="B931" s="1" t="s">
        <v>174</v>
      </c>
      <c r="C931" s="4">
        <v>9</v>
      </c>
      <c r="D931" s="8">
        <v>3.02</v>
      </c>
      <c r="E931" s="4">
        <v>3</v>
      </c>
      <c r="F931" s="8">
        <v>2.13</v>
      </c>
      <c r="G931" s="4">
        <v>6</v>
      </c>
      <c r="H931" s="8">
        <v>3.92</v>
      </c>
      <c r="I931" s="4">
        <v>0</v>
      </c>
    </row>
    <row r="932" spans="1:9" x14ac:dyDescent="0.2">
      <c r="A932" s="2">
        <v>7</v>
      </c>
      <c r="B932" s="1" t="s">
        <v>203</v>
      </c>
      <c r="C932" s="4">
        <v>7</v>
      </c>
      <c r="D932" s="8">
        <v>2.35</v>
      </c>
      <c r="E932" s="4">
        <v>1</v>
      </c>
      <c r="F932" s="8">
        <v>0.71</v>
      </c>
      <c r="G932" s="4">
        <v>6</v>
      </c>
      <c r="H932" s="8">
        <v>3.92</v>
      </c>
      <c r="I932" s="4">
        <v>0</v>
      </c>
    </row>
    <row r="933" spans="1:9" x14ac:dyDescent="0.2">
      <c r="A933" s="2">
        <v>7</v>
      </c>
      <c r="B933" s="1" t="s">
        <v>183</v>
      </c>
      <c r="C933" s="4">
        <v>7</v>
      </c>
      <c r="D933" s="8">
        <v>2.35</v>
      </c>
      <c r="E933" s="4">
        <v>5</v>
      </c>
      <c r="F933" s="8">
        <v>3.55</v>
      </c>
      <c r="G933" s="4">
        <v>2</v>
      </c>
      <c r="H933" s="8">
        <v>1.31</v>
      </c>
      <c r="I933" s="4">
        <v>0</v>
      </c>
    </row>
    <row r="934" spans="1:9" x14ac:dyDescent="0.2">
      <c r="A934" s="2">
        <v>7</v>
      </c>
      <c r="B934" s="1" t="s">
        <v>200</v>
      </c>
      <c r="C934" s="4">
        <v>7</v>
      </c>
      <c r="D934" s="8">
        <v>2.35</v>
      </c>
      <c r="E934" s="4">
        <v>4</v>
      </c>
      <c r="F934" s="8">
        <v>2.84</v>
      </c>
      <c r="G934" s="4">
        <v>3</v>
      </c>
      <c r="H934" s="8">
        <v>1.96</v>
      </c>
      <c r="I934" s="4">
        <v>0</v>
      </c>
    </row>
    <row r="935" spans="1:9" x14ac:dyDescent="0.2">
      <c r="A935" s="2">
        <v>10</v>
      </c>
      <c r="B935" s="1" t="s">
        <v>175</v>
      </c>
      <c r="C935" s="4">
        <v>6</v>
      </c>
      <c r="D935" s="8">
        <v>2.0099999999999998</v>
      </c>
      <c r="E935" s="4">
        <v>2</v>
      </c>
      <c r="F935" s="8">
        <v>1.42</v>
      </c>
      <c r="G935" s="4">
        <v>4</v>
      </c>
      <c r="H935" s="8">
        <v>2.61</v>
      </c>
      <c r="I935" s="4">
        <v>0</v>
      </c>
    </row>
    <row r="936" spans="1:9" x14ac:dyDescent="0.2">
      <c r="A936" s="2">
        <v>11</v>
      </c>
      <c r="B936" s="1" t="s">
        <v>177</v>
      </c>
      <c r="C936" s="4">
        <v>5</v>
      </c>
      <c r="D936" s="8">
        <v>1.68</v>
      </c>
      <c r="E936" s="4">
        <v>4</v>
      </c>
      <c r="F936" s="8">
        <v>2.84</v>
      </c>
      <c r="G936" s="4">
        <v>1</v>
      </c>
      <c r="H936" s="8">
        <v>0.65</v>
      </c>
      <c r="I936" s="4">
        <v>0</v>
      </c>
    </row>
    <row r="937" spans="1:9" x14ac:dyDescent="0.2">
      <c r="A937" s="2">
        <v>11</v>
      </c>
      <c r="B937" s="1" t="s">
        <v>281</v>
      </c>
      <c r="C937" s="4">
        <v>5</v>
      </c>
      <c r="D937" s="8">
        <v>1.68</v>
      </c>
      <c r="E937" s="4">
        <v>1</v>
      </c>
      <c r="F937" s="8">
        <v>0.71</v>
      </c>
      <c r="G937" s="4">
        <v>4</v>
      </c>
      <c r="H937" s="8">
        <v>2.61</v>
      </c>
      <c r="I937" s="4">
        <v>0</v>
      </c>
    </row>
    <row r="938" spans="1:9" x14ac:dyDescent="0.2">
      <c r="A938" s="2">
        <v>11</v>
      </c>
      <c r="B938" s="1" t="s">
        <v>282</v>
      </c>
      <c r="C938" s="4">
        <v>5</v>
      </c>
      <c r="D938" s="8">
        <v>1.68</v>
      </c>
      <c r="E938" s="4">
        <v>4</v>
      </c>
      <c r="F938" s="8">
        <v>2.84</v>
      </c>
      <c r="G938" s="4">
        <v>1</v>
      </c>
      <c r="H938" s="8">
        <v>0.65</v>
      </c>
      <c r="I938" s="4">
        <v>0</v>
      </c>
    </row>
    <row r="939" spans="1:9" x14ac:dyDescent="0.2">
      <c r="A939" s="2">
        <v>11</v>
      </c>
      <c r="B939" s="1" t="s">
        <v>187</v>
      </c>
      <c r="C939" s="4">
        <v>5</v>
      </c>
      <c r="D939" s="8">
        <v>1.68</v>
      </c>
      <c r="E939" s="4">
        <v>3</v>
      </c>
      <c r="F939" s="8">
        <v>2.13</v>
      </c>
      <c r="G939" s="4">
        <v>2</v>
      </c>
      <c r="H939" s="8">
        <v>1.31</v>
      </c>
      <c r="I939" s="4">
        <v>0</v>
      </c>
    </row>
    <row r="940" spans="1:9" x14ac:dyDescent="0.2">
      <c r="A940" s="2">
        <v>15</v>
      </c>
      <c r="B940" s="1" t="s">
        <v>178</v>
      </c>
      <c r="C940" s="4">
        <v>4</v>
      </c>
      <c r="D940" s="8">
        <v>1.34</v>
      </c>
      <c r="E940" s="4">
        <v>2</v>
      </c>
      <c r="F940" s="8">
        <v>1.42</v>
      </c>
      <c r="G940" s="4">
        <v>2</v>
      </c>
      <c r="H940" s="8">
        <v>1.31</v>
      </c>
      <c r="I940" s="4">
        <v>0</v>
      </c>
    </row>
    <row r="941" spans="1:9" x14ac:dyDescent="0.2">
      <c r="A941" s="2">
        <v>15</v>
      </c>
      <c r="B941" s="1" t="s">
        <v>202</v>
      </c>
      <c r="C941" s="4">
        <v>4</v>
      </c>
      <c r="D941" s="8">
        <v>1.34</v>
      </c>
      <c r="E941" s="4">
        <v>3</v>
      </c>
      <c r="F941" s="8">
        <v>2.13</v>
      </c>
      <c r="G941" s="4">
        <v>1</v>
      </c>
      <c r="H941" s="8">
        <v>0.65</v>
      </c>
      <c r="I941" s="4">
        <v>0</v>
      </c>
    </row>
    <row r="942" spans="1:9" x14ac:dyDescent="0.2">
      <c r="A942" s="2">
        <v>15</v>
      </c>
      <c r="B942" s="1" t="s">
        <v>211</v>
      </c>
      <c r="C942" s="4">
        <v>4</v>
      </c>
      <c r="D942" s="8">
        <v>1.34</v>
      </c>
      <c r="E942" s="4">
        <v>0</v>
      </c>
      <c r="F942" s="8">
        <v>0</v>
      </c>
      <c r="G942" s="4">
        <v>4</v>
      </c>
      <c r="H942" s="8">
        <v>2.61</v>
      </c>
      <c r="I942" s="4">
        <v>0</v>
      </c>
    </row>
    <row r="943" spans="1:9" x14ac:dyDescent="0.2">
      <c r="A943" s="2">
        <v>15</v>
      </c>
      <c r="B943" s="1" t="s">
        <v>206</v>
      </c>
      <c r="C943" s="4">
        <v>4</v>
      </c>
      <c r="D943" s="8">
        <v>1.34</v>
      </c>
      <c r="E943" s="4">
        <v>0</v>
      </c>
      <c r="F943" s="8">
        <v>0</v>
      </c>
      <c r="G943" s="4">
        <v>4</v>
      </c>
      <c r="H943" s="8">
        <v>2.61</v>
      </c>
      <c r="I943" s="4">
        <v>0</v>
      </c>
    </row>
    <row r="944" spans="1:9" x14ac:dyDescent="0.2">
      <c r="A944" s="2">
        <v>15</v>
      </c>
      <c r="B944" s="1" t="s">
        <v>181</v>
      </c>
      <c r="C944" s="4">
        <v>4</v>
      </c>
      <c r="D944" s="8">
        <v>1.34</v>
      </c>
      <c r="E944" s="4">
        <v>1</v>
      </c>
      <c r="F944" s="8">
        <v>0.71</v>
      </c>
      <c r="G944" s="4">
        <v>3</v>
      </c>
      <c r="H944" s="8">
        <v>1.96</v>
      </c>
      <c r="I944" s="4">
        <v>0</v>
      </c>
    </row>
    <row r="945" spans="1:9" x14ac:dyDescent="0.2">
      <c r="A945" s="2">
        <v>15</v>
      </c>
      <c r="B945" s="1" t="s">
        <v>199</v>
      </c>
      <c r="C945" s="4">
        <v>4</v>
      </c>
      <c r="D945" s="8">
        <v>1.34</v>
      </c>
      <c r="E945" s="4">
        <v>1</v>
      </c>
      <c r="F945" s="8">
        <v>0.71</v>
      </c>
      <c r="G945" s="4">
        <v>3</v>
      </c>
      <c r="H945" s="8">
        <v>1.96</v>
      </c>
      <c r="I945" s="4">
        <v>0</v>
      </c>
    </row>
    <row r="946" spans="1:9" x14ac:dyDescent="0.2">
      <c r="A946" s="2">
        <v>15</v>
      </c>
      <c r="B946" s="1" t="s">
        <v>283</v>
      </c>
      <c r="C946" s="4">
        <v>4</v>
      </c>
      <c r="D946" s="8">
        <v>1.34</v>
      </c>
      <c r="E946" s="4">
        <v>3</v>
      </c>
      <c r="F946" s="8">
        <v>2.13</v>
      </c>
      <c r="G946" s="4">
        <v>1</v>
      </c>
      <c r="H946" s="8">
        <v>0.65</v>
      </c>
      <c r="I946" s="4">
        <v>0</v>
      </c>
    </row>
    <row r="947" spans="1:9" x14ac:dyDescent="0.2">
      <c r="A947" s="1"/>
      <c r="C947" s="4"/>
      <c r="D947" s="8"/>
      <c r="E947" s="4"/>
      <c r="F947" s="8"/>
      <c r="G947" s="4"/>
      <c r="H947" s="8"/>
      <c r="I947" s="4"/>
    </row>
    <row r="948" spans="1:9" x14ac:dyDescent="0.2">
      <c r="A948" s="1" t="s">
        <v>38</v>
      </c>
      <c r="C948" s="4"/>
      <c r="D948" s="8"/>
      <c r="E948" s="4"/>
      <c r="F948" s="8"/>
      <c r="G948" s="4"/>
      <c r="H948" s="8"/>
      <c r="I948" s="4"/>
    </row>
    <row r="949" spans="1:9" x14ac:dyDescent="0.2">
      <c r="A949" s="2">
        <v>1</v>
      </c>
      <c r="B949" s="1" t="s">
        <v>187</v>
      </c>
      <c r="C949" s="4">
        <v>7</v>
      </c>
      <c r="D949" s="8">
        <v>5.83</v>
      </c>
      <c r="E949" s="4">
        <v>7</v>
      </c>
      <c r="F949" s="8">
        <v>9.33</v>
      </c>
      <c r="G949" s="4">
        <v>0</v>
      </c>
      <c r="H949" s="8">
        <v>0</v>
      </c>
      <c r="I949" s="4">
        <v>0</v>
      </c>
    </row>
    <row r="950" spans="1:9" x14ac:dyDescent="0.2">
      <c r="A950" s="2">
        <v>1</v>
      </c>
      <c r="B950" s="1" t="s">
        <v>191</v>
      </c>
      <c r="C950" s="4">
        <v>7</v>
      </c>
      <c r="D950" s="8">
        <v>5.83</v>
      </c>
      <c r="E950" s="4">
        <v>7</v>
      </c>
      <c r="F950" s="8">
        <v>9.33</v>
      </c>
      <c r="G950" s="4">
        <v>0</v>
      </c>
      <c r="H950" s="8">
        <v>0</v>
      </c>
      <c r="I950" s="4">
        <v>0</v>
      </c>
    </row>
    <row r="951" spans="1:9" x14ac:dyDescent="0.2">
      <c r="A951" s="2">
        <v>3</v>
      </c>
      <c r="B951" s="1" t="s">
        <v>174</v>
      </c>
      <c r="C951" s="4">
        <v>5</v>
      </c>
      <c r="D951" s="8">
        <v>4.17</v>
      </c>
      <c r="E951" s="4">
        <v>0</v>
      </c>
      <c r="F951" s="8">
        <v>0</v>
      </c>
      <c r="G951" s="4">
        <v>5</v>
      </c>
      <c r="H951" s="8">
        <v>11.9</v>
      </c>
      <c r="I951" s="4">
        <v>0</v>
      </c>
    </row>
    <row r="952" spans="1:9" x14ac:dyDescent="0.2">
      <c r="A952" s="2">
        <v>3</v>
      </c>
      <c r="B952" s="1" t="s">
        <v>175</v>
      </c>
      <c r="C952" s="4">
        <v>5</v>
      </c>
      <c r="D952" s="8">
        <v>4.17</v>
      </c>
      <c r="E952" s="4">
        <v>2</v>
      </c>
      <c r="F952" s="8">
        <v>2.67</v>
      </c>
      <c r="G952" s="4">
        <v>3</v>
      </c>
      <c r="H952" s="8">
        <v>7.14</v>
      </c>
      <c r="I952" s="4">
        <v>0</v>
      </c>
    </row>
    <row r="953" spans="1:9" x14ac:dyDescent="0.2">
      <c r="A953" s="2">
        <v>3</v>
      </c>
      <c r="B953" s="1" t="s">
        <v>266</v>
      </c>
      <c r="C953" s="4">
        <v>5</v>
      </c>
      <c r="D953" s="8">
        <v>4.17</v>
      </c>
      <c r="E953" s="4">
        <v>4</v>
      </c>
      <c r="F953" s="8">
        <v>5.33</v>
      </c>
      <c r="G953" s="4">
        <v>1</v>
      </c>
      <c r="H953" s="8">
        <v>2.38</v>
      </c>
      <c r="I953" s="4">
        <v>0</v>
      </c>
    </row>
    <row r="954" spans="1:9" x14ac:dyDescent="0.2">
      <c r="A954" s="2">
        <v>3</v>
      </c>
      <c r="B954" s="1" t="s">
        <v>193</v>
      </c>
      <c r="C954" s="4">
        <v>5</v>
      </c>
      <c r="D954" s="8">
        <v>4.17</v>
      </c>
      <c r="E954" s="4">
        <v>4</v>
      </c>
      <c r="F954" s="8">
        <v>5.33</v>
      </c>
      <c r="G954" s="4">
        <v>1</v>
      </c>
      <c r="H954" s="8">
        <v>2.38</v>
      </c>
      <c r="I954" s="4">
        <v>0</v>
      </c>
    </row>
    <row r="955" spans="1:9" x14ac:dyDescent="0.2">
      <c r="A955" s="2">
        <v>7</v>
      </c>
      <c r="B955" s="1" t="s">
        <v>197</v>
      </c>
      <c r="C955" s="4">
        <v>4</v>
      </c>
      <c r="D955" s="8">
        <v>3.33</v>
      </c>
      <c r="E955" s="4">
        <v>4</v>
      </c>
      <c r="F955" s="8">
        <v>5.33</v>
      </c>
      <c r="G955" s="4">
        <v>0</v>
      </c>
      <c r="H955" s="8">
        <v>0</v>
      </c>
      <c r="I955" s="4">
        <v>0</v>
      </c>
    </row>
    <row r="956" spans="1:9" x14ac:dyDescent="0.2">
      <c r="A956" s="2">
        <v>8</v>
      </c>
      <c r="B956" s="1" t="s">
        <v>179</v>
      </c>
      <c r="C956" s="4">
        <v>3</v>
      </c>
      <c r="D956" s="8">
        <v>2.5</v>
      </c>
      <c r="E956" s="4">
        <v>2</v>
      </c>
      <c r="F956" s="8">
        <v>2.67</v>
      </c>
      <c r="G956" s="4">
        <v>1</v>
      </c>
      <c r="H956" s="8">
        <v>2.38</v>
      </c>
      <c r="I956" s="4">
        <v>0</v>
      </c>
    </row>
    <row r="957" spans="1:9" x14ac:dyDescent="0.2">
      <c r="A957" s="2">
        <v>8</v>
      </c>
      <c r="B957" s="1" t="s">
        <v>216</v>
      </c>
      <c r="C957" s="4">
        <v>3</v>
      </c>
      <c r="D957" s="8">
        <v>2.5</v>
      </c>
      <c r="E957" s="4">
        <v>1</v>
      </c>
      <c r="F957" s="8">
        <v>1.33</v>
      </c>
      <c r="G957" s="4">
        <v>2</v>
      </c>
      <c r="H957" s="8">
        <v>4.76</v>
      </c>
      <c r="I957" s="4">
        <v>0</v>
      </c>
    </row>
    <row r="958" spans="1:9" x14ac:dyDescent="0.2">
      <c r="A958" s="2">
        <v>8</v>
      </c>
      <c r="B958" s="1" t="s">
        <v>200</v>
      </c>
      <c r="C958" s="4">
        <v>3</v>
      </c>
      <c r="D958" s="8">
        <v>2.5</v>
      </c>
      <c r="E958" s="4">
        <v>1</v>
      </c>
      <c r="F958" s="8">
        <v>1.33</v>
      </c>
      <c r="G958" s="4">
        <v>2</v>
      </c>
      <c r="H958" s="8">
        <v>4.76</v>
      </c>
      <c r="I958" s="4">
        <v>0</v>
      </c>
    </row>
    <row r="959" spans="1:9" x14ac:dyDescent="0.2">
      <c r="A959" s="2">
        <v>11</v>
      </c>
      <c r="B959" s="1" t="s">
        <v>176</v>
      </c>
      <c r="C959" s="4">
        <v>2</v>
      </c>
      <c r="D959" s="8">
        <v>1.67</v>
      </c>
      <c r="E959" s="4">
        <v>1</v>
      </c>
      <c r="F959" s="8">
        <v>1.33</v>
      </c>
      <c r="G959" s="4">
        <v>1</v>
      </c>
      <c r="H959" s="8">
        <v>2.38</v>
      </c>
      <c r="I959" s="4">
        <v>0</v>
      </c>
    </row>
    <row r="960" spans="1:9" x14ac:dyDescent="0.2">
      <c r="A960" s="2">
        <v>11</v>
      </c>
      <c r="B960" s="1" t="s">
        <v>208</v>
      </c>
      <c r="C960" s="4">
        <v>2</v>
      </c>
      <c r="D960" s="8">
        <v>1.67</v>
      </c>
      <c r="E960" s="4">
        <v>1</v>
      </c>
      <c r="F960" s="8">
        <v>1.33</v>
      </c>
      <c r="G960" s="4">
        <v>1</v>
      </c>
      <c r="H960" s="8">
        <v>2.38</v>
      </c>
      <c r="I960" s="4">
        <v>0</v>
      </c>
    </row>
    <row r="961" spans="1:9" x14ac:dyDescent="0.2">
      <c r="A961" s="2">
        <v>11</v>
      </c>
      <c r="B961" s="1" t="s">
        <v>210</v>
      </c>
      <c r="C961" s="4">
        <v>2</v>
      </c>
      <c r="D961" s="8">
        <v>1.67</v>
      </c>
      <c r="E961" s="4">
        <v>2</v>
      </c>
      <c r="F961" s="8">
        <v>2.67</v>
      </c>
      <c r="G961" s="4">
        <v>0</v>
      </c>
      <c r="H961" s="8">
        <v>0</v>
      </c>
      <c r="I961" s="4">
        <v>0</v>
      </c>
    </row>
    <row r="962" spans="1:9" x14ac:dyDescent="0.2">
      <c r="A962" s="2">
        <v>11</v>
      </c>
      <c r="B962" s="1" t="s">
        <v>261</v>
      </c>
      <c r="C962" s="4">
        <v>2</v>
      </c>
      <c r="D962" s="8">
        <v>1.67</v>
      </c>
      <c r="E962" s="4">
        <v>2</v>
      </c>
      <c r="F962" s="8">
        <v>2.67</v>
      </c>
      <c r="G962" s="4">
        <v>0</v>
      </c>
      <c r="H962" s="8">
        <v>0</v>
      </c>
      <c r="I962" s="4">
        <v>0</v>
      </c>
    </row>
    <row r="963" spans="1:9" x14ac:dyDescent="0.2">
      <c r="A963" s="2">
        <v>11</v>
      </c>
      <c r="B963" s="1" t="s">
        <v>177</v>
      </c>
      <c r="C963" s="4">
        <v>2</v>
      </c>
      <c r="D963" s="8">
        <v>1.67</v>
      </c>
      <c r="E963" s="4">
        <v>2</v>
      </c>
      <c r="F963" s="8">
        <v>2.67</v>
      </c>
      <c r="G963" s="4">
        <v>0</v>
      </c>
      <c r="H963" s="8">
        <v>0</v>
      </c>
      <c r="I963" s="4">
        <v>0</v>
      </c>
    </row>
    <row r="964" spans="1:9" x14ac:dyDescent="0.2">
      <c r="A964" s="2">
        <v>11</v>
      </c>
      <c r="B964" s="1" t="s">
        <v>178</v>
      </c>
      <c r="C964" s="4">
        <v>2</v>
      </c>
      <c r="D964" s="8">
        <v>1.67</v>
      </c>
      <c r="E964" s="4">
        <v>1</v>
      </c>
      <c r="F964" s="8">
        <v>1.33</v>
      </c>
      <c r="G964" s="4">
        <v>1</v>
      </c>
      <c r="H964" s="8">
        <v>2.38</v>
      </c>
      <c r="I964" s="4">
        <v>0</v>
      </c>
    </row>
    <row r="965" spans="1:9" x14ac:dyDescent="0.2">
      <c r="A965" s="2">
        <v>11</v>
      </c>
      <c r="B965" s="1" t="s">
        <v>284</v>
      </c>
      <c r="C965" s="4">
        <v>2</v>
      </c>
      <c r="D965" s="8">
        <v>1.67</v>
      </c>
      <c r="E965" s="4">
        <v>0</v>
      </c>
      <c r="F965" s="8">
        <v>0</v>
      </c>
      <c r="G965" s="4">
        <v>2</v>
      </c>
      <c r="H965" s="8">
        <v>4.76</v>
      </c>
      <c r="I965" s="4">
        <v>0</v>
      </c>
    </row>
    <row r="966" spans="1:9" x14ac:dyDescent="0.2">
      <c r="A966" s="2">
        <v>11</v>
      </c>
      <c r="B966" s="1" t="s">
        <v>236</v>
      </c>
      <c r="C966" s="4">
        <v>2</v>
      </c>
      <c r="D966" s="8">
        <v>1.67</v>
      </c>
      <c r="E966" s="4">
        <v>2</v>
      </c>
      <c r="F966" s="8">
        <v>2.67</v>
      </c>
      <c r="G966" s="4">
        <v>0</v>
      </c>
      <c r="H966" s="8">
        <v>0</v>
      </c>
      <c r="I966" s="4">
        <v>0</v>
      </c>
    </row>
    <row r="967" spans="1:9" x14ac:dyDescent="0.2">
      <c r="A967" s="2">
        <v>11</v>
      </c>
      <c r="B967" s="1" t="s">
        <v>268</v>
      </c>
      <c r="C967" s="4">
        <v>2</v>
      </c>
      <c r="D967" s="8">
        <v>1.67</v>
      </c>
      <c r="E967" s="4">
        <v>1</v>
      </c>
      <c r="F967" s="8">
        <v>1.33</v>
      </c>
      <c r="G967" s="4">
        <v>1</v>
      </c>
      <c r="H967" s="8">
        <v>2.38</v>
      </c>
      <c r="I967" s="4">
        <v>0</v>
      </c>
    </row>
    <row r="968" spans="1:9" x14ac:dyDescent="0.2">
      <c r="A968" s="2">
        <v>11</v>
      </c>
      <c r="B968" s="1" t="s">
        <v>285</v>
      </c>
      <c r="C968" s="4">
        <v>2</v>
      </c>
      <c r="D968" s="8">
        <v>1.67</v>
      </c>
      <c r="E968" s="4">
        <v>2</v>
      </c>
      <c r="F968" s="8">
        <v>2.67</v>
      </c>
      <c r="G968" s="4">
        <v>0</v>
      </c>
      <c r="H968" s="8">
        <v>0</v>
      </c>
      <c r="I968" s="4">
        <v>0</v>
      </c>
    </row>
    <row r="969" spans="1:9" x14ac:dyDescent="0.2">
      <c r="A969" s="2">
        <v>11</v>
      </c>
      <c r="B969" s="1" t="s">
        <v>277</v>
      </c>
      <c r="C969" s="4">
        <v>2</v>
      </c>
      <c r="D969" s="8">
        <v>1.67</v>
      </c>
      <c r="E969" s="4">
        <v>1</v>
      </c>
      <c r="F969" s="8">
        <v>1.33</v>
      </c>
      <c r="G969" s="4">
        <v>1</v>
      </c>
      <c r="H969" s="8">
        <v>2.38</v>
      </c>
      <c r="I969" s="4">
        <v>0</v>
      </c>
    </row>
    <row r="970" spans="1:9" x14ac:dyDescent="0.2">
      <c r="A970" s="2">
        <v>11</v>
      </c>
      <c r="B970" s="1" t="s">
        <v>194</v>
      </c>
      <c r="C970" s="4">
        <v>2</v>
      </c>
      <c r="D970" s="8">
        <v>1.67</v>
      </c>
      <c r="E970" s="4">
        <v>1</v>
      </c>
      <c r="F970" s="8">
        <v>1.33</v>
      </c>
      <c r="G970" s="4">
        <v>1</v>
      </c>
      <c r="H970" s="8">
        <v>2.38</v>
      </c>
      <c r="I970" s="4">
        <v>0</v>
      </c>
    </row>
    <row r="971" spans="1:9" x14ac:dyDescent="0.2">
      <c r="A971" s="2">
        <v>11</v>
      </c>
      <c r="B971" s="1" t="s">
        <v>247</v>
      </c>
      <c r="C971" s="4">
        <v>2</v>
      </c>
      <c r="D971" s="8">
        <v>1.67</v>
      </c>
      <c r="E971" s="4">
        <v>2</v>
      </c>
      <c r="F971" s="8">
        <v>2.67</v>
      </c>
      <c r="G971" s="4">
        <v>0</v>
      </c>
      <c r="H971" s="8">
        <v>0</v>
      </c>
      <c r="I971" s="4">
        <v>0</v>
      </c>
    </row>
    <row r="972" spans="1:9" x14ac:dyDescent="0.2">
      <c r="A972" s="2">
        <v>11</v>
      </c>
      <c r="B972" s="1" t="s">
        <v>189</v>
      </c>
      <c r="C972" s="4">
        <v>2</v>
      </c>
      <c r="D972" s="8">
        <v>1.67</v>
      </c>
      <c r="E972" s="4">
        <v>1</v>
      </c>
      <c r="F972" s="8">
        <v>1.33</v>
      </c>
      <c r="G972" s="4">
        <v>1</v>
      </c>
      <c r="H972" s="8">
        <v>2.38</v>
      </c>
      <c r="I972" s="4">
        <v>0</v>
      </c>
    </row>
    <row r="973" spans="1:9" x14ac:dyDescent="0.2">
      <c r="A973" s="2">
        <v>11</v>
      </c>
      <c r="B973" s="1" t="s">
        <v>190</v>
      </c>
      <c r="C973" s="4">
        <v>2</v>
      </c>
      <c r="D973" s="8">
        <v>1.67</v>
      </c>
      <c r="E973" s="4">
        <v>2</v>
      </c>
      <c r="F973" s="8">
        <v>2.67</v>
      </c>
      <c r="G973" s="4">
        <v>0</v>
      </c>
      <c r="H973" s="8">
        <v>0</v>
      </c>
      <c r="I973" s="4">
        <v>0</v>
      </c>
    </row>
    <row r="974" spans="1:9" x14ac:dyDescent="0.2">
      <c r="A974" s="2">
        <v>11</v>
      </c>
      <c r="B974" s="1" t="s">
        <v>223</v>
      </c>
      <c r="C974" s="4">
        <v>2</v>
      </c>
      <c r="D974" s="8">
        <v>1.67</v>
      </c>
      <c r="E974" s="4">
        <v>0</v>
      </c>
      <c r="F974" s="8">
        <v>0</v>
      </c>
      <c r="G974" s="4">
        <v>0</v>
      </c>
      <c r="H974" s="8">
        <v>0</v>
      </c>
      <c r="I974" s="4">
        <v>0</v>
      </c>
    </row>
    <row r="975" spans="1:9" x14ac:dyDescent="0.2">
      <c r="A975" s="1"/>
      <c r="C975" s="4"/>
      <c r="D975" s="8"/>
      <c r="E975" s="4"/>
      <c r="F975" s="8"/>
      <c r="G975" s="4"/>
      <c r="H975" s="8"/>
      <c r="I975" s="4"/>
    </row>
    <row r="976" spans="1:9" x14ac:dyDescent="0.2">
      <c r="A976" s="1" t="s">
        <v>39</v>
      </c>
      <c r="C976" s="4"/>
      <c r="D976" s="8"/>
      <c r="E976" s="4"/>
      <c r="F976" s="8"/>
      <c r="G976" s="4"/>
      <c r="H976" s="8"/>
      <c r="I976" s="4"/>
    </row>
    <row r="977" spans="1:9" x14ac:dyDescent="0.2">
      <c r="A977" s="2">
        <v>1</v>
      </c>
      <c r="B977" s="1" t="s">
        <v>191</v>
      </c>
      <c r="C977" s="4">
        <v>21</v>
      </c>
      <c r="D977" s="8">
        <v>8.08</v>
      </c>
      <c r="E977" s="4">
        <v>20</v>
      </c>
      <c r="F977" s="8">
        <v>11.7</v>
      </c>
      <c r="G977" s="4">
        <v>1</v>
      </c>
      <c r="H977" s="8">
        <v>1.1399999999999999</v>
      </c>
      <c r="I977" s="4">
        <v>0</v>
      </c>
    </row>
    <row r="978" spans="1:9" x14ac:dyDescent="0.2">
      <c r="A978" s="2">
        <v>2</v>
      </c>
      <c r="B978" s="1" t="s">
        <v>193</v>
      </c>
      <c r="C978" s="4">
        <v>9</v>
      </c>
      <c r="D978" s="8">
        <v>3.46</v>
      </c>
      <c r="E978" s="4">
        <v>9</v>
      </c>
      <c r="F978" s="8">
        <v>5.26</v>
      </c>
      <c r="G978" s="4">
        <v>0</v>
      </c>
      <c r="H978" s="8">
        <v>0</v>
      </c>
      <c r="I978" s="4">
        <v>0</v>
      </c>
    </row>
    <row r="979" spans="1:9" x14ac:dyDescent="0.2">
      <c r="A979" s="2">
        <v>3</v>
      </c>
      <c r="B979" s="1" t="s">
        <v>197</v>
      </c>
      <c r="C979" s="4">
        <v>7</v>
      </c>
      <c r="D979" s="8">
        <v>2.69</v>
      </c>
      <c r="E979" s="4">
        <v>6</v>
      </c>
      <c r="F979" s="8">
        <v>3.51</v>
      </c>
      <c r="G979" s="4">
        <v>1</v>
      </c>
      <c r="H979" s="8">
        <v>1.1399999999999999</v>
      </c>
      <c r="I979" s="4">
        <v>0</v>
      </c>
    </row>
    <row r="980" spans="1:9" x14ac:dyDescent="0.2">
      <c r="A980" s="2">
        <v>3</v>
      </c>
      <c r="B980" s="1" t="s">
        <v>187</v>
      </c>
      <c r="C980" s="4">
        <v>7</v>
      </c>
      <c r="D980" s="8">
        <v>2.69</v>
      </c>
      <c r="E980" s="4">
        <v>6</v>
      </c>
      <c r="F980" s="8">
        <v>3.51</v>
      </c>
      <c r="G980" s="4">
        <v>1</v>
      </c>
      <c r="H980" s="8">
        <v>1.1399999999999999</v>
      </c>
      <c r="I980" s="4">
        <v>0</v>
      </c>
    </row>
    <row r="981" spans="1:9" x14ac:dyDescent="0.2">
      <c r="A981" s="2">
        <v>3</v>
      </c>
      <c r="B981" s="1" t="s">
        <v>190</v>
      </c>
      <c r="C981" s="4">
        <v>7</v>
      </c>
      <c r="D981" s="8">
        <v>2.69</v>
      </c>
      <c r="E981" s="4">
        <v>7</v>
      </c>
      <c r="F981" s="8">
        <v>4.09</v>
      </c>
      <c r="G981" s="4">
        <v>0</v>
      </c>
      <c r="H981" s="8">
        <v>0</v>
      </c>
      <c r="I981" s="4">
        <v>0</v>
      </c>
    </row>
    <row r="982" spans="1:9" x14ac:dyDescent="0.2">
      <c r="A982" s="2">
        <v>6</v>
      </c>
      <c r="B982" s="1" t="s">
        <v>175</v>
      </c>
      <c r="C982" s="4">
        <v>6</v>
      </c>
      <c r="D982" s="8">
        <v>2.31</v>
      </c>
      <c r="E982" s="4">
        <v>1</v>
      </c>
      <c r="F982" s="8">
        <v>0.57999999999999996</v>
      </c>
      <c r="G982" s="4">
        <v>5</v>
      </c>
      <c r="H982" s="8">
        <v>5.68</v>
      </c>
      <c r="I982" s="4">
        <v>0</v>
      </c>
    </row>
    <row r="983" spans="1:9" x14ac:dyDescent="0.2">
      <c r="A983" s="2">
        <v>6</v>
      </c>
      <c r="B983" s="1" t="s">
        <v>210</v>
      </c>
      <c r="C983" s="4">
        <v>6</v>
      </c>
      <c r="D983" s="8">
        <v>2.31</v>
      </c>
      <c r="E983" s="4">
        <v>6</v>
      </c>
      <c r="F983" s="8">
        <v>3.51</v>
      </c>
      <c r="G983" s="4">
        <v>0</v>
      </c>
      <c r="H983" s="8">
        <v>0</v>
      </c>
      <c r="I983" s="4">
        <v>0</v>
      </c>
    </row>
    <row r="984" spans="1:9" x14ac:dyDescent="0.2">
      <c r="A984" s="2">
        <v>6</v>
      </c>
      <c r="B984" s="1" t="s">
        <v>181</v>
      </c>
      <c r="C984" s="4">
        <v>6</v>
      </c>
      <c r="D984" s="8">
        <v>2.31</v>
      </c>
      <c r="E984" s="4">
        <v>5</v>
      </c>
      <c r="F984" s="8">
        <v>2.92</v>
      </c>
      <c r="G984" s="4">
        <v>1</v>
      </c>
      <c r="H984" s="8">
        <v>1.1399999999999999</v>
      </c>
      <c r="I984" s="4">
        <v>0</v>
      </c>
    </row>
    <row r="985" spans="1:9" x14ac:dyDescent="0.2">
      <c r="A985" s="2">
        <v>9</v>
      </c>
      <c r="B985" s="1" t="s">
        <v>176</v>
      </c>
      <c r="C985" s="4">
        <v>5</v>
      </c>
      <c r="D985" s="8">
        <v>1.92</v>
      </c>
      <c r="E985" s="4">
        <v>4</v>
      </c>
      <c r="F985" s="8">
        <v>2.34</v>
      </c>
      <c r="G985" s="4">
        <v>1</v>
      </c>
      <c r="H985" s="8">
        <v>1.1399999999999999</v>
      </c>
      <c r="I985" s="4">
        <v>0</v>
      </c>
    </row>
    <row r="986" spans="1:9" x14ac:dyDescent="0.2">
      <c r="A986" s="2">
        <v>9</v>
      </c>
      <c r="B986" s="1" t="s">
        <v>205</v>
      </c>
      <c r="C986" s="4">
        <v>5</v>
      </c>
      <c r="D986" s="8">
        <v>1.92</v>
      </c>
      <c r="E986" s="4">
        <v>3</v>
      </c>
      <c r="F986" s="8">
        <v>1.75</v>
      </c>
      <c r="G986" s="4">
        <v>2</v>
      </c>
      <c r="H986" s="8">
        <v>2.27</v>
      </c>
      <c r="I986" s="4">
        <v>0</v>
      </c>
    </row>
    <row r="987" spans="1:9" x14ac:dyDescent="0.2">
      <c r="A987" s="2">
        <v>9</v>
      </c>
      <c r="B987" s="1" t="s">
        <v>194</v>
      </c>
      <c r="C987" s="4">
        <v>5</v>
      </c>
      <c r="D987" s="8">
        <v>1.92</v>
      </c>
      <c r="E987" s="4">
        <v>4</v>
      </c>
      <c r="F987" s="8">
        <v>2.34</v>
      </c>
      <c r="G987" s="4">
        <v>1</v>
      </c>
      <c r="H987" s="8">
        <v>1.1399999999999999</v>
      </c>
      <c r="I987" s="4">
        <v>0</v>
      </c>
    </row>
    <row r="988" spans="1:9" x14ac:dyDescent="0.2">
      <c r="A988" s="2">
        <v>9</v>
      </c>
      <c r="B988" s="1" t="s">
        <v>209</v>
      </c>
      <c r="C988" s="4">
        <v>5</v>
      </c>
      <c r="D988" s="8">
        <v>1.92</v>
      </c>
      <c r="E988" s="4">
        <v>4</v>
      </c>
      <c r="F988" s="8">
        <v>2.34</v>
      </c>
      <c r="G988" s="4">
        <v>1</v>
      </c>
      <c r="H988" s="8">
        <v>1.1399999999999999</v>
      </c>
      <c r="I988" s="4">
        <v>0</v>
      </c>
    </row>
    <row r="989" spans="1:9" x14ac:dyDescent="0.2">
      <c r="A989" s="2">
        <v>13</v>
      </c>
      <c r="B989" s="1" t="s">
        <v>174</v>
      </c>
      <c r="C989" s="4">
        <v>4</v>
      </c>
      <c r="D989" s="8">
        <v>1.54</v>
      </c>
      <c r="E989" s="4">
        <v>2</v>
      </c>
      <c r="F989" s="8">
        <v>1.17</v>
      </c>
      <c r="G989" s="4">
        <v>2</v>
      </c>
      <c r="H989" s="8">
        <v>2.27</v>
      </c>
      <c r="I989" s="4">
        <v>0</v>
      </c>
    </row>
    <row r="990" spans="1:9" x14ac:dyDescent="0.2">
      <c r="A990" s="2">
        <v>13</v>
      </c>
      <c r="B990" s="1" t="s">
        <v>218</v>
      </c>
      <c r="C990" s="4">
        <v>4</v>
      </c>
      <c r="D990" s="8">
        <v>1.54</v>
      </c>
      <c r="E990" s="4">
        <v>2</v>
      </c>
      <c r="F990" s="8">
        <v>1.17</v>
      </c>
      <c r="G990" s="4">
        <v>2</v>
      </c>
      <c r="H990" s="8">
        <v>2.27</v>
      </c>
      <c r="I990" s="4">
        <v>0</v>
      </c>
    </row>
    <row r="991" spans="1:9" x14ac:dyDescent="0.2">
      <c r="A991" s="2">
        <v>13</v>
      </c>
      <c r="B991" s="1" t="s">
        <v>177</v>
      </c>
      <c r="C991" s="4">
        <v>4</v>
      </c>
      <c r="D991" s="8">
        <v>1.54</v>
      </c>
      <c r="E991" s="4">
        <v>3</v>
      </c>
      <c r="F991" s="8">
        <v>1.75</v>
      </c>
      <c r="G991" s="4">
        <v>1</v>
      </c>
      <c r="H991" s="8">
        <v>1.1399999999999999</v>
      </c>
      <c r="I991" s="4">
        <v>0</v>
      </c>
    </row>
    <row r="992" spans="1:9" x14ac:dyDescent="0.2">
      <c r="A992" s="2">
        <v>13</v>
      </c>
      <c r="B992" s="1" t="s">
        <v>178</v>
      </c>
      <c r="C992" s="4">
        <v>4</v>
      </c>
      <c r="D992" s="8">
        <v>1.54</v>
      </c>
      <c r="E992" s="4">
        <v>3</v>
      </c>
      <c r="F992" s="8">
        <v>1.75</v>
      </c>
      <c r="G992" s="4">
        <v>1</v>
      </c>
      <c r="H992" s="8">
        <v>1.1399999999999999</v>
      </c>
      <c r="I992" s="4">
        <v>0</v>
      </c>
    </row>
    <row r="993" spans="1:9" x14ac:dyDescent="0.2">
      <c r="A993" s="2">
        <v>13</v>
      </c>
      <c r="B993" s="1" t="s">
        <v>238</v>
      </c>
      <c r="C993" s="4">
        <v>4</v>
      </c>
      <c r="D993" s="8">
        <v>1.54</v>
      </c>
      <c r="E993" s="4">
        <v>0</v>
      </c>
      <c r="F993" s="8">
        <v>0</v>
      </c>
      <c r="G993" s="4">
        <v>4</v>
      </c>
      <c r="H993" s="8">
        <v>4.55</v>
      </c>
      <c r="I993" s="4">
        <v>0</v>
      </c>
    </row>
    <row r="994" spans="1:9" x14ac:dyDescent="0.2">
      <c r="A994" s="2">
        <v>13</v>
      </c>
      <c r="B994" s="1" t="s">
        <v>180</v>
      </c>
      <c r="C994" s="4">
        <v>4</v>
      </c>
      <c r="D994" s="8">
        <v>1.54</v>
      </c>
      <c r="E994" s="4">
        <v>1</v>
      </c>
      <c r="F994" s="8">
        <v>0.57999999999999996</v>
      </c>
      <c r="G994" s="4">
        <v>3</v>
      </c>
      <c r="H994" s="8">
        <v>3.41</v>
      </c>
      <c r="I994" s="4">
        <v>0</v>
      </c>
    </row>
    <row r="995" spans="1:9" x14ac:dyDescent="0.2">
      <c r="A995" s="2">
        <v>13</v>
      </c>
      <c r="B995" s="1" t="s">
        <v>183</v>
      </c>
      <c r="C995" s="4">
        <v>4</v>
      </c>
      <c r="D995" s="8">
        <v>1.54</v>
      </c>
      <c r="E995" s="4">
        <v>3</v>
      </c>
      <c r="F995" s="8">
        <v>1.75</v>
      </c>
      <c r="G995" s="4">
        <v>1</v>
      </c>
      <c r="H995" s="8">
        <v>1.1399999999999999</v>
      </c>
      <c r="I995" s="4">
        <v>0</v>
      </c>
    </row>
    <row r="996" spans="1:9" x14ac:dyDescent="0.2">
      <c r="A996" s="2">
        <v>13</v>
      </c>
      <c r="B996" s="1" t="s">
        <v>245</v>
      </c>
      <c r="C996" s="4">
        <v>4</v>
      </c>
      <c r="D996" s="8">
        <v>1.54</v>
      </c>
      <c r="E996" s="4">
        <v>4</v>
      </c>
      <c r="F996" s="8">
        <v>2.34</v>
      </c>
      <c r="G996" s="4">
        <v>0</v>
      </c>
      <c r="H996" s="8">
        <v>0</v>
      </c>
      <c r="I996" s="4">
        <v>0</v>
      </c>
    </row>
    <row r="997" spans="1:9" x14ac:dyDescent="0.2">
      <c r="A997" s="2">
        <v>13</v>
      </c>
      <c r="B997" s="1" t="s">
        <v>186</v>
      </c>
      <c r="C997" s="4">
        <v>4</v>
      </c>
      <c r="D997" s="8">
        <v>1.54</v>
      </c>
      <c r="E997" s="4">
        <v>2</v>
      </c>
      <c r="F997" s="8">
        <v>1.17</v>
      </c>
      <c r="G997" s="4">
        <v>2</v>
      </c>
      <c r="H997" s="8">
        <v>2.27</v>
      </c>
      <c r="I997" s="4">
        <v>0</v>
      </c>
    </row>
    <row r="998" spans="1:9" x14ac:dyDescent="0.2">
      <c r="A998" s="2">
        <v>13</v>
      </c>
      <c r="B998" s="1" t="s">
        <v>192</v>
      </c>
      <c r="C998" s="4">
        <v>4</v>
      </c>
      <c r="D998" s="8">
        <v>1.54</v>
      </c>
      <c r="E998" s="4">
        <v>3</v>
      </c>
      <c r="F998" s="8">
        <v>1.75</v>
      </c>
      <c r="G998" s="4">
        <v>1</v>
      </c>
      <c r="H998" s="8">
        <v>1.1399999999999999</v>
      </c>
      <c r="I998" s="4">
        <v>0</v>
      </c>
    </row>
    <row r="999" spans="1:9" x14ac:dyDescent="0.2">
      <c r="A999" s="1"/>
      <c r="C999" s="4"/>
      <c r="D999" s="8"/>
      <c r="E999" s="4"/>
      <c r="F999" s="8"/>
      <c r="G999" s="4"/>
      <c r="H999" s="8"/>
      <c r="I999" s="4"/>
    </row>
    <row r="1000" spans="1:9" x14ac:dyDescent="0.2">
      <c r="A1000" s="1" t="s">
        <v>40</v>
      </c>
      <c r="C1000" s="4"/>
      <c r="D1000" s="8"/>
      <c r="E1000" s="4"/>
      <c r="F1000" s="8"/>
      <c r="G1000" s="4"/>
      <c r="H1000" s="8"/>
      <c r="I1000" s="4"/>
    </row>
    <row r="1001" spans="1:9" x14ac:dyDescent="0.2">
      <c r="A1001" s="2">
        <v>1</v>
      </c>
      <c r="B1001" s="1" t="s">
        <v>191</v>
      </c>
      <c r="C1001" s="4">
        <v>25</v>
      </c>
      <c r="D1001" s="8">
        <v>6.65</v>
      </c>
      <c r="E1001" s="4">
        <v>23</v>
      </c>
      <c r="F1001" s="8">
        <v>10.41</v>
      </c>
      <c r="G1001" s="4">
        <v>2</v>
      </c>
      <c r="H1001" s="8">
        <v>1.31</v>
      </c>
      <c r="I1001" s="4">
        <v>0</v>
      </c>
    </row>
    <row r="1002" spans="1:9" x14ac:dyDescent="0.2">
      <c r="A1002" s="2">
        <v>2</v>
      </c>
      <c r="B1002" s="1" t="s">
        <v>187</v>
      </c>
      <c r="C1002" s="4">
        <v>15</v>
      </c>
      <c r="D1002" s="8">
        <v>3.99</v>
      </c>
      <c r="E1002" s="4">
        <v>12</v>
      </c>
      <c r="F1002" s="8">
        <v>5.43</v>
      </c>
      <c r="G1002" s="4">
        <v>3</v>
      </c>
      <c r="H1002" s="8">
        <v>1.96</v>
      </c>
      <c r="I1002" s="4">
        <v>0</v>
      </c>
    </row>
    <row r="1003" spans="1:9" x14ac:dyDescent="0.2">
      <c r="A1003" s="2">
        <v>3</v>
      </c>
      <c r="B1003" s="1" t="s">
        <v>193</v>
      </c>
      <c r="C1003" s="4">
        <v>14</v>
      </c>
      <c r="D1003" s="8">
        <v>3.72</v>
      </c>
      <c r="E1003" s="4">
        <v>13</v>
      </c>
      <c r="F1003" s="8">
        <v>5.88</v>
      </c>
      <c r="G1003" s="4">
        <v>1</v>
      </c>
      <c r="H1003" s="8">
        <v>0.65</v>
      </c>
      <c r="I1003" s="4">
        <v>0</v>
      </c>
    </row>
    <row r="1004" spans="1:9" x14ac:dyDescent="0.2">
      <c r="A1004" s="2">
        <v>4</v>
      </c>
      <c r="B1004" s="1" t="s">
        <v>174</v>
      </c>
      <c r="C1004" s="4">
        <v>12</v>
      </c>
      <c r="D1004" s="8">
        <v>3.19</v>
      </c>
      <c r="E1004" s="4">
        <v>2</v>
      </c>
      <c r="F1004" s="8">
        <v>0.9</v>
      </c>
      <c r="G1004" s="4">
        <v>10</v>
      </c>
      <c r="H1004" s="8">
        <v>6.54</v>
      </c>
      <c r="I1004" s="4">
        <v>0</v>
      </c>
    </row>
    <row r="1005" spans="1:9" x14ac:dyDescent="0.2">
      <c r="A1005" s="2">
        <v>5</v>
      </c>
      <c r="B1005" s="1" t="s">
        <v>189</v>
      </c>
      <c r="C1005" s="4">
        <v>11</v>
      </c>
      <c r="D1005" s="8">
        <v>2.93</v>
      </c>
      <c r="E1005" s="4">
        <v>11</v>
      </c>
      <c r="F1005" s="8">
        <v>4.9800000000000004</v>
      </c>
      <c r="G1005" s="4">
        <v>0</v>
      </c>
      <c r="H1005" s="8">
        <v>0</v>
      </c>
      <c r="I1005" s="4">
        <v>0</v>
      </c>
    </row>
    <row r="1006" spans="1:9" x14ac:dyDescent="0.2">
      <c r="A1006" s="2">
        <v>5</v>
      </c>
      <c r="B1006" s="1" t="s">
        <v>190</v>
      </c>
      <c r="C1006" s="4">
        <v>11</v>
      </c>
      <c r="D1006" s="8">
        <v>2.93</v>
      </c>
      <c r="E1006" s="4">
        <v>11</v>
      </c>
      <c r="F1006" s="8">
        <v>4.9800000000000004</v>
      </c>
      <c r="G1006" s="4">
        <v>0</v>
      </c>
      <c r="H1006" s="8">
        <v>0</v>
      </c>
      <c r="I1006" s="4">
        <v>0</v>
      </c>
    </row>
    <row r="1007" spans="1:9" x14ac:dyDescent="0.2">
      <c r="A1007" s="2">
        <v>7</v>
      </c>
      <c r="B1007" s="1" t="s">
        <v>176</v>
      </c>
      <c r="C1007" s="4">
        <v>8</v>
      </c>
      <c r="D1007" s="8">
        <v>2.13</v>
      </c>
      <c r="E1007" s="4">
        <v>7</v>
      </c>
      <c r="F1007" s="8">
        <v>3.17</v>
      </c>
      <c r="G1007" s="4">
        <v>1</v>
      </c>
      <c r="H1007" s="8">
        <v>0.65</v>
      </c>
      <c r="I1007" s="4">
        <v>0</v>
      </c>
    </row>
    <row r="1008" spans="1:9" x14ac:dyDescent="0.2">
      <c r="A1008" s="2">
        <v>7</v>
      </c>
      <c r="B1008" s="1" t="s">
        <v>266</v>
      </c>
      <c r="C1008" s="4">
        <v>8</v>
      </c>
      <c r="D1008" s="8">
        <v>2.13</v>
      </c>
      <c r="E1008" s="4">
        <v>3</v>
      </c>
      <c r="F1008" s="8">
        <v>1.36</v>
      </c>
      <c r="G1008" s="4">
        <v>5</v>
      </c>
      <c r="H1008" s="8">
        <v>3.27</v>
      </c>
      <c r="I1008" s="4">
        <v>0</v>
      </c>
    </row>
    <row r="1009" spans="1:9" x14ac:dyDescent="0.2">
      <c r="A1009" s="2">
        <v>9</v>
      </c>
      <c r="B1009" s="1" t="s">
        <v>238</v>
      </c>
      <c r="C1009" s="4">
        <v>7</v>
      </c>
      <c r="D1009" s="8">
        <v>1.86</v>
      </c>
      <c r="E1009" s="4">
        <v>0</v>
      </c>
      <c r="F1009" s="8">
        <v>0</v>
      </c>
      <c r="G1009" s="4">
        <v>7</v>
      </c>
      <c r="H1009" s="8">
        <v>4.58</v>
      </c>
      <c r="I1009" s="4">
        <v>0</v>
      </c>
    </row>
    <row r="1010" spans="1:9" x14ac:dyDescent="0.2">
      <c r="A1010" s="2">
        <v>9</v>
      </c>
      <c r="B1010" s="1" t="s">
        <v>180</v>
      </c>
      <c r="C1010" s="4">
        <v>7</v>
      </c>
      <c r="D1010" s="8">
        <v>1.86</v>
      </c>
      <c r="E1010" s="4">
        <v>4</v>
      </c>
      <c r="F1010" s="8">
        <v>1.81</v>
      </c>
      <c r="G1010" s="4">
        <v>3</v>
      </c>
      <c r="H1010" s="8">
        <v>1.96</v>
      </c>
      <c r="I1010" s="4">
        <v>0</v>
      </c>
    </row>
    <row r="1011" spans="1:9" x14ac:dyDescent="0.2">
      <c r="A1011" s="2">
        <v>9</v>
      </c>
      <c r="B1011" s="1" t="s">
        <v>216</v>
      </c>
      <c r="C1011" s="4">
        <v>7</v>
      </c>
      <c r="D1011" s="8">
        <v>1.86</v>
      </c>
      <c r="E1011" s="4">
        <v>2</v>
      </c>
      <c r="F1011" s="8">
        <v>0.9</v>
      </c>
      <c r="G1011" s="4">
        <v>5</v>
      </c>
      <c r="H1011" s="8">
        <v>3.27</v>
      </c>
      <c r="I1011" s="4">
        <v>0</v>
      </c>
    </row>
    <row r="1012" spans="1:9" x14ac:dyDescent="0.2">
      <c r="A1012" s="2">
        <v>9</v>
      </c>
      <c r="B1012" s="1" t="s">
        <v>181</v>
      </c>
      <c r="C1012" s="4">
        <v>7</v>
      </c>
      <c r="D1012" s="8">
        <v>1.86</v>
      </c>
      <c r="E1012" s="4">
        <v>4</v>
      </c>
      <c r="F1012" s="8">
        <v>1.81</v>
      </c>
      <c r="G1012" s="4">
        <v>3</v>
      </c>
      <c r="H1012" s="8">
        <v>1.96</v>
      </c>
      <c r="I1012" s="4">
        <v>0</v>
      </c>
    </row>
    <row r="1013" spans="1:9" x14ac:dyDescent="0.2">
      <c r="A1013" s="2">
        <v>9</v>
      </c>
      <c r="B1013" s="1" t="s">
        <v>183</v>
      </c>
      <c r="C1013" s="4">
        <v>7</v>
      </c>
      <c r="D1013" s="8">
        <v>1.86</v>
      </c>
      <c r="E1013" s="4">
        <v>5</v>
      </c>
      <c r="F1013" s="8">
        <v>2.2599999999999998</v>
      </c>
      <c r="G1013" s="4">
        <v>2</v>
      </c>
      <c r="H1013" s="8">
        <v>1.31</v>
      </c>
      <c r="I1013" s="4">
        <v>0</v>
      </c>
    </row>
    <row r="1014" spans="1:9" x14ac:dyDescent="0.2">
      <c r="A1014" s="2">
        <v>9</v>
      </c>
      <c r="B1014" s="1" t="s">
        <v>188</v>
      </c>
      <c r="C1014" s="4">
        <v>7</v>
      </c>
      <c r="D1014" s="8">
        <v>1.86</v>
      </c>
      <c r="E1014" s="4">
        <v>6</v>
      </c>
      <c r="F1014" s="8">
        <v>2.71</v>
      </c>
      <c r="G1014" s="4">
        <v>1</v>
      </c>
      <c r="H1014" s="8">
        <v>0.65</v>
      </c>
      <c r="I1014" s="4">
        <v>0</v>
      </c>
    </row>
    <row r="1015" spans="1:9" x14ac:dyDescent="0.2">
      <c r="A1015" s="2">
        <v>15</v>
      </c>
      <c r="B1015" s="1" t="s">
        <v>175</v>
      </c>
      <c r="C1015" s="4">
        <v>6</v>
      </c>
      <c r="D1015" s="8">
        <v>1.6</v>
      </c>
      <c r="E1015" s="4">
        <v>1</v>
      </c>
      <c r="F1015" s="8">
        <v>0.45</v>
      </c>
      <c r="G1015" s="4">
        <v>5</v>
      </c>
      <c r="H1015" s="8">
        <v>3.27</v>
      </c>
      <c r="I1015" s="4">
        <v>0</v>
      </c>
    </row>
    <row r="1016" spans="1:9" x14ac:dyDescent="0.2">
      <c r="A1016" s="2">
        <v>15</v>
      </c>
      <c r="B1016" s="1" t="s">
        <v>194</v>
      </c>
      <c r="C1016" s="4">
        <v>6</v>
      </c>
      <c r="D1016" s="8">
        <v>1.6</v>
      </c>
      <c r="E1016" s="4">
        <v>1</v>
      </c>
      <c r="F1016" s="8">
        <v>0.45</v>
      </c>
      <c r="G1016" s="4">
        <v>5</v>
      </c>
      <c r="H1016" s="8">
        <v>3.27</v>
      </c>
      <c r="I1016" s="4">
        <v>0</v>
      </c>
    </row>
    <row r="1017" spans="1:9" x14ac:dyDescent="0.2">
      <c r="A1017" s="2">
        <v>15</v>
      </c>
      <c r="B1017" s="1" t="s">
        <v>259</v>
      </c>
      <c r="C1017" s="4">
        <v>6</v>
      </c>
      <c r="D1017" s="8">
        <v>1.6</v>
      </c>
      <c r="E1017" s="4">
        <v>1</v>
      </c>
      <c r="F1017" s="8">
        <v>0.45</v>
      </c>
      <c r="G1017" s="4">
        <v>5</v>
      </c>
      <c r="H1017" s="8">
        <v>3.27</v>
      </c>
      <c r="I1017" s="4">
        <v>0</v>
      </c>
    </row>
    <row r="1018" spans="1:9" x14ac:dyDescent="0.2">
      <c r="A1018" s="2">
        <v>18</v>
      </c>
      <c r="B1018" s="1" t="s">
        <v>286</v>
      </c>
      <c r="C1018" s="4">
        <v>5</v>
      </c>
      <c r="D1018" s="8">
        <v>1.33</v>
      </c>
      <c r="E1018" s="4">
        <v>5</v>
      </c>
      <c r="F1018" s="8">
        <v>2.2599999999999998</v>
      </c>
      <c r="G1018" s="4">
        <v>0</v>
      </c>
      <c r="H1018" s="8">
        <v>0</v>
      </c>
      <c r="I1018" s="4">
        <v>0</v>
      </c>
    </row>
    <row r="1019" spans="1:9" x14ac:dyDescent="0.2">
      <c r="A1019" s="2">
        <v>18</v>
      </c>
      <c r="B1019" s="1" t="s">
        <v>177</v>
      </c>
      <c r="C1019" s="4">
        <v>5</v>
      </c>
      <c r="D1019" s="8">
        <v>1.33</v>
      </c>
      <c r="E1019" s="4">
        <v>1</v>
      </c>
      <c r="F1019" s="8">
        <v>0.45</v>
      </c>
      <c r="G1019" s="4">
        <v>4</v>
      </c>
      <c r="H1019" s="8">
        <v>2.61</v>
      </c>
      <c r="I1019" s="4">
        <v>0</v>
      </c>
    </row>
    <row r="1020" spans="1:9" x14ac:dyDescent="0.2">
      <c r="A1020" s="2">
        <v>18</v>
      </c>
      <c r="B1020" s="1" t="s">
        <v>178</v>
      </c>
      <c r="C1020" s="4">
        <v>5</v>
      </c>
      <c r="D1020" s="8">
        <v>1.33</v>
      </c>
      <c r="E1020" s="4">
        <v>1</v>
      </c>
      <c r="F1020" s="8">
        <v>0.45</v>
      </c>
      <c r="G1020" s="4">
        <v>4</v>
      </c>
      <c r="H1020" s="8">
        <v>2.61</v>
      </c>
      <c r="I1020" s="4">
        <v>0</v>
      </c>
    </row>
    <row r="1021" spans="1:9" x14ac:dyDescent="0.2">
      <c r="A1021" s="2">
        <v>18</v>
      </c>
      <c r="B1021" s="1" t="s">
        <v>197</v>
      </c>
      <c r="C1021" s="4">
        <v>5</v>
      </c>
      <c r="D1021" s="8">
        <v>1.33</v>
      </c>
      <c r="E1021" s="4">
        <v>4</v>
      </c>
      <c r="F1021" s="8">
        <v>1.81</v>
      </c>
      <c r="G1021" s="4">
        <v>1</v>
      </c>
      <c r="H1021" s="8">
        <v>0.65</v>
      </c>
      <c r="I1021" s="4">
        <v>0</v>
      </c>
    </row>
    <row r="1022" spans="1:9" x14ac:dyDescent="0.2">
      <c r="A1022" s="2">
        <v>18</v>
      </c>
      <c r="B1022" s="1" t="s">
        <v>209</v>
      </c>
      <c r="C1022" s="4">
        <v>5</v>
      </c>
      <c r="D1022" s="8">
        <v>1.33</v>
      </c>
      <c r="E1022" s="4">
        <v>5</v>
      </c>
      <c r="F1022" s="8">
        <v>2.2599999999999998</v>
      </c>
      <c r="G1022" s="4">
        <v>0</v>
      </c>
      <c r="H1022" s="8">
        <v>0</v>
      </c>
      <c r="I1022" s="4">
        <v>0</v>
      </c>
    </row>
    <row r="1023" spans="1:9" x14ac:dyDescent="0.2">
      <c r="A1023" s="2">
        <v>18</v>
      </c>
      <c r="B1023" s="1" t="s">
        <v>192</v>
      </c>
      <c r="C1023" s="4">
        <v>5</v>
      </c>
      <c r="D1023" s="8">
        <v>1.33</v>
      </c>
      <c r="E1023" s="4">
        <v>5</v>
      </c>
      <c r="F1023" s="8">
        <v>2.2599999999999998</v>
      </c>
      <c r="G1023" s="4">
        <v>0</v>
      </c>
      <c r="H1023" s="8">
        <v>0</v>
      </c>
      <c r="I1023" s="4">
        <v>0</v>
      </c>
    </row>
    <row r="1024" spans="1:9" x14ac:dyDescent="0.2">
      <c r="A1024" s="1"/>
      <c r="C1024" s="4"/>
      <c r="D1024" s="8"/>
      <c r="E1024" s="4"/>
      <c r="F1024" s="8"/>
      <c r="G1024" s="4"/>
      <c r="H1024" s="8"/>
      <c r="I1024" s="4"/>
    </row>
    <row r="1025" spans="1:9" x14ac:dyDescent="0.2">
      <c r="A1025" s="1" t="s">
        <v>41</v>
      </c>
      <c r="C1025" s="4"/>
      <c r="D1025" s="8"/>
      <c r="E1025" s="4"/>
      <c r="F1025" s="8"/>
      <c r="G1025" s="4"/>
      <c r="H1025" s="8"/>
      <c r="I1025" s="4"/>
    </row>
    <row r="1026" spans="1:9" x14ac:dyDescent="0.2">
      <c r="A1026" s="2">
        <v>1</v>
      </c>
      <c r="B1026" s="1" t="s">
        <v>191</v>
      </c>
      <c r="C1026" s="4">
        <v>17</v>
      </c>
      <c r="D1026" s="8">
        <v>5.38</v>
      </c>
      <c r="E1026" s="4">
        <v>16</v>
      </c>
      <c r="F1026" s="8">
        <v>10.67</v>
      </c>
      <c r="G1026" s="4">
        <v>1</v>
      </c>
      <c r="H1026" s="8">
        <v>0.64</v>
      </c>
      <c r="I1026" s="4">
        <v>0</v>
      </c>
    </row>
    <row r="1027" spans="1:9" x14ac:dyDescent="0.2">
      <c r="A1027" s="2">
        <v>2</v>
      </c>
      <c r="B1027" s="1" t="s">
        <v>187</v>
      </c>
      <c r="C1027" s="4">
        <v>14</v>
      </c>
      <c r="D1027" s="8">
        <v>4.43</v>
      </c>
      <c r="E1027" s="4">
        <v>9</v>
      </c>
      <c r="F1027" s="8">
        <v>6</v>
      </c>
      <c r="G1027" s="4">
        <v>5</v>
      </c>
      <c r="H1027" s="8">
        <v>3.18</v>
      </c>
      <c r="I1027" s="4">
        <v>0</v>
      </c>
    </row>
    <row r="1028" spans="1:9" x14ac:dyDescent="0.2">
      <c r="A1028" s="2">
        <v>3</v>
      </c>
      <c r="B1028" s="1" t="s">
        <v>180</v>
      </c>
      <c r="C1028" s="4">
        <v>10</v>
      </c>
      <c r="D1028" s="8">
        <v>3.16</v>
      </c>
      <c r="E1028" s="4">
        <v>4</v>
      </c>
      <c r="F1028" s="8">
        <v>2.67</v>
      </c>
      <c r="G1028" s="4">
        <v>6</v>
      </c>
      <c r="H1028" s="8">
        <v>3.82</v>
      </c>
      <c r="I1028" s="4">
        <v>0</v>
      </c>
    </row>
    <row r="1029" spans="1:9" x14ac:dyDescent="0.2">
      <c r="A1029" s="2">
        <v>4</v>
      </c>
      <c r="B1029" s="1" t="s">
        <v>174</v>
      </c>
      <c r="C1029" s="4">
        <v>8</v>
      </c>
      <c r="D1029" s="8">
        <v>2.5299999999999998</v>
      </c>
      <c r="E1029" s="4">
        <v>2</v>
      </c>
      <c r="F1029" s="8">
        <v>1.33</v>
      </c>
      <c r="G1029" s="4">
        <v>6</v>
      </c>
      <c r="H1029" s="8">
        <v>3.82</v>
      </c>
      <c r="I1029" s="4">
        <v>0</v>
      </c>
    </row>
    <row r="1030" spans="1:9" x14ac:dyDescent="0.2">
      <c r="A1030" s="2">
        <v>4</v>
      </c>
      <c r="B1030" s="1" t="s">
        <v>176</v>
      </c>
      <c r="C1030" s="4">
        <v>8</v>
      </c>
      <c r="D1030" s="8">
        <v>2.5299999999999998</v>
      </c>
      <c r="E1030" s="4">
        <v>2</v>
      </c>
      <c r="F1030" s="8">
        <v>1.33</v>
      </c>
      <c r="G1030" s="4">
        <v>6</v>
      </c>
      <c r="H1030" s="8">
        <v>3.82</v>
      </c>
      <c r="I1030" s="4">
        <v>0</v>
      </c>
    </row>
    <row r="1031" spans="1:9" x14ac:dyDescent="0.2">
      <c r="A1031" s="2">
        <v>4</v>
      </c>
      <c r="B1031" s="1" t="s">
        <v>188</v>
      </c>
      <c r="C1031" s="4">
        <v>8</v>
      </c>
      <c r="D1031" s="8">
        <v>2.5299999999999998</v>
      </c>
      <c r="E1031" s="4">
        <v>7</v>
      </c>
      <c r="F1031" s="8">
        <v>4.67</v>
      </c>
      <c r="G1031" s="4">
        <v>1</v>
      </c>
      <c r="H1031" s="8">
        <v>0.64</v>
      </c>
      <c r="I1031" s="4">
        <v>0</v>
      </c>
    </row>
    <row r="1032" spans="1:9" x14ac:dyDescent="0.2">
      <c r="A1032" s="2">
        <v>4</v>
      </c>
      <c r="B1032" s="1" t="s">
        <v>193</v>
      </c>
      <c r="C1032" s="4">
        <v>8</v>
      </c>
      <c r="D1032" s="8">
        <v>2.5299999999999998</v>
      </c>
      <c r="E1032" s="4">
        <v>7</v>
      </c>
      <c r="F1032" s="8">
        <v>4.67</v>
      </c>
      <c r="G1032" s="4">
        <v>1</v>
      </c>
      <c r="H1032" s="8">
        <v>0.64</v>
      </c>
      <c r="I1032" s="4">
        <v>0</v>
      </c>
    </row>
    <row r="1033" spans="1:9" x14ac:dyDescent="0.2">
      <c r="A1033" s="2">
        <v>8</v>
      </c>
      <c r="B1033" s="1" t="s">
        <v>175</v>
      </c>
      <c r="C1033" s="4">
        <v>7</v>
      </c>
      <c r="D1033" s="8">
        <v>2.2200000000000002</v>
      </c>
      <c r="E1033" s="4">
        <v>0</v>
      </c>
      <c r="F1033" s="8">
        <v>0</v>
      </c>
      <c r="G1033" s="4">
        <v>7</v>
      </c>
      <c r="H1033" s="8">
        <v>4.46</v>
      </c>
      <c r="I1033" s="4">
        <v>0</v>
      </c>
    </row>
    <row r="1034" spans="1:9" x14ac:dyDescent="0.2">
      <c r="A1034" s="2">
        <v>9</v>
      </c>
      <c r="B1034" s="1" t="s">
        <v>178</v>
      </c>
      <c r="C1034" s="4">
        <v>6</v>
      </c>
      <c r="D1034" s="8">
        <v>1.9</v>
      </c>
      <c r="E1034" s="4">
        <v>2</v>
      </c>
      <c r="F1034" s="8">
        <v>1.33</v>
      </c>
      <c r="G1034" s="4">
        <v>4</v>
      </c>
      <c r="H1034" s="8">
        <v>2.5499999999999998</v>
      </c>
      <c r="I1034" s="4">
        <v>0</v>
      </c>
    </row>
    <row r="1035" spans="1:9" x14ac:dyDescent="0.2">
      <c r="A1035" s="2">
        <v>9</v>
      </c>
      <c r="B1035" s="1" t="s">
        <v>181</v>
      </c>
      <c r="C1035" s="4">
        <v>6</v>
      </c>
      <c r="D1035" s="8">
        <v>1.9</v>
      </c>
      <c r="E1035" s="4">
        <v>3</v>
      </c>
      <c r="F1035" s="8">
        <v>2</v>
      </c>
      <c r="G1035" s="4">
        <v>3</v>
      </c>
      <c r="H1035" s="8">
        <v>1.91</v>
      </c>
      <c r="I1035" s="4">
        <v>0</v>
      </c>
    </row>
    <row r="1036" spans="1:9" x14ac:dyDescent="0.2">
      <c r="A1036" s="2">
        <v>9</v>
      </c>
      <c r="B1036" s="1" t="s">
        <v>184</v>
      </c>
      <c r="C1036" s="4">
        <v>6</v>
      </c>
      <c r="D1036" s="8">
        <v>1.9</v>
      </c>
      <c r="E1036" s="4">
        <v>4</v>
      </c>
      <c r="F1036" s="8">
        <v>2.67</v>
      </c>
      <c r="G1036" s="4">
        <v>2</v>
      </c>
      <c r="H1036" s="8">
        <v>1.27</v>
      </c>
      <c r="I1036" s="4">
        <v>0</v>
      </c>
    </row>
    <row r="1037" spans="1:9" x14ac:dyDescent="0.2">
      <c r="A1037" s="2">
        <v>9</v>
      </c>
      <c r="B1037" s="1" t="s">
        <v>199</v>
      </c>
      <c r="C1037" s="4">
        <v>6</v>
      </c>
      <c r="D1037" s="8">
        <v>1.9</v>
      </c>
      <c r="E1037" s="4">
        <v>4</v>
      </c>
      <c r="F1037" s="8">
        <v>2.67</v>
      </c>
      <c r="G1037" s="4">
        <v>2</v>
      </c>
      <c r="H1037" s="8">
        <v>1.27</v>
      </c>
      <c r="I1037" s="4">
        <v>0</v>
      </c>
    </row>
    <row r="1038" spans="1:9" x14ac:dyDescent="0.2">
      <c r="A1038" s="2">
        <v>9</v>
      </c>
      <c r="B1038" s="1" t="s">
        <v>190</v>
      </c>
      <c r="C1038" s="4">
        <v>6</v>
      </c>
      <c r="D1038" s="8">
        <v>1.9</v>
      </c>
      <c r="E1038" s="4">
        <v>6</v>
      </c>
      <c r="F1038" s="8">
        <v>4</v>
      </c>
      <c r="G1038" s="4">
        <v>0</v>
      </c>
      <c r="H1038" s="8">
        <v>0</v>
      </c>
      <c r="I1038" s="4">
        <v>0</v>
      </c>
    </row>
    <row r="1039" spans="1:9" x14ac:dyDescent="0.2">
      <c r="A1039" s="2">
        <v>9</v>
      </c>
      <c r="B1039" s="1" t="s">
        <v>259</v>
      </c>
      <c r="C1039" s="4">
        <v>6</v>
      </c>
      <c r="D1039" s="8">
        <v>1.9</v>
      </c>
      <c r="E1039" s="4">
        <v>0</v>
      </c>
      <c r="F1039" s="8">
        <v>0</v>
      </c>
      <c r="G1039" s="4">
        <v>5</v>
      </c>
      <c r="H1039" s="8">
        <v>3.18</v>
      </c>
      <c r="I1039" s="4">
        <v>1</v>
      </c>
    </row>
    <row r="1040" spans="1:9" x14ac:dyDescent="0.2">
      <c r="A1040" s="2">
        <v>15</v>
      </c>
      <c r="B1040" s="1" t="s">
        <v>286</v>
      </c>
      <c r="C1040" s="4">
        <v>5</v>
      </c>
      <c r="D1040" s="8">
        <v>1.58</v>
      </c>
      <c r="E1040" s="4">
        <v>2</v>
      </c>
      <c r="F1040" s="8">
        <v>1.33</v>
      </c>
      <c r="G1040" s="4">
        <v>3</v>
      </c>
      <c r="H1040" s="8">
        <v>1.91</v>
      </c>
      <c r="I1040" s="4">
        <v>0</v>
      </c>
    </row>
    <row r="1041" spans="1:9" x14ac:dyDescent="0.2">
      <c r="A1041" s="2">
        <v>15</v>
      </c>
      <c r="B1041" s="1" t="s">
        <v>202</v>
      </c>
      <c r="C1041" s="4">
        <v>5</v>
      </c>
      <c r="D1041" s="8">
        <v>1.58</v>
      </c>
      <c r="E1041" s="4">
        <v>2</v>
      </c>
      <c r="F1041" s="8">
        <v>1.33</v>
      </c>
      <c r="G1041" s="4">
        <v>3</v>
      </c>
      <c r="H1041" s="8">
        <v>1.91</v>
      </c>
      <c r="I1041" s="4">
        <v>0</v>
      </c>
    </row>
    <row r="1042" spans="1:9" x14ac:dyDescent="0.2">
      <c r="A1042" s="2">
        <v>15</v>
      </c>
      <c r="B1042" s="1" t="s">
        <v>189</v>
      </c>
      <c r="C1042" s="4">
        <v>5</v>
      </c>
      <c r="D1042" s="8">
        <v>1.58</v>
      </c>
      <c r="E1042" s="4">
        <v>4</v>
      </c>
      <c r="F1042" s="8">
        <v>2.67</v>
      </c>
      <c r="G1042" s="4">
        <v>1</v>
      </c>
      <c r="H1042" s="8">
        <v>0.64</v>
      </c>
      <c r="I1042" s="4">
        <v>0</v>
      </c>
    </row>
    <row r="1043" spans="1:9" x14ac:dyDescent="0.2">
      <c r="A1043" s="2">
        <v>18</v>
      </c>
      <c r="B1043" s="1" t="s">
        <v>281</v>
      </c>
      <c r="C1043" s="4">
        <v>4</v>
      </c>
      <c r="D1043" s="8">
        <v>1.27</v>
      </c>
      <c r="E1043" s="4">
        <v>0</v>
      </c>
      <c r="F1043" s="8">
        <v>0</v>
      </c>
      <c r="G1043" s="4">
        <v>4</v>
      </c>
      <c r="H1043" s="8">
        <v>2.5499999999999998</v>
      </c>
      <c r="I1043" s="4">
        <v>0</v>
      </c>
    </row>
    <row r="1044" spans="1:9" x14ac:dyDescent="0.2">
      <c r="A1044" s="2">
        <v>18</v>
      </c>
      <c r="B1044" s="1" t="s">
        <v>196</v>
      </c>
      <c r="C1044" s="4">
        <v>4</v>
      </c>
      <c r="D1044" s="8">
        <v>1.27</v>
      </c>
      <c r="E1044" s="4">
        <v>1</v>
      </c>
      <c r="F1044" s="8">
        <v>0.67</v>
      </c>
      <c r="G1044" s="4">
        <v>3</v>
      </c>
      <c r="H1044" s="8">
        <v>1.91</v>
      </c>
      <c r="I1044" s="4">
        <v>0</v>
      </c>
    </row>
    <row r="1045" spans="1:9" x14ac:dyDescent="0.2">
      <c r="A1045" s="2">
        <v>18</v>
      </c>
      <c r="B1045" s="1" t="s">
        <v>179</v>
      </c>
      <c r="C1045" s="4">
        <v>4</v>
      </c>
      <c r="D1045" s="8">
        <v>1.27</v>
      </c>
      <c r="E1045" s="4">
        <v>3</v>
      </c>
      <c r="F1045" s="8">
        <v>2</v>
      </c>
      <c r="G1045" s="4">
        <v>1</v>
      </c>
      <c r="H1045" s="8">
        <v>0.64</v>
      </c>
      <c r="I1045" s="4">
        <v>0</v>
      </c>
    </row>
    <row r="1046" spans="1:9" x14ac:dyDescent="0.2">
      <c r="A1046" s="2">
        <v>18</v>
      </c>
      <c r="B1046" s="1" t="s">
        <v>205</v>
      </c>
      <c r="C1046" s="4">
        <v>4</v>
      </c>
      <c r="D1046" s="8">
        <v>1.27</v>
      </c>
      <c r="E1046" s="4">
        <v>3</v>
      </c>
      <c r="F1046" s="8">
        <v>2</v>
      </c>
      <c r="G1046" s="4">
        <v>1</v>
      </c>
      <c r="H1046" s="8">
        <v>0.64</v>
      </c>
      <c r="I1046" s="4">
        <v>0</v>
      </c>
    </row>
    <row r="1047" spans="1:9" x14ac:dyDescent="0.2">
      <c r="A1047" s="2">
        <v>18</v>
      </c>
      <c r="B1047" s="1" t="s">
        <v>194</v>
      </c>
      <c r="C1047" s="4">
        <v>4</v>
      </c>
      <c r="D1047" s="8">
        <v>1.27</v>
      </c>
      <c r="E1047" s="4">
        <v>1</v>
      </c>
      <c r="F1047" s="8">
        <v>0.67</v>
      </c>
      <c r="G1047" s="4">
        <v>3</v>
      </c>
      <c r="H1047" s="8">
        <v>1.91</v>
      </c>
      <c r="I1047" s="4">
        <v>0</v>
      </c>
    </row>
    <row r="1048" spans="1:9" x14ac:dyDescent="0.2">
      <c r="A1048" s="2">
        <v>18</v>
      </c>
      <c r="B1048" s="1" t="s">
        <v>216</v>
      </c>
      <c r="C1048" s="4">
        <v>4</v>
      </c>
      <c r="D1048" s="8">
        <v>1.27</v>
      </c>
      <c r="E1048" s="4">
        <v>0</v>
      </c>
      <c r="F1048" s="8">
        <v>0</v>
      </c>
      <c r="G1048" s="4">
        <v>4</v>
      </c>
      <c r="H1048" s="8">
        <v>2.5499999999999998</v>
      </c>
      <c r="I1048" s="4">
        <v>0</v>
      </c>
    </row>
    <row r="1049" spans="1:9" x14ac:dyDescent="0.2">
      <c r="A1049" s="2">
        <v>18</v>
      </c>
      <c r="B1049" s="1" t="s">
        <v>212</v>
      </c>
      <c r="C1049" s="4">
        <v>4</v>
      </c>
      <c r="D1049" s="8">
        <v>1.27</v>
      </c>
      <c r="E1049" s="4">
        <v>1</v>
      </c>
      <c r="F1049" s="8">
        <v>0.67</v>
      </c>
      <c r="G1049" s="4">
        <v>3</v>
      </c>
      <c r="H1049" s="8">
        <v>1.91</v>
      </c>
      <c r="I1049" s="4">
        <v>0</v>
      </c>
    </row>
    <row r="1050" spans="1:9" x14ac:dyDescent="0.2">
      <c r="A1050" s="2">
        <v>18</v>
      </c>
      <c r="B1050" s="1" t="s">
        <v>280</v>
      </c>
      <c r="C1050" s="4">
        <v>4</v>
      </c>
      <c r="D1050" s="8">
        <v>1.27</v>
      </c>
      <c r="E1050" s="4">
        <v>4</v>
      </c>
      <c r="F1050" s="8">
        <v>2.67</v>
      </c>
      <c r="G1050" s="4">
        <v>0</v>
      </c>
      <c r="H1050" s="8">
        <v>0</v>
      </c>
      <c r="I1050" s="4">
        <v>0</v>
      </c>
    </row>
    <row r="1051" spans="1:9" x14ac:dyDescent="0.2">
      <c r="A1051" s="2">
        <v>18</v>
      </c>
      <c r="B1051" s="1" t="s">
        <v>229</v>
      </c>
      <c r="C1051" s="4">
        <v>4</v>
      </c>
      <c r="D1051" s="8">
        <v>1.27</v>
      </c>
      <c r="E1051" s="4">
        <v>1</v>
      </c>
      <c r="F1051" s="8">
        <v>0.67</v>
      </c>
      <c r="G1051" s="4">
        <v>3</v>
      </c>
      <c r="H1051" s="8">
        <v>1.91</v>
      </c>
      <c r="I1051" s="4">
        <v>0</v>
      </c>
    </row>
    <row r="1052" spans="1:9" x14ac:dyDescent="0.2">
      <c r="A1052" s="2">
        <v>18</v>
      </c>
      <c r="B1052" s="1" t="s">
        <v>209</v>
      </c>
      <c r="C1052" s="4">
        <v>4</v>
      </c>
      <c r="D1052" s="8">
        <v>1.27</v>
      </c>
      <c r="E1052" s="4">
        <v>2</v>
      </c>
      <c r="F1052" s="8">
        <v>1.33</v>
      </c>
      <c r="G1052" s="4">
        <v>2</v>
      </c>
      <c r="H1052" s="8">
        <v>1.27</v>
      </c>
      <c r="I1052" s="4">
        <v>0</v>
      </c>
    </row>
    <row r="1053" spans="1:9" x14ac:dyDescent="0.2">
      <c r="A1053" s="1"/>
      <c r="C1053" s="4"/>
      <c r="D1053" s="8"/>
      <c r="E1053" s="4"/>
      <c r="F1053" s="8"/>
      <c r="G1053" s="4"/>
      <c r="H1053" s="8"/>
      <c r="I1053" s="4"/>
    </row>
    <row r="1054" spans="1:9" x14ac:dyDescent="0.2">
      <c r="A1054" s="1" t="s">
        <v>42</v>
      </c>
      <c r="C1054" s="4"/>
      <c r="D1054" s="8"/>
      <c r="E1054" s="4"/>
      <c r="F1054" s="8"/>
      <c r="G1054" s="4"/>
      <c r="H1054" s="8"/>
      <c r="I1054" s="4"/>
    </row>
    <row r="1055" spans="1:9" x14ac:dyDescent="0.2">
      <c r="A1055" s="2">
        <v>1</v>
      </c>
      <c r="B1055" s="1" t="s">
        <v>174</v>
      </c>
      <c r="C1055" s="4">
        <v>11</v>
      </c>
      <c r="D1055" s="8">
        <v>7.43</v>
      </c>
      <c r="E1055" s="4">
        <v>3</v>
      </c>
      <c r="F1055" s="8">
        <v>3.06</v>
      </c>
      <c r="G1055" s="4">
        <v>8</v>
      </c>
      <c r="H1055" s="8">
        <v>17.39</v>
      </c>
      <c r="I1055" s="4">
        <v>0</v>
      </c>
    </row>
    <row r="1056" spans="1:9" x14ac:dyDescent="0.2">
      <c r="A1056" s="2">
        <v>2</v>
      </c>
      <c r="B1056" s="1" t="s">
        <v>175</v>
      </c>
      <c r="C1056" s="4">
        <v>8</v>
      </c>
      <c r="D1056" s="8">
        <v>5.41</v>
      </c>
      <c r="E1056" s="4">
        <v>3</v>
      </c>
      <c r="F1056" s="8">
        <v>3.06</v>
      </c>
      <c r="G1056" s="4">
        <v>5</v>
      </c>
      <c r="H1056" s="8">
        <v>10.87</v>
      </c>
      <c r="I1056" s="4">
        <v>0</v>
      </c>
    </row>
    <row r="1057" spans="1:9" x14ac:dyDescent="0.2">
      <c r="A1057" s="2">
        <v>3</v>
      </c>
      <c r="B1057" s="1" t="s">
        <v>210</v>
      </c>
      <c r="C1057" s="4">
        <v>6</v>
      </c>
      <c r="D1057" s="8">
        <v>4.05</v>
      </c>
      <c r="E1057" s="4">
        <v>5</v>
      </c>
      <c r="F1057" s="8">
        <v>5.0999999999999996</v>
      </c>
      <c r="G1057" s="4">
        <v>1</v>
      </c>
      <c r="H1057" s="8">
        <v>2.17</v>
      </c>
      <c r="I1057" s="4">
        <v>0</v>
      </c>
    </row>
    <row r="1058" spans="1:9" x14ac:dyDescent="0.2">
      <c r="A1058" s="2">
        <v>3</v>
      </c>
      <c r="B1058" s="1" t="s">
        <v>190</v>
      </c>
      <c r="C1058" s="4">
        <v>6</v>
      </c>
      <c r="D1058" s="8">
        <v>4.05</v>
      </c>
      <c r="E1058" s="4">
        <v>6</v>
      </c>
      <c r="F1058" s="8">
        <v>6.12</v>
      </c>
      <c r="G1058" s="4">
        <v>0</v>
      </c>
      <c r="H1058" s="8">
        <v>0</v>
      </c>
      <c r="I1058" s="4">
        <v>0</v>
      </c>
    </row>
    <row r="1059" spans="1:9" x14ac:dyDescent="0.2">
      <c r="A1059" s="2">
        <v>5</v>
      </c>
      <c r="B1059" s="1" t="s">
        <v>176</v>
      </c>
      <c r="C1059" s="4">
        <v>5</v>
      </c>
      <c r="D1059" s="8">
        <v>3.38</v>
      </c>
      <c r="E1059" s="4">
        <v>4</v>
      </c>
      <c r="F1059" s="8">
        <v>4.08</v>
      </c>
      <c r="G1059" s="4">
        <v>1</v>
      </c>
      <c r="H1059" s="8">
        <v>2.17</v>
      </c>
      <c r="I1059" s="4">
        <v>0</v>
      </c>
    </row>
    <row r="1060" spans="1:9" x14ac:dyDescent="0.2">
      <c r="A1060" s="2">
        <v>5</v>
      </c>
      <c r="B1060" s="1" t="s">
        <v>214</v>
      </c>
      <c r="C1060" s="4">
        <v>5</v>
      </c>
      <c r="D1060" s="8">
        <v>3.38</v>
      </c>
      <c r="E1060" s="4">
        <v>5</v>
      </c>
      <c r="F1060" s="8">
        <v>5.0999999999999996</v>
      </c>
      <c r="G1060" s="4">
        <v>0</v>
      </c>
      <c r="H1060" s="8">
        <v>0</v>
      </c>
      <c r="I1060" s="4">
        <v>0</v>
      </c>
    </row>
    <row r="1061" spans="1:9" x14ac:dyDescent="0.2">
      <c r="A1061" s="2">
        <v>7</v>
      </c>
      <c r="B1061" s="1" t="s">
        <v>178</v>
      </c>
      <c r="C1061" s="4">
        <v>4</v>
      </c>
      <c r="D1061" s="8">
        <v>2.7</v>
      </c>
      <c r="E1061" s="4">
        <v>4</v>
      </c>
      <c r="F1061" s="8">
        <v>4.08</v>
      </c>
      <c r="G1061" s="4">
        <v>0</v>
      </c>
      <c r="H1061" s="8">
        <v>0</v>
      </c>
      <c r="I1061" s="4">
        <v>0</v>
      </c>
    </row>
    <row r="1062" spans="1:9" x14ac:dyDescent="0.2">
      <c r="A1062" s="2">
        <v>7</v>
      </c>
      <c r="B1062" s="1" t="s">
        <v>180</v>
      </c>
      <c r="C1062" s="4">
        <v>4</v>
      </c>
      <c r="D1062" s="8">
        <v>2.7</v>
      </c>
      <c r="E1062" s="4">
        <v>2</v>
      </c>
      <c r="F1062" s="8">
        <v>2.04</v>
      </c>
      <c r="G1062" s="4">
        <v>2</v>
      </c>
      <c r="H1062" s="8">
        <v>4.3499999999999996</v>
      </c>
      <c r="I1062" s="4">
        <v>0</v>
      </c>
    </row>
    <row r="1063" spans="1:9" x14ac:dyDescent="0.2">
      <c r="A1063" s="2">
        <v>7</v>
      </c>
      <c r="B1063" s="1" t="s">
        <v>216</v>
      </c>
      <c r="C1063" s="4">
        <v>4</v>
      </c>
      <c r="D1063" s="8">
        <v>2.7</v>
      </c>
      <c r="E1063" s="4">
        <v>1</v>
      </c>
      <c r="F1063" s="8">
        <v>1.02</v>
      </c>
      <c r="G1063" s="4">
        <v>3</v>
      </c>
      <c r="H1063" s="8">
        <v>6.52</v>
      </c>
      <c r="I1063" s="4">
        <v>0</v>
      </c>
    </row>
    <row r="1064" spans="1:9" x14ac:dyDescent="0.2">
      <c r="A1064" s="2">
        <v>7</v>
      </c>
      <c r="B1064" s="1" t="s">
        <v>191</v>
      </c>
      <c r="C1064" s="4">
        <v>4</v>
      </c>
      <c r="D1064" s="8">
        <v>2.7</v>
      </c>
      <c r="E1064" s="4">
        <v>4</v>
      </c>
      <c r="F1064" s="8">
        <v>4.08</v>
      </c>
      <c r="G1064" s="4">
        <v>0</v>
      </c>
      <c r="H1064" s="8">
        <v>0</v>
      </c>
      <c r="I1064" s="4">
        <v>0</v>
      </c>
    </row>
    <row r="1065" spans="1:9" x14ac:dyDescent="0.2">
      <c r="A1065" s="2">
        <v>11</v>
      </c>
      <c r="B1065" s="1" t="s">
        <v>201</v>
      </c>
      <c r="C1065" s="4">
        <v>3</v>
      </c>
      <c r="D1065" s="8">
        <v>2.0299999999999998</v>
      </c>
      <c r="E1065" s="4">
        <v>3</v>
      </c>
      <c r="F1065" s="8">
        <v>3.06</v>
      </c>
      <c r="G1065" s="4">
        <v>0</v>
      </c>
      <c r="H1065" s="8">
        <v>0</v>
      </c>
      <c r="I1065" s="4">
        <v>0</v>
      </c>
    </row>
    <row r="1066" spans="1:9" x14ac:dyDescent="0.2">
      <c r="A1066" s="2">
        <v>11</v>
      </c>
      <c r="B1066" s="1" t="s">
        <v>177</v>
      </c>
      <c r="C1066" s="4">
        <v>3</v>
      </c>
      <c r="D1066" s="8">
        <v>2.0299999999999998</v>
      </c>
      <c r="E1066" s="4">
        <v>2</v>
      </c>
      <c r="F1066" s="8">
        <v>2.04</v>
      </c>
      <c r="G1066" s="4">
        <v>1</v>
      </c>
      <c r="H1066" s="8">
        <v>2.17</v>
      </c>
      <c r="I1066" s="4">
        <v>0</v>
      </c>
    </row>
    <row r="1067" spans="1:9" x14ac:dyDescent="0.2">
      <c r="A1067" s="2">
        <v>11</v>
      </c>
      <c r="B1067" s="1" t="s">
        <v>196</v>
      </c>
      <c r="C1067" s="4">
        <v>3</v>
      </c>
      <c r="D1067" s="8">
        <v>2.0299999999999998</v>
      </c>
      <c r="E1067" s="4">
        <v>2</v>
      </c>
      <c r="F1067" s="8">
        <v>2.04</v>
      </c>
      <c r="G1067" s="4">
        <v>1</v>
      </c>
      <c r="H1067" s="8">
        <v>2.17</v>
      </c>
      <c r="I1067" s="4">
        <v>0</v>
      </c>
    </row>
    <row r="1068" spans="1:9" x14ac:dyDescent="0.2">
      <c r="A1068" s="2">
        <v>11</v>
      </c>
      <c r="B1068" s="1" t="s">
        <v>233</v>
      </c>
      <c r="C1068" s="4">
        <v>3</v>
      </c>
      <c r="D1068" s="8">
        <v>2.0299999999999998</v>
      </c>
      <c r="E1068" s="4">
        <v>2</v>
      </c>
      <c r="F1068" s="8">
        <v>2.04</v>
      </c>
      <c r="G1068" s="4">
        <v>1</v>
      </c>
      <c r="H1068" s="8">
        <v>2.17</v>
      </c>
      <c r="I1068" s="4">
        <v>0</v>
      </c>
    </row>
    <row r="1069" spans="1:9" x14ac:dyDescent="0.2">
      <c r="A1069" s="2">
        <v>11</v>
      </c>
      <c r="B1069" s="1" t="s">
        <v>219</v>
      </c>
      <c r="C1069" s="4">
        <v>3</v>
      </c>
      <c r="D1069" s="8">
        <v>2.0299999999999998</v>
      </c>
      <c r="E1069" s="4">
        <v>3</v>
      </c>
      <c r="F1069" s="8">
        <v>3.06</v>
      </c>
      <c r="G1069" s="4">
        <v>0</v>
      </c>
      <c r="H1069" s="8">
        <v>0</v>
      </c>
      <c r="I1069" s="4">
        <v>0</v>
      </c>
    </row>
    <row r="1070" spans="1:9" x14ac:dyDescent="0.2">
      <c r="A1070" s="2">
        <v>11</v>
      </c>
      <c r="B1070" s="1" t="s">
        <v>194</v>
      </c>
      <c r="C1070" s="4">
        <v>3</v>
      </c>
      <c r="D1070" s="8">
        <v>2.0299999999999998</v>
      </c>
      <c r="E1070" s="4">
        <v>1</v>
      </c>
      <c r="F1070" s="8">
        <v>1.02</v>
      </c>
      <c r="G1070" s="4">
        <v>2</v>
      </c>
      <c r="H1070" s="8">
        <v>4.3499999999999996</v>
      </c>
      <c r="I1070" s="4">
        <v>0</v>
      </c>
    </row>
    <row r="1071" spans="1:9" x14ac:dyDescent="0.2">
      <c r="A1071" s="2">
        <v>11</v>
      </c>
      <c r="B1071" s="1" t="s">
        <v>187</v>
      </c>
      <c r="C1071" s="4">
        <v>3</v>
      </c>
      <c r="D1071" s="8">
        <v>2.0299999999999998</v>
      </c>
      <c r="E1071" s="4">
        <v>3</v>
      </c>
      <c r="F1071" s="8">
        <v>3.06</v>
      </c>
      <c r="G1071" s="4">
        <v>0</v>
      </c>
      <c r="H1071" s="8">
        <v>0</v>
      </c>
      <c r="I1071" s="4">
        <v>0</v>
      </c>
    </row>
    <row r="1072" spans="1:9" x14ac:dyDescent="0.2">
      <c r="A1072" s="2">
        <v>11</v>
      </c>
      <c r="B1072" s="1" t="s">
        <v>192</v>
      </c>
      <c r="C1072" s="4">
        <v>3</v>
      </c>
      <c r="D1072" s="8">
        <v>2.0299999999999998</v>
      </c>
      <c r="E1072" s="4">
        <v>3</v>
      </c>
      <c r="F1072" s="8">
        <v>3.06</v>
      </c>
      <c r="G1072" s="4">
        <v>0</v>
      </c>
      <c r="H1072" s="8">
        <v>0</v>
      </c>
      <c r="I1072" s="4">
        <v>0</v>
      </c>
    </row>
    <row r="1073" spans="1:9" x14ac:dyDescent="0.2">
      <c r="A1073" s="2">
        <v>11</v>
      </c>
      <c r="B1073" s="1" t="s">
        <v>259</v>
      </c>
      <c r="C1073" s="4">
        <v>3</v>
      </c>
      <c r="D1073" s="8">
        <v>2.0299999999999998</v>
      </c>
      <c r="E1073" s="4">
        <v>3</v>
      </c>
      <c r="F1073" s="8">
        <v>3.06</v>
      </c>
      <c r="G1073" s="4">
        <v>0</v>
      </c>
      <c r="H1073" s="8">
        <v>0</v>
      </c>
      <c r="I1073" s="4">
        <v>0</v>
      </c>
    </row>
    <row r="1074" spans="1:9" x14ac:dyDescent="0.2">
      <c r="A1074" s="2">
        <v>20</v>
      </c>
      <c r="B1074" s="1" t="s">
        <v>252</v>
      </c>
      <c r="C1074" s="4">
        <v>2</v>
      </c>
      <c r="D1074" s="8">
        <v>1.35</v>
      </c>
      <c r="E1074" s="4">
        <v>0</v>
      </c>
      <c r="F1074" s="8">
        <v>0</v>
      </c>
      <c r="G1074" s="4">
        <v>2</v>
      </c>
      <c r="H1074" s="8">
        <v>4.3499999999999996</v>
      </c>
      <c r="I1074" s="4">
        <v>0</v>
      </c>
    </row>
    <row r="1075" spans="1:9" x14ac:dyDescent="0.2">
      <c r="A1075" s="2">
        <v>20</v>
      </c>
      <c r="B1075" s="1" t="s">
        <v>287</v>
      </c>
      <c r="C1075" s="4">
        <v>2</v>
      </c>
      <c r="D1075" s="8">
        <v>1.35</v>
      </c>
      <c r="E1075" s="4">
        <v>0</v>
      </c>
      <c r="F1075" s="8">
        <v>0</v>
      </c>
      <c r="G1075" s="4">
        <v>2</v>
      </c>
      <c r="H1075" s="8">
        <v>4.3499999999999996</v>
      </c>
      <c r="I1075" s="4">
        <v>0</v>
      </c>
    </row>
    <row r="1076" spans="1:9" x14ac:dyDescent="0.2">
      <c r="A1076" s="2">
        <v>20</v>
      </c>
      <c r="B1076" s="1" t="s">
        <v>286</v>
      </c>
      <c r="C1076" s="4">
        <v>2</v>
      </c>
      <c r="D1076" s="8">
        <v>1.35</v>
      </c>
      <c r="E1076" s="4">
        <v>2</v>
      </c>
      <c r="F1076" s="8">
        <v>2.04</v>
      </c>
      <c r="G1076" s="4">
        <v>0</v>
      </c>
      <c r="H1076" s="8">
        <v>0</v>
      </c>
      <c r="I1076" s="4">
        <v>0</v>
      </c>
    </row>
    <row r="1077" spans="1:9" x14ac:dyDescent="0.2">
      <c r="A1077" s="2">
        <v>20</v>
      </c>
      <c r="B1077" s="1" t="s">
        <v>231</v>
      </c>
      <c r="C1077" s="4">
        <v>2</v>
      </c>
      <c r="D1077" s="8">
        <v>1.35</v>
      </c>
      <c r="E1077" s="4">
        <v>2</v>
      </c>
      <c r="F1077" s="8">
        <v>2.04</v>
      </c>
      <c r="G1077" s="4">
        <v>0</v>
      </c>
      <c r="H1077" s="8">
        <v>0</v>
      </c>
      <c r="I1077" s="4">
        <v>0</v>
      </c>
    </row>
    <row r="1078" spans="1:9" x14ac:dyDescent="0.2">
      <c r="A1078" s="2">
        <v>20</v>
      </c>
      <c r="B1078" s="1" t="s">
        <v>211</v>
      </c>
      <c r="C1078" s="4">
        <v>2</v>
      </c>
      <c r="D1078" s="8">
        <v>1.35</v>
      </c>
      <c r="E1078" s="4">
        <v>0</v>
      </c>
      <c r="F1078" s="8">
        <v>0</v>
      </c>
      <c r="G1078" s="4">
        <v>2</v>
      </c>
      <c r="H1078" s="8">
        <v>4.3499999999999996</v>
      </c>
      <c r="I1078" s="4">
        <v>0</v>
      </c>
    </row>
    <row r="1079" spans="1:9" x14ac:dyDescent="0.2">
      <c r="A1079" s="2">
        <v>20</v>
      </c>
      <c r="B1079" s="1" t="s">
        <v>288</v>
      </c>
      <c r="C1079" s="4">
        <v>2</v>
      </c>
      <c r="D1079" s="8">
        <v>1.35</v>
      </c>
      <c r="E1079" s="4">
        <v>2</v>
      </c>
      <c r="F1079" s="8">
        <v>2.04</v>
      </c>
      <c r="G1079" s="4">
        <v>0</v>
      </c>
      <c r="H1079" s="8">
        <v>0</v>
      </c>
      <c r="I1079" s="4">
        <v>0</v>
      </c>
    </row>
    <row r="1080" spans="1:9" x14ac:dyDescent="0.2">
      <c r="A1080" s="2">
        <v>20</v>
      </c>
      <c r="B1080" s="1" t="s">
        <v>243</v>
      </c>
      <c r="C1080" s="4">
        <v>2</v>
      </c>
      <c r="D1080" s="8">
        <v>1.35</v>
      </c>
      <c r="E1080" s="4">
        <v>2</v>
      </c>
      <c r="F1080" s="8">
        <v>2.04</v>
      </c>
      <c r="G1080" s="4">
        <v>0</v>
      </c>
      <c r="H1080" s="8">
        <v>0</v>
      </c>
      <c r="I1080" s="4">
        <v>0</v>
      </c>
    </row>
    <row r="1081" spans="1:9" x14ac:dyDescent="0.2">
      <c r="A1081" s="2">
        <v>20</v>
      </c>
      <c r="B1081" s="1" t="s">
        <v>184</v>
      </c>
      <c r="C1081" s="4">
        <v>2</v>
      </c>
      <c r="D1081" s="8">
        <v>1.35</v>
      </c>
      <c r="E1081" s="4">
        <v>1</v>
      </c>
      <c r="F1081" s="8">
        <v>1.02</v>
      </c>
      <c r="G1081" s="4">
        <v>1</v>
      </c>
      <c r="H1081" s="8">
        <v>2.17</v>
      </c>
      <c r="I1081" s="4">
        <v>0</v>
      </c>
    </row>
    <row r="1082" spans="1:9" x14ac:dyDescent="0.2">
      <c r="A1082" s="2">
        <v>20</v>
      </c>
      <c r="B1082" s="1" t="s">
        <v>185</v>
      </c>
      <c r="C1082" s="4">
        <v>2</v>
      </c>
      <c r="D1082" s="8">
        <v>1.35</v>
      </c>
      <c r="E1082" s="4">
        <v>2</v>
      </c>
      <c r="F1082" s="8">
        <v>2.04</v>
      </c>
      <c r="G1082" s="4">
        <v>0</v>
      </c>
      <c r="H1082" s="8">
        <v>0</v>
      </c>
      <c r="I1082" s="4">
        <v>0</v>
      </c>
    </row>
    <row r="1083" spans="1:9" x14ac:dyDescent="0.2">
      <c r="A1083" s="2">
        <v>20</v>
      </c>
      <c r="B1083" s="1" t="s">
        <v>186</v>
      </c>
      <c r="C1083" s="4">
        <v>2</v>
      </c>
      <c r="D1083" s="8">
        <v>1.35</v>
      </c>
      <c r="E1083" s="4">
        <v>2</v>
      </c>
      <c r="F1083" s="8">
        <v>2.04</v>
      </c>
      <c r="G1083" s="4">
        <v>0</v>
      </c>
      <c r="H1083" s="8">
        <v>0</v>
      </c>
      <c r="I1083" s="4">
        <v>0</v>
      </c>
    </row>
    <row r="1084" spans="1:9" x14ac:dyDescent="0.2">
      <c r="A1084" s="2">
        <v>20</v>
      </c>
      <c r="B1084" s="1" t="s">
        <v>220</v>
      </c>
      <c r="C1084" s="4">
        <v>2</v>
      </c>
      <c r="D1084" s="8">
        <v>1.35</v>
      </c>
      <c r="E1084" s="4">
        <v>2</v>
      </c>
      <c r="F1084" s="8">
        <v>2.04</v>
      </c>
      <c r="G1084" s="4">
        <v>0</v>
      </c>
      <c r="H1084" s="8">
        <v>0</v>
      </c>
      <c r="I1084" s="4">
        <v>0</v>
      </c>
    </row>
    <row r="1085" spans="1:9" x14ac:dyDescent="0.2">
      <c r="A1085" s="2">
        <v>20</v>
      </c>
      <c r="B1085" s="1" t="s">
        <v>193</v>
      </c>
      <c r="C1085" s="4">
        <v>2</v>
      </c>
      <c r="D1085" s="8">
        <v>1.35</v>
      </c>
      <c r="E1085" s="4">
        <v>2</v>
      </c>
      <c r="F1085" s="8">
        <v>2.04</v>
      </c>
      <c r="G1085" s="4">
        <v>0</v>
      </c>
      <c r="H1085" s="8">
        <v>0</v>
      </c>
      <c r="I1085" s="4">
        <v>0</v>
      </c>
    </row>
    <row r="1086" spans="1:9" x14ac:dyDescent="0.2">
      <c r="A1086" s="2">
        <v>20</v>
      </c>
      <c r="B1086" s="1" t="s">
        <v>271</v>
      </c>
      <c r="C1086" s="4">
        <v>2</v>
      </c>
      <c r="D1086" s="8">
        <v>1.35</v>
      </c>
      <c r="E1086" s="4">
        <v>0</v>
      </c>
      <c r="F1086" s="8">
        <v>0</v>
      </c>
      <c r="G1086" s="4">
        <v>2</v>
      </c>
      <c r="H1086" s="8">
        <v>4.3499999999999996</v>
      </c>
      <c r="I1086" s="4">
        <v>0</v>
      </c>
    </row>
    <row r="1087" spans="1:9" x14ac:dyDescent="0.2">
      <c r="A1087" s="2">
        <v>20</v>
      </c>
      <c r="B1087" s="1" t="s">
        <v>200</v>
      </c>
      <c r="C1087" s="4">
        <v>2</v>
      </c>
      <c r="D1087" s="8">
        <v>1.35</v>
      </c>
      <c r="E1087" s="4">
        <v>2</v>
      </c>
      <c r="F1087" s="8">
        <v>2.04</v>
      </c>
      <c r="G1087" s="4">
        <v>0</v>
      </c>
      <c r="H1087" s="8">
        <v>0</v>
      </c>
      <c r="I1087" s="4">
        <v>0</v>
      </c>
    </row>
    <row r="1088" spans="1:9" x14ac:dyDescent="0.2">
      <c r="A1088" s="1"/>
      <c r="C1088" s="4"/>
      <c r="D1088" s="8"/>
      <c r="E1088" s="4"/>
      <c r="F1088" s="8"/>
      <c r="G1088" s="4"/>
      <c r="H1088" s="8"/>
      <c r="I1088" s="4"/>
    </row>
    <row r="1089" spans="1:9" x14ac:dyDescent="0.2">
      <c r="A1089" s="1" t="s">
        <v>43</v>
      </c>
      <c r="C1089" s="4"/>
      <c r="D1089" s="8"/>
      <c r="E1089" s="4"/>
      <c r="F1089" s="8"/>
      <c r="G1089" s="4"/>
      <c r="H1089" s="8"/>
      <c r="I1089" s="4"/>
    </row>
    <row r="1090" spans="1:9" x14ac:dyDescent="0.2">
      <c r="A1090" s="2">
        <v>1</v>
      </c>
      <c r="B1090" s="1" t="s">
        <v>176</v>
      </c>
      <c r="C1090" s="4">
        <v>13</v>
      </c>
      <c r="D1090" s="8">
        <v>4.8099999999999996</v>
      </c>
      <c r="E1090" s="4">
        <v>8</v>
      </c>
      <c r="F1090" s="8">
        <v>4.71</v>
      </c>
      <c r="G1090" s="4">
        <v>5</v>
      </c>
      <c r="H1090" s="8">
        <v>5.26</v>
      </c>
      <c r="I1090" s="4">
        <v>0</v>
      </c>
    </row>
    <row r="1091" spans="1:9" x14ac:dyDescent="0.2">
      <c r="A1091" s="2">
        <v>2</v>
      </c>
      <c r="B1091" s="1" t="s">
        <v>174</v>
      </c>
      <c r="C1091" s="4">
        <v>11</v>
      </c>
      <c r="D1091" s="8">
        <v>4.07</v>
      </c>
      <c r="E1091" s="4">
        <v>3</v>
      </c>
      <c r="F1091" s="8">
        <v>1.76</v>
      </c>
      <c r="G1091" s="4">
        <v>8</v>
      </c>
      <c r="H1091" s="8">
        <v>8.42</v>
      </c>
      <c r="I1091" s="4">
        <v>0</v>
      </c>
    </row>
    <row r="1092" spans="1:9" x14ac:dyDescent="0.2">
      <c r="A1092" s="2">
        <v>2</v>
      </c>
      <c r="B1092" s="1" t="s">
        <v>193</v>
      </c>
      <c r="C1092" s="4">
        <v>11</v>
      </c>
      <c r="D1092" s="8">
        <v>4.07</v>
      </c>
      <c r="E1092" s="4">
        <v>9</v>
      </c>
      <c r="F1092" s="8">
        <v>5.29</v>
      </c>
      <c r="G1092" s="4">
        <v>2</v>
      </c>
      <c r="H1092" s="8">
        <v>2.11</v>
      </c>
      <c r="I1092" s="4">
        <v>0</v>
      </c>
    </row>
    <row r="1093" spans="1:9" x14ac:dyDescent="0.2">
      <c r="A1093" s="2">
        <v>4</v>
      </c>
      <c r="B1093" s="1" t="s">
        <v>191</v>
      </c>
      <c r="C1093" s="4">
        <v>10</v>
      </c>
      <c r="D1093" s="8">
        <v>3.7</v>
      </c>
      <c r="E1093" s="4">
        <v>9</v>
      </c>
      <c r="F1093" s="8">
        <v>5.29</v>
      </c>
      <c r="G1093" s="4">
        <v>1</v>
      </c>
      <c r="H1093" s="8">
        <v>1.05</v>
      </c>
      <c r="I1093" s="4">
        <v>0</v>
      </c>
    </row>
    <row r="1094" spans="1:9" x14ac:dyDescent="0.2">
      <c r="A1094" s="2">
        <v>5</v>
      </c>
      <c r="B1094" s="1" t="s">
        <v>181</v>
      </c>
      <c r="C1094" s="4">
        <v>8</v>
      </c>
      <c r="D1094" s="8">
        <v>2.96</v>
      </c>
      <c r="E1094" s="4">
        <v>6</v>
      </c>
      <c r="F1094" s="8">
        <v>3.53</v>
      </c>
      <c r="G1094" s="4">
        <v>2</v>
      </c>
      <c r="H1094" s="8">
        <v>2.11</v>
      </c>
      <c r="I1094" s="4">
        <v>0</v>
      </c>
    </row>
    <row r="1095" spans="1:9" x14ac:dyDescent="0.2">
      <c r="A1095" s="2">
        <v>5</v>
      </c>
      <c r="B1095" s="1" t="s">
        <v>186</v>
      </c>
      <c r="C1095" s="4">
        <v>8</v>
      </c>
      <c r="D1095" s="8">
        <v>2.96</v>
      </c>
      <c r="E1095" s="4">
        <v>6</v>
      </c>
      <c r="F1095" s="8">
        <v>3.53</v>
      </c>
      <c r="G1095" s="4">
        <v>2</v>
      </c>
      <c r="H1095" s="8">
        <v>2.11</v>
      </c>
      <c r="I1095" s="4">
        <v>0</v>
      </c>
    </row>
    <row r="1096" spans="1:9" x14ac:dyDescent="0.2">
      <c r="A1096" s="2">
        <v>7</v>
      </c>
      <c r="B1096" s="1" t="s">
        <v>227</v>
      </c>
      <c r="C1096" s="4">
        <v>7</v>
      </c>
      <c r="D1096" s="8">
        <v>2.59</v>
      </c>
      <c r="E1096" s="4">
        <v>6</v>
      </c>
      <c r="F1096" s="8">
        <v>3.53</v>
      </c>
      <c r="G1096" s="4">
        <v>1</v>
      </c>
      <c r="H1096" s="8">
        <v>1.05</v>
      </c>
      <c r="I1096" s="4">
        <v>0</v>
      </c>
    </row>
    <row r="1097" spans="1:9" x14ac:dyDescent="0.2">
      <c r="A1097" s="2">
        <v>7</v>
      </c>
      <c r="B1097" s="1" t="s">
        <v>179</v>
      </c>
      <c r="C1097" s="4">
        <v>7</v>
      </c>
      <c r="D1097" s="8">
        <v>2.59</v>
      </c>
      <c r="E1097" s="4">
        <v>6</v>
      </c>
      <c r="F1097" s="8">
        <v>3.53</v>
      </c>
      <c r="G1097" s="4">
        <v>1</v>
      </c>
      <c r="H1097" s="8">
        <v>1.05</v>
      </c>
      <c r="I1097" s="4">
        <v>0</v>
      </c>
    </row>
    <row r="1098" spans="1:9" x14ac:dyDescent="0.2">
      <c r="A1098" s="2">
        <v>7</v>
      </c>
      <c r="B1098" s="1" t="s">
        <v>220</v>
      </c>
      <c r="C1098" s="4">
        <v>7</v>
      </c>
      <c r="D1098" s="8">
        <v>2.59</v>
      </c>
      <c r="E1098" s="4">
        <v>3</v>
      </c>
      <c r="F1098" s="8">
        <v>1.76</v>
      </c>
      <c r="G1098" s="4">
        <v>4</v>
      </c>
      <c r="H1098" s="8">
        <v>4.21</v>
      </c>
      <c r="I1098" s="4">
        <v>0</v>
      </c>
    </row>
    <row r="1099" spans="1:9" x14ac:dyDescent="0.2">
      <c r="A1099" s="2">
        <v>7</v>
      </c>
      <c r="B1099" s="1" t="s">
        <v>198</v>
      </c>
      <c r="C1099" s="4">
        <v>7</v>
      </c>
      <c r="D1099" s="8">
        <v>2.59</v>
      </c>
      <c r="E1099" s="4">
        <v>7</v>
      </c>
      <c r="F1099" s="8">
        <v>4.12</v>
      </c>
      <c r="G1099" s="4">
        <v>0</v>
      </c>
      <c r="H1099" s="8">
        <v>0</v>
      </c>
      <c r="I1099" s="4">
        <v>0</v>
      </c>
    </row>
    <row r="1100" spans="1:9" x14ac:dyDescent="0.2">
      <c r="A1100" s="2">
        <v>11</v>
      </c>
      <c r="B1100" s="1" t="s">
        <v>197</v>
      </c>
      <c r="C1100" s="4">
        <v>6</v>
      </c>
      <c r="D1100" s="8">
        <v>2.2200000000000002</v>
      </c>
      <c r="E1100" s="4">
        <v>5</v>
      </c>
      <c r="F1100" s="8">
        <v>2.94</v>
      </c>
      <c r="G1100" s="4">
        <v>1</v>
      </c>
      <c r="H1100" s="8">
        <v>1.05</v>
      </c>
      <c r="I1100" s="4">
        <v>0</v>
      </c>
    </row>
    <row r="1101" spans="1:9" x14ac:dyDescent="0.2">
      <c r="A1101" s="2">
        <v>11</v>
      </c>
      <c r="B1101" s="1" t="s">
        <v>192</v>
      </c>
      <c r="C1101" s="4">
        <v>6</v>
      </c>
      <c r="D1101" s="8">
        <v>2.2200000000000002</v>
      </c>
      <c r="E1101" s="4">
        <v>5</v>
      </c>
      <c r="F1101" s="8">
        <v>2.94</v>
      </c>
      <c r="G1101" s="4">
        <v>1</v>
      </c>
      <c r="H1101" s="8">
        <v>1.05</v>
      </c>
      <c r="I1101" s="4">
        <v>0</v>
      </c>
    </row>
    <row r="1102" spans="1:9" x14ac:dyDescent="0.2">
      <c r="A1102" s="2">
        <v>13</v>
      </c>
      <c r="B1102" s="1" t="s">
        <v>178</v>
      </c>
      <c r="C1102" s="4">
        <v>5</v>
      </c>
      <c r="D1102" s="8">
        <v>1.85</v>
      </c>
      <c r="E1102" s="4">
        <v>3</v>
      </c>
      <c r="F1102" s="8">
        <v>1.76</v>
      </c>
      <c r="G1102" s="4">
        <v>2</v>
      </c>
      <c r="H1102" s="8">
        <v>2.11</v>
      </c>
      <c r="I1102" s="4">
        <v>0</v>
      </c>
    </row>
    <row r="1103" spans="1:9" x14ac:dyDescent="0.2">
      <c r="A1103" s="2">
        <v>13</v>
      </c>
      <c r="B1103" s="1" t="s">
        <v>187</v>
      </c>
      <c r="C1103" s="4">
        <v>5</v>
      </c>
      <c r="D1103" s="8">
        <v>1.85</v>
      </c>
      <c r="E1103" s="4">
        <v>5</v>
      </c>
      <c r="F1103" s="8">
        <v>2.94</v>
      </c>
      <c r="G1103" s="4">
        <v>0</v>
      </c>
      <c r="H1103" s="8">
        <v>0</v>
      </c>
      <c r="I1103" s="4">
        <v>0</v>
      </c>
    </row>
    <row r="1104" spans="1:9" x14ac:dyDescent="0.2">
      <c r="A1104" s="2">
        <v>15</v>
      </c>
      <c r="B1104" s="1" t="s">
        <v>175</v>
      </c>
      <c r="C1104" s="4">
        <v>4</v>
      </c>
      <c r="D1104" s="8">
        <v>1.48</v>
      </c>
      <c r="E1104" s="4">
        <v>2</v>
      </c>
      <c r="F1104" s="8">
        <v>1.18</v>
      </c>
      <c r="G1104" s="4">
        <v>2</v>
      </c>
      <c r="H1104" s="8">
        <v>2.11</v>
      </c>
      <c r="I1104" s="4">
        <v>0</v>
      </c>
    </row>
    <row r="1105" spans="1:9" x14ac:dyDescent="0.2">
      <c r="A1105" s="2">
        <v>15</v>
      </c>
      <c r="B1105" s="1" t="s">
        <v>224</v>
      </c>
      <c r="C1105" s="4">
        <v>4</v>
      </c>
      <c r="D1105" s="8">
        <v>1.48</v>
      </c>
      <c r="E1105" s="4">
        <v>4</v>
      </c>
      <c r="F1105" s="8">
        <v>2.35</v>
      </c>
      <c r="G1105" s="4">
        <v>0</v>
      </c>
      <c r="H1105" s="8">
        <v>0</v>
      </c>
      <c r="I1105" s="4">
        <v>0</v>
      </c>
    </row>
    <row r="1106" spans="1:9" x14ac:dyDescent="0.2">
      <c r="A1106" s="2">
        <v>15</v>
      </c>
      <c r="B1106" s="1" t="s">
        <v>201</v>
      </c>
      <c r="C1106" s="4">
        <v>4</v>
      </c>
      <c r="D1106" s="8">
        <v>1.48</v>
      </c>
      <c r="E1106" s="4">
        <v>2</v>
      </c>
      <c r="F1106" s="8">
        <v>1.18</v>
      </c>
      <c r="G1106" s="4">
        <v>2</v>
      </c>
      <c r="H1106" s="8">
        <v>2.11</v>
      </c>
      <c r="I1106" s="4">
        <v>0</v>
      </c>
    </row>
    <row r="1107" spans="1:9" x14ac:dyDescent="0.2">
      <c r="A1107" s="2">
        <v>15</v>
      </c>
      <c r="B1107" s="1" t="s">
        <v>194</v>
      </c>
      <c r="C1107" s="4">
        <v>4</v>
      </c>
      <c r="D1107" s="8">
        <v>1.48</v>
      </c>
      <c r="E1107" s="4">
        <v>3</v>
      </c>
      <c r="F1107" s="8">
        <v>1.76</v>
      </c>
      <c r="G1107" s="4">
        <v>1</v>
      </c>
      <c r="H1107" s="8">
        <v>1.05</v>
      </c>
      <c r="I1107" s="4">
        <v>0</v>
      </c>
    </row>
    <row r="1108" spans="1:9" x14ac:dyDescent="0.2">
      <c r="A1108" s="2">
        <v>15</v>
      </c>
      <c r="B1108" s="1" t="s">
        <v>288</v>
      </c>
      <c r="C1108" s="4">
        <v>4</v>
      </c>
      <c r="D1108" s="8">
        <v>1.48</v>
      </c>
      <c r="E1108" s="4">
        <v>3</v>
      </c>
      <c r="F1108" s="8">
        <v>1.76</v>
      </c>
      <c r="G1108" s="4">
        <v>1</v>
      </c>
      <c r="H1108" s="8">
        <v>1.05</v>
      </c>
      <c r="I1108" s="4">
        <v>0</v>
      </c>
    </row>
    <row r="1109" spans="1:9" x14ac:dyDescent="0.2">
      <c r="A1109" s="2">
        <v>15</v>
      </c>
      <c r="B1109" s="1" t="s">
        <v>190</v>
      </c>
      <c r="C1109" s="4">
        <v>4</v>
      </c>
      <c r="D1109" s="8">
        <v>1.48</v>
      </c>
      <c r="E1109" s="4">
        <v>4</v>
      </c>
      <c r="F1109" s="8">
        <v>2.35</v>
      </c>
      <c r="G1109" s="4">
        <v>0</v>
      </c>
      <c r="H1109" s="8">
        <v>0</v>
      </c>
      <c r="I1109" s="4">
        <v>0</v>
      </c>
    </row>
    <row r="1110" spans="1:9" x14ac:dyDescent="0.2">
      <c r="A1110" s="1"/>
      <c r="C1110" s="4"/>
      <c r="D1110" s="8"/>
      <c r="E1110" s="4"/>
      <c r="F1110" s="8"/>
      <c r="G1110" s="4"/>
      <c r="H1110" s="8"/>
      <c r="I1110" s="4"/>
    </row>
    <row r="1111" spans="1:9" x14ac:dyDescent="0.2">
      <c r="A1111" s="1" t="s">
        <v>44</v>
      </c>
      <c r="C1111" s="4"/>
      <c r="D1111" s="8"/>
      <c r="E1111" s="4"/>
      <c r="F1111" s="8"/>
      <c r="G1111" s="4"/>
      <c r="H1111" s="8"/>
      <c r="I1111" s="4"/>
    </row>
    <row r="1112" spans="1:9" x14ac:dyDescent="0.2">
      <c r="A1112" s="2">
        <v>1</v>
      </c>
      <c r="B1112" s="1" t="s">
        <v>186</v>
      </c>
      <c r="C1112" s="4">
        <v>4</v>
      </c>
      <c r="D1112" s="8">
        <v>12.9</v>
      </c>
      <c r="E1112" s="4">
        <v>4</v>
      </c>
      <c r="F1112" s="8">
        <v>22.22</v>
      </c>
      <c r="G1112" s="4">
        <v>0</v>
      </c>
      <c r="H1112" s="8">
        <v>0</v>
      </c>
      <c r="I1112" s="4">
        <v>0</v>
      </c>
    </row>
    <row r="1113" spans="1:9" x14ac:dyDescent="0.2">
      <c r="A1113" s="2">
        <v>2</v>
      </c>
      <c r="B1113" s="1" t="s">
        <v>174</v>
      </c>
      <c r="C1113" s="4">
        <v>2</v>
      </c>
      <c r="D1113" s="8">
        <v>6.45</v>
      </c>
      <c r="E1113" s="4">
        <v>0</v>
      </c>
      <c r="F1113" s="8">
        <v>0</v>
      </c>
      <c r="G1113" s="4">
        <v>2</v>
      </c>
      <c r="H1113" s="8">
        <v>18.18</v>
      </c>
      <c r="I1113" s="4">
        <v>0</v>
      </c>
    </row>
    <row r="1114" spans="1:9" x14ac:dyDescent="0.2">
      <c r="A1114" s="2">
        <v>2</v>
      </c>
      <c r="B1114" s="1" t="s">
        <v>216</v>
      </c>
      <c r="C1114" s="4">
        <v>2</v>
      </c>
      <c r="D1114" s="8">
        <v>6.45</v>
      </c>
      <c r="E1114" s="4">
        <v>1</v>
      </c>
      <c r="F1114" s="8">
        <v>5.56</v>
      </c>
      <c r="G1114" s="4">
        <v>1</v>
      </c>
      <c r="H1114" s="8">
        <v>9.09</v>
      </c>
      <c r="I1114" s="4">
        <v>0</v>
      </c>
    </row>
    <row r="1115" spans="1:9" x14ac:dyDescent="0.2">
      <c r="A1115" s="2">
        <v>2</v>
      </c>
      <c r="B1115" s="1" t="s">
        <v>187</v>
      </c>
      <c r="C1115" s="4">
        <v>2</v>
      </c>
      <c r="D1115" s="8">
        <v>6.45</v>
      </c>
      <c r="E1115" s="4">
        <v>2</v>
      </c>
      <c r="F1115" s="8">
        <v>11.11</v>
      </c>
      <c r="G1115" s="4">
        <v>0</v>
      </c>
      <c r="H1115" s="8">
        <v>0</v>
      </c>
      <c r="I1115" s="4">
        <v>0</v>
      </c>
    </row>
    <row r="1116" spans="1:9" x14ac:dyDescent="0.2">
      <c r="A1116" s="2">
        <v>2</v>
      </c>
      <c r="B1116" s="1" t="s">
        <v>249</v>
      </c>
      <c r="C1116" s="4">
        <v>2</v>
      </c>
      <c r="D1116" s="8">
        <v>6.45</v>
      </c>
      <c r="E1116" s="4">
        <v>0</v>
      </c>
      <c r="F1116" s="8">
        <v>0</v>
      </c>
      <c r="G1116" s="4">
        <v>2</v>
      </c>
      <c r="H1116" s="8">
        <v>18.18</v>
      </c>
      <c r="I1116" s="4">
        <v>0</v>
      </c>
    </row>
    <row r="1117" spans="1:9" x14ac:dyDescent="0.2">
      <c r="A1117" s="2">
        <v>6</v>
      </c>
      <c r="B1117" s="1" t="s">
        <v>175</v>
      </c>
      <c r="C1117" s="4">
        <v>1</v>
      </c>
      <c r="D1117" s="8">
        <v>3.23</v>
      </c>
      <c r="E1117" s="4">
        <v>0</v>
      </c>
      <c r="F1117" s="8">
        <v>0</v>
      </c>
      <c r="G1117" s="4">
        <v>1</v>
      </c>
      <c r="H1117" s="8">
        <v>9.09</v>
      </c>
      <c r="I1117" s="4">
        <v>0</v>
      </c>
    </row>
    <row r="1118" spans="1:9" x14ac:dyDescent="0.2">
      <c r="A1118" s="2">
        <v>6</v>
      </c>
      <c r="B1118" s="1" t="s">
        <v>286</v>
      </c>
      <c r="C1118" s="4">
        <v>1</v>
      </c>
      <c r="D1118" s="8">
        <v>3.23</v>
      </c>
      <c r="E1118" s="4">
        <v>1</v>
      </c>
      <c r="F1118" s="8">
        <v>5.56</v>
      </c>
      <c r="G1118" s="4">
        <v>0</v>
      </c>
      <c r="H1118" s="8">
        <v>0</v>
      </c>
      <c r="I1118" s="4">
        <v>0</v>
      </c>
    </row>
    <row r="1119" spans="1:9" x14ac:dyDescent="0.2">
      <c r="A1119" s="2">
        <v>6</v>
      </c>
      <c r="B1119" s="1" t="s">
        <v>232</v>
      </c>
      <c r="C1119" s="4">
        <v>1</v>
      </c>
      <c r="D1119" s="8">
        <v>3.23</v>
      </c>
      <c r="E1119" s="4">
        <v>0</v>
      </c>
      <c r="F1119" s="8">
        <v>0</v>
      </c>
      <c r="G1119" s="4">
        <v>0</v>
      </c>
      <c r="H1119" s="8">
        <v>0</v>
      </c>
      <c r="I1119" s="4">
        <v>0</v>
      </c>
    </row>
    <row r="1120" spans="1:9" x14ac:dyDescent="0.2">
      <c r="A1120" s="2">
        <v>6</v>
      </c>
      <c r="B1120" s="1" t="s">
        <v>214</v>
      </c>
      <c r="C1120" s="4">
        <v>1</v>
      </c>
      <c r="D1120" s="8">
        <v>3.23</v>
      </c>
      <c r="E1120" s="4">
        <v>1</v>
      </c>
      <c r="F1120" s="8">
        <v>5.56</v>
      </c>
      <c r="G1120" s="4">
        <v>0</v>
      </c>
      <c r="H1120" s="8">
        <v>0</v>
      </c>
      <c r="I1120" s="4">
        <v>0</v>
      </c>
    </row>
    <row r="1121" spans="1:9" x14ac:dyDescent="0.2">
      <c r="A1121" s="2">
        <v>6</v>
      </c>
      <c r="B1121" s="1" t="s">
        <v>197</v>
      </c>
      <c r="C1121" s="4">
        <v>1</v>
      </c>
      <c r="D1121" s="8">
        <v>3.23</v>
      </c>
      <c r="E1121" s="4">
        <v>1</v>
      </c>
      <c r="F1121" s="8">
        <v>5.56</v>
      </c>
      <c r="G1121" s="4">
        <v>0</v>
      </c>
      <c r="H1121" s="8">
        <v>0</v>
      </c>
      <c r="I1121" s="4">
        <v>0</v>
      </c>
    </row>
    <row r="1122" spans="1:9" x14ac:dyDescent="0.2">
      <c r="A1122" s="2">
        <v>6</v>
      </c>
      <c r="B1122" s="1" t="s">
        <v>179</v>
      </c>
      <c r="C1122" s="4">
        <v>1</v>
      </c>
      <c r="D1122" s="8">
        <v>3.23</v>
      </c>
      <c r="E1122" s="4">
        <v>1</v>
      </c>
      <c r="F1122" s="8">
        <v>5.56</v>
      </c>
      <c r="G1122" s="4">
        <v>0</v>
      </c>
      <c r="H1122" s="8">
        <v>0</v>
      </c>
      <c r="I1122" s="4">
        <v>0</v>
      </c>
    </row>
    <row r="1123" spans="1:9" x14ac:dyDescent="0.2">
      <c r="A1123" s="2">
        <v>6</v>
      </c>
      <c r="B1123" s="1" t="s">
        <v>288</v>
      </c>
      <c r="C1123" s="4">
        <v>1</v>
      </c>
      <c r="D1123" s="8">
        <v>3.23</v>
      </c>
      <c r="E1123" s="4">
        <v>1</v>
      </c>
      <c r="F1123" s="8">
        <v>5.56</v>
      </c>
      <c r="G1123" s="4">
        <v>0</v>
      </c>
      <c r="H1123" s="8">
        <v>0</v>
      </c>
      <c r="I1123" s="4">
        <v>0</v>
      </c>
    </row>
    <row r="1124" spans="1:9" x14ac:dyDescent="0.2">
      <c r="A1124" s="2">
        <v>6</v>
      </c>
      <c r="B1124" s="1" t="s">
        <v>282</v>
      </c>
      <c r="C1124" s="4">
        <v>1</v>
      </c>
      <c r="D1124" s="8">
        <v>3.23</v>
      </c>
      <c r="E1124" s="4">
        <v>0</v>
      </c>
      <c r="F1124" s="8">
        <v>0</v>
      </c>
      <c r="G1124" s="4">
        <v>1</v>
      </c>
      <c r="H1124" s="8">
        <v>9.09</v>
      </c>
      <c r="I1124" s="4">
        <v>0</v>
      </c>
    </row>
    <row r="1125" spans="1:9" x14ac:dyDescent="0.2">
      <c r="A1125" s="2">
        <v>6</v>
      </c>
      <c r="B1125" s="1" t="s">
        <v>247</v>
      </c>
      <c r="C1125" s="4">
        <v>1</v>
      </c>
      <c r="D1125" s="8">
        <v>3.23</v>
      </c>
      <c r="E1125" s="4">
        <v>0</v>
      </c>
      <c r="F1125" s="8">
        <v>0</v>
      </c>
      <c r="G1125" s="4">
        <v>1</v>
      </c>
      <c r="H1125" s="8">
        <v>9.09</v>
      </c>
      <c r="I1125" s="4">
        <v>0</v>
      </c>
    </row>
    <row r="1126" spans="1:9" x14ac:dyDescent="0.2">
      <c r="A1126" s="2">
        <v>6</v>
      </c>
      <c r="B1126" s="1" t="s">
        <v>234</v>
      </c>
      <c r="C1126" s="4">
        <v>1</v>
      </c>
      <c r="D1126" s="8">
        <v>3.23</v>
      </c>
      <c r="E1126" s="4">
        <v>0</v>
      </c>
      <c r="F1126" s="8">
        <v>0</v>
      </c>
      <c r="G1126" s="4">
        <v>1</v>
      </c>
      <c r="H1126" s="8">
        <v>9.09</v>
      </c>
      <c r="I1126" s="4">
        <v>0</v>
      </c>
    </row>
    <row r="1127" spans="1:9" x14ac:dyDescent="0.2">
      <c r="A1127" s="2">
        <v>6</v>
      </c>
      <c r="B1127" s="1" t="s">
        <v>220</v>
      </c>
      <c r="C1127" s="4">
        <v>1</v>
      </c>
      <c r="D1127" s="8">
        <v>3.23</v>
      </c>
      <c r="E1127" s="4">
        <v>1</v>
      </c>
      <c r="F1127" s="8">
        <v>5.56</v>
      </c>
      <c r="G1127" s="4">
        <v>0</v>
      </c>
      <c r="H1127" s="8">
        <v>0</v>
      </c>
      <c r="I1127" s="4">
        <v>0</v>
      </c>
    </row>
    <row r="1128" spans="1:9" x14ac:dyDescent="0.2">
      <c r="A1128" s="2">
        <v>6</v>
      </c>
      <c r="B1128" s="1" t="s">
        <v>198</v>
      </c>
      <c r="C1128" s="4">
        <v>1</v>
      </c>
      <c r="D1128" s="8">
        <v>3.23</v>
      </c>
      <c r="E1128" s="4">
        <v>1</v>
      </c>
      <c r="F1128" s="8">
        <v>5.56</v>
      </c>
      <c r="G1128" s="4">
        <v>0</v>
      </c>
      <c r="H1128" s="8">
        <v>0</v>
      </c>
      <c r="I1128" s="4">
        <v>0</v>
      </c>
    </row>
    <row r="1129" spans="1:9" x14ac:dyDescent="0.2">
      <c r="A1129" s="2">
        <v>6</v>
      </c>
      <c r="B1129" s="1" t="s">
        <v>190</v>
      </c>
      <c r="C1129" s="4">
        <v>1</v>
      </c>
      <c r="D1129" s="8">
        <v>3.23</v>
      </c>
      <c r="E1129" s="4">
        <v>1</v>
      </c>
      <c r="F1129" s="8">
        <v>5.56</v>
      </c>
      <c r="G1129" s="4">
        <v>0</v>
      </c>
      <c r="H1129" s="8">
        <v>0</v>
      </c>
      <c r="I1129" s="4">
        <v>0</v>
      </c>
    </row>
    <row r="1130" spans="1:9" x14ac:dyDescent="0.2">
      <c r="A1130" s="2">
        <v>6</v>
      </c>
      <c r="B1130" s="1" t="s">
        <v>229</v>
      </c>
      <c r="C1130" s="4">
        <v>1</v>
      </c>
      <c r="D1130" s="8">
        <v>3.23</v>
      </c>
      <c r="E1130" s="4">
        <v>1</v>
      </c>
      <c r="F1130" s="8">
        <v>5.56</v>
      </c>
      <c r="G1130" s="4">
        <v>0</v>
      </c>
      <c r="H1130" s="8">
        <v>0</v>
      </c>
      <c r="I1130" s="4">
        <v>0</v>
      </c>
    </row>
    <row r="1131" spans="1:9" x14ac:dyDescent="0.2">
      <c r="A1131" s="2">
        <v>6</v>
      </c>
      <c r="B1131" s="1" t="s">
        <v>193</v>
      </c>
      <c r="C1131" s="4">
        <v>1</v>
      </c>
      <c r="D1131" s="8">
        <v>3.23</v>
      </c>
      <c r="E1131" s="4">
        <v>1</v>
      </c>
      <c r="F1131" s="8">
        <v>5.56</v>
      </c>
      <c r="G1131" s="4">
        <v>0</v>
      </c>
      <c r="H1131" s="8">
        <v>0</v>
      </c>
      <c r="I1131" s="4">
        <v>0</v>
      </c>
    </row>
    <row r="1132" spans="1:9" x14ac:dyDescent="0.2">
      <c r="A1132" s="2">
        <v>6</v>
      </c>
      <c r="B1132" s="1" t="s">
        <v>217</v>
      </c>
      <c r="C1132" s="4">
        <v>1</v>
      </c>
      <c r="D1132" s="8">
        <v>3.23</v>
      </c>
      <c r="E1132" s="4">
        <v>0</v>
      </c>
      <c r="F1132" s="8">
        <v>0</v>
      </c>
      <c r="G1132" s="4">
        <v>0</v>
      </c>
      <c r="H1132" s="8">
        <v>0</v>
      </c>
      <c r="I1132" s="4">
        <v>0</v>
      </c>
    </row>
    <row r="1133" spans="1:9" x14ac:dyDescent="0.2">
      <c r="A1133" s="2">
        <v>6</v>
      </c>
      <c r="B1133" s="1" t="s">
        <v>289</v>
      </c>
      <c r="C1133" s="4">
        <v>1</v>
      </c>
      <c r="D1133" s="8">
        <v>3.23</v>
      </c>
      <c r="E1133" s="4">
        <v>0</v>
      </c>
      <c r="F1133" s="8">
        <v>0</v>
      </c>
      <c r="G1133" s="4">
        <v>1</v>
      </c>
      <c r="H1133" s="8">
        <v>9.09</v>
      </c>
      <c r="I1133" s="4">
        <v>0</v>
      </c>
    </row>
    <row r="1134" spans="1:9" x14ac:dyDescent="0.2">
      <c r="A1134" s="2">
        <v>6</v>
      </c>
      <c r="B1134" s="1" t="s">
        <v>290</v>
      </c>
      <c r="C1134" s="4">
        <v>1</v>
      </c>
      <c r="D1134" s="8">
        <v>3.23</v>
      </c>
      <c r="E1134" s="4">
        <v>0</v>
      </c>
      <c r="F1134" s="8">
        <v>0</v>
      </c>
      <c r="G1134" s="4">
        <v>1</v>
      </c>
      <c r="H1134" s="8">
        <v>9.09</v>
      </c>
      <c r="I1134" s="4">
        <v>0</v>
      </c>
    </row>
    <row r="1135" spans="1:9" x14ac:dyDescent="0.2">
      <c r="A1135" s="2">
        <v>6</v>
      </c>
      <c r="B1135" s="1" t="s">
        <v>200</v>
      </c>
      <c r="C1135" s="4">
        <v>1</v>
      </c>
      <c r="D1135" s="8">
        <v>3.23</v>
      </c>
      <c r="E1135" s="4">
        <v>1</v>
      </c>
      <c r="F1135" s="8">
        <v>5.56</v>
      </c>
      <c r="G1135" s="4">
        <v>0</v>
      </c>
      <c r="H1135" s="8">
        <v>0</v>
      </c>
      <c r="I1135" s="4">
        <v>0</v>
      </c>
    </row>
    <row r="1136" spans="1:9" x14ac:dyDescent="0.2">
      <c r="A1136" s="1"/>
      <c r="C1136" s="4"/>
      <c r="D1136" s="8"/>
      <c r="E1136" s="4"/>
      <c r="F1136" s="8"/>
      <c r="G1136" s="4"/>
      <c r="H1136" s="8"/>
      <c r="I1136" s="4"/>
    </row>
    <row r="1137" spans="1:9" x14ac:dyDescent="0.2">
      <c r="A1137" s="1" t="s">
        <v>45</v>
      </c>
      <c r="C1137" s="4"/>
      <c r="D1137" s="8"/>
      <c r="E1137" s="4"/>
      <c r="F1137" s="8"/>
      <c r="G1137" s="4"/>
      <c r="H1137" s="8"/>
      <c r="I1137" s="4"/>
    </row>
    <row r="1138" spans="1:9" x14ac:dyDescent="0.2">
      <c r="A1138" s="2">
        <v>1</v>
      </c>
      <c r="B1138" s="1" t="s">
        <v>264</v>
      </c>
      <c r="C1138" s="4">
        <v>3</v>
      </c>
      <c r="D1138" s="8">
        <v>8.57</v>
      </c>
      <c r="E1138" s="4">
        <v>0</v>
      </c>
      <c r="F1138" s="8">
        <v>0</v>
      </c>
      <c r="G1138" s="4">
        <v>3</v>
      </c>
      <c r="H1138" s="8">
        <v>27.27</v>
      </c>
      <c r="I1138" s="4">
        <v>0</v>
      </c>
    </row>
    <row r="1139" spans="1:9" x14ac:dyDescent="0.2">
      <c r="A1139" s="2">
        <v>2</v>
      </c>
      <c r="B1139" s="1" t="s">
        <v>174</v>
      </c>
      <c r="C1139" s="4">
        <v>2</v>
      </c>
      <c r="D1139" s="8">
        <v>5.71</v>
      </c>
      <c r="E1139" s="4">
        <v>0</v>
      </c>
      <c r="F1139" s="8">
        <v>0</v>
      </c>
      <c r="G1139" s="4">
        <v>2</v>
      </c>
      <c r="H1139" s="8">
        <v>18.18</v>
      </c>
      <c r="I1139" s="4">
        <v>0</v>
      </c>
    </row>
    <row r="1140" spans="1:9" x14ac:dyDescent="0.2">
      <c r="A1140" s="2">
        <v>2</v>
      </c>
      <c r="B1140" s="1" t="s">
        <v>262</v>
      </c>
      <c r="C1140" s="4">
        <v>2</v>
      </c>
      <c r="D1140" s="8">
        <v>5.71</v>
      </c>
      <c r="E1140" s="4">
        <v>0</v>
      </c>
      <c r="F1140" s="8">
        <v>0</v>
      </c>
      <c r="G1140" s="4">
        <v>2</v>
      </c>
      <c r="H1140" s="8">
        <v>18.18</v>
      </c>
      <c r="I1140" s="4">
        <v>0</v>
      </c>
    </row>
    <row r="1141" spans="1:9" x14ac:dyDescent="0.2">
      <c r="A1141" s="2">
        <v>2</v>
      </c>
      <c r="B1141" s="1" t="s">
        <v>205</v>
      </c>
      <c r="C1141" s="4">
        <v>2</v>
      </c>
      <c r="D1141" s="8">
        <v>5.71</v>
      </c>
      <c r="E1141" s="4">
        <v>2</v>
      </c>
      <c r="F1141" s="8">
        <v>8.6999999999999993</v>
      </c>
      <c r="G1141" s="4">
        <v>0</v>
      </c>
      <c r="H1141" s="8">
        <v>0</v>
      </c>
      <c r="I1141" s="4">
        <v>0</v>
      </c>
    </row>
    <row r="1142" spans="1:9" x14ac:dyDescent="0.2">
      <c r="A1142" s="2">
        <v>2</v>
      </c>
      <c r="B1142" s="1" t="s">
        <v>288</v>
      </c>
      <c r="C1142" s="4">
        <v>2</v>
      </c>
      <c r="D1142" s="8">
        <v>5.71</v>
      </c>
      <c r="E1142" s="4">
        <v>1</v>
      </c>
      <c r="F1142" s="8">
        <v>4.3499999999999996</v>
      </c>
      <c r="G1142" s="4">
        <v>1</v>
      </c>
      <c r="H1142" s="8">
        <v>9.09</v>
      </c>
      <c r="I1142" s="4">
        <v>0</v>
      </c>
    </row>
    <row r="1143" spans="1:9" x14ac:dyDescent="0.2">
      <c r="A1143" s="2">
        <v>2</v>
      </c>
      <c r="B1143" s="1" t="s">
        <v>190</v>
      </c>
      <c r="C1143" s="4">
        <v>2</v>
      </c>
      <c r="D1143" s="8">
        <v>5.71</v>
      </c>
      <c r="E1143" s="4">
        <v>2</v>
      </c>
      <c r="F1143" s="8">
        <v>8.6999999999999993</v>
      </c>
      <c r="G1143" s="4">
        <v>0</v>
      </c>
      <c r="H1143" s="8">
        <v>0</v>
      </c>
      <c r="I1143" s="4">
        <v>0</v>
      </c>
    </row>
    <row r="1144" spans="1:9" x14ac:dyDescent="0.2">
      <c r="A1144" s="2">
        <v>7</v>
      </c>
      <c r="B1144" s="1" t="s">
        <v>208</v>
      </c>
      <c r="C1144" s="4">
        <v>1</v>
      </c>
      <c r="D1144" s="8">
        <v>2.86</v>
      </c>
      <c r="E1144" s="4">
        <v>1</v>
      </c>
      <c r="F1144" s="8">
        <v>4.3499999999999996</v>
      </c>
      <c r="G1144" s="4">
        <v>0</v>
      </c>
      <c r="H1144" s="8">
        <v>0</v>
      </c>
      <c r="I1144" s="4">
        <v>0</v>
      </c>
    </row>
    <row r="1145" spans="1:9" x14ac:dyDescent="0.2">
      <c r="A1145" s="2">
        <v>7</v>
      </c>
      <c r="B1145" s="1" t="s">
        <v>210</v>
      </c>
      <c r="C1145" s="4">
        <v>1</v>
      </c>
      <c r="D1145" s="8">
        <v>2.86</v>
      </c>
      <c r="E1145" s="4">
        <v>1</v>
      </c>
      <c r="F1145" s="8">
        <v>4.3499999999999996</v>
      </c>
      <c r="G1145" s="4">
        <v>0</v>
      </c>
      <c r="H1145" s="8">
        <v>0</v>
      </c>
      <c r="I1145" s="4">
        <v>0</v>
      </c>
    </row>
    <row r="1146" spans="1:9" x14ac:dyDescent="0.2">
      <c r="A1146" s="2">
        <v>7</v>
      </c>
      <c r="B1146" s="1" t="s">
        <v>224</v>
      </c>
      <c r="C1146" s="4">
        <v>1</v>
      </c>
      <c r="D1146" s="8">
        <v>2.86</v>
      </c>
      <c r="E1146" s="4">
        <v>1</v>
      </c>
      <c r="F1146" s="8">
        <v>4.3499999999999996</v>
      </c>
      <c r="G1146" s="4">
        <v>0</v>
      </c>
      <c r="H1146" s="8">
        <v>0</v>
      </c>
      <c r="I1146" s="4">
        <v>0</v>
      </c>
    </row>
    <row r="1147" spans="1:9" x14ac:dyDescent="0.2">
      <c r="A1147" s="2">
        <v>7</v>
      </c>
      <c r="B1147" s="1" t="s">
        <v>235</v>
      </c>
      <c r="C1147" s="4">
        <v>1</v>
      </c>
      <c r="D1147" s="8">
        <v>2.86</v>
      </c>
      <c r="E1147" s="4">
        <v>0</v>
      </c>
      <c r="F1147" s="8">
        <v>0</v>
      </c>
      <c r="G1147" s="4">
        <v>0</v>
      </c>
      <c r="H1147" s="8">
        <v>0</v>
      </c>
      <c r="I1147" s="4">
        <v>1</v>
      </c>
    </row>
    <row r="1148" spans="1:9" x14ac:dyDescent="0.2">
      <c r="A1148" s="2">
        <v>7</v>
      </c>
      <c r="B1148" s="1" t="s">
        <v>291</v>
      </c>
      <c r="C1148" s="4">
        <v>1</v>
      </c>
      <c r="D1148" s="8">
        <v>2.86</v>
      </c>
      <c r="E1148" s="4">
        <v>0</v>
      </c>
      <c r="F1148" s="8">
        <v>0</v>
      </c>
      <c r="G1148" s="4">
        <v>1</v>
      </c>
      <c r="H1148" s="8">
        <v>9.09</v>
      </c>
      <c r="I1148" s="4">
        <v>0</v>
      </c>
    </row>
    <row r="1149" spans="1:9" x14ac:dyDescent="0.2">
      <c r="A1149" s="2">
        <v>7</v>
      </c>
      <c r="B1149" s="1" t="s">
        <v>213</v>
      </c>
      <c r="C1149" s="4">
        <v>1</v>
      </c>
      <c r="D1149" s="8">
        <v>2.86</v>
      </c>
      <c r="E1149" s="4">
        <v>1</v>
      </c>
      <c r="F1149" s="8">
        <v>4.3499999999999996</v>
      </c>
      <c r="G1149" s="4">
        <v>0</v>
      </c>
      <c r="H1149" s="8">
        <v>0</v>
      </c>
      <c r="I1149" s="4">
        <v>0</v>
      </c>
    </row>
    <row r="1150" spans="1:9" x14ac:dyDescent="0.2">
      <c r="A1150" s="2">
        <v>7</v>
      </c>
      <c r="B1150" s="1" t="s">
        <v>233</v>
      </c>
      <c r="C1150" s="4">
        <v>1</v>
      </c>
      <c r="D1150" s="8">
        <v>2.86</v>
      </c>
      <c r="E1150" s="4">
        <v>1</v>
      </c>
      <c r="F1150" s="8">
        <v>4.3499999999999996</v>
      </c>
      <c r="G1150" s="4">
        <v>0</v>
      </c>
      <c r="H1150" s="8">
        <v>0</v>
      </c>
      <c r="I1150" s="4">
        <v>0</v>
      </c>
    </row>
    <row r="1151" spans="1:9" x14ac:dyDescent="0.2">
      <c r="A1151" s="2">
        <v>7</v>
      </c>
      <c r="B1151" s="1" t="s">
        <v>227</v>
      </c>
      <c r="C1151" s="4">
        <v>1</v>
      </c>
      <c r="D1151" s="8">
        <v>2.86</v>
      </c>
      <c r="E1151" s="4">
        <v>1</v>
      </c>
      <c r="F1151" s="8">
        <v>4.3499999999999996</v>
      </c>
      <c r="G1151" s="4">
        <v>0</v>
      </c>
      <c r="H1151" s="8">
        <v>0</v>
      </c>
      <c r="I1151" s="4">
        <v>0</v>
      </c>
    </row>
    <row r="1152" spans="1:9" x14ac:dyDescent="0.2">
      <c r="A1152" s="2">
        <v>7</v>
      </c>
      <c r="B1152" s="1" t="s">
        <v>214</v>
      </c>
      <c r="C1152" s="4">
        <v>1</v>
      </c>
      <c r="D1152" s="8">
        <v>2.86</v>
      </c>
      <c r="E1152" s="4">
        <v>1</v>
      </c>
      <c r="F1152" s="8">
        <v>4.3499999999999996</v>
      </c>
      <c r="G1152" s="4">
        <v>0</v>
      </c>
      <c r="H1152" s="8">
        <v>0</v>
      </c>
      <c r="I1152" s="4">
        <v>0</v>
      </c>
    </row>
    <row r="1153" spans="1:9" x14ac:dyDescent="0.2">
      <c r="A1153" s="2">
        <v>7</v>
      </c>
      <c r="B1153" s="1" t="s">
        <v>180</v>
      </c>
      <c r="C1153" s="4">
        <v>1</v>
      </c>
      <c r="D1153" s="8">
        <v>2.86</v>
      </c>
      <c r="E1153" s="4">
        <v>0</v>
      </c>
      <c r="F1153" s="8">
        <v>0</v>
      </c>
      <c r="G1153" s="4">
        <v>1</v>
      </c>
      <c r="H1153" s="8">
        <v>9.09</v>
      </c>
      <c r="I1153" s="4">
        <v>0</v>
      </c>
    </row>
    <row r="1154" spans="1:9" x14ac:dyDescent="0.2">
      <c r="A1154" s="2">
        <v>7</v>
      </c>
      <c r="B1154" s="1" t="s">
        <v>219</v>
      </c>
      <c r="C1154" s="4">
        <v>1</v>
      </c>
      <c r="D1154" s="8">
        <v>2.86</v>
      </c>
      <c r="E1154" s="4">
        <v>1</v>
      </c>
      <c r="F1154" s="8">
        <v>4.3499999999999996</v>
      </c>
      <c r="G1154" s="4">
        <v>0</v>
      </c>
      <c r="H1154" s="8">
        <v>0</v>
      </c>
      <c r="I1154" s="4">
        <v>0</v>
      </c>
    </row>
    <row r="1155" spans="1:9" x14ac:dyDescent="0.2">
      <c r="A1155" s="2">
        <v>7</v>
      </c>
      <c r="B1155" s="1" t="s">
        <v>216</v>
      </c>
      <c r="C1155" s="4">
        <v>1</v>
      </c>
      <c r="D1155" s="8">
        <v>2.86</v>
      </c>
      <c r="E1155" s="4">
        <v>1</v>
      </c>
      <c r="F1155" s="8">
        <v>4.3499999999999996</v>
      </c>
      <c r="G1155" s="4">
        <v>0</v>
      </c>
      <c r="H1155" s="8">
        <v>0</v>
      </c>
      <c r="I1155" s="4">
        <v>0</v>
      </c>
    </row>
    <row r="1156" spans="1:9" x14ac:dyDescent="0.2">
      <c r="A1156" s="2">
        <v>7</v>
      </c>
      <c r="B1156" s="1" t="s">
        <v>183</v>
      </c>
      <c r="C1156" s="4">
        <v>1</v>
      </c>
      <c r="D1156" s="8">
        <v>2.86</v>
      </c>
      <c r="E1156" s="4">
        <v>1</v>
      </c>
      <c r="F1156" s="8">
        <v>4.3499999999999996</v>
      </c>
      <c r="G1156" s="4">
        <v>0</v>
      </c>
      <c r="H1156" s="8">
        <v>0</v>
      </c>
      <c r="I1156" s="4">
        <v>0</v>
      </c>
    </row>
    <row r="1157" spans="1:9" x14ac:dyDescent="0.2">
      <c r="A1157" s="2">
        <v>7</v>
      </c>
      <c r="B1157" s="1" t="s">
        <v>292</v>
      </c>
      <c r="C1157" s="4">
        <v>1</v>
      </c>
      <c r="D1157" s="8">
        <v>2.86</v>
      </c>
      <c r="E1157" s="4">
        <v>1</v>
      </c>
      <c r="F1157" s="8">
        <v>4.3499999999999996</v>
      </c>
      <c r="G1157" s="4">
        <v>0</v>
      </c>
      <c r="H1157" s="8">
        <v>0</v>
      </c>
      <c r="I1157" s="4">
        <v>0</v>
      </c>
    </row>
    <row r="1158" spans="1:9" x14ac:dyDescent="0.2">
      <c r="A1158" s="2">
        <v>7</v>
      </c>
      <c r="B1158" s="1" t="s">
        <v>187</v>
      </c>
      <c r="C1158" s="4">
        <v>1</v>
      </c>
      <c r="D1158" s="8">
        <v>2.86</v>
      </c>
      <c r="E1158" s="4">
        <v>1</v>
      </c>
      <c r="F1158" s="8">
        <v>4.3499999999999996</v>
      </c>
      <c r="G1158" s="4">
        <v>0</v>
      </c>
      <c r="H1158" s="8">
        <v>0</v>
      </c>
      <c r="I1158" s="4">
        <v>0</v>
      </c>
    </row>
    <row r="1159" spans="1:9" x14ac:dyDescent="0.2">
      <c r="A1159" s="2">
        <v>7</v>
      </c>
      <c r="B1159" s="1" t="s">
        <v>220</v>
      </c>
      <c r="C1159" s="4">
        <v>1</v>
      </c>
      <c r="D1159" s="8">
        <v>2.86</v>
      </c>
      <c r="E1159" s="4">
        <v>1</v>
      </c>
      <c r="F1159" s="8">
        <v>4.3499999999999996</v>
      </c>
      <c r="G1159" s="4">
        <v>0</v>
      </c>
      <c r="H1159" s="8">
        <v>0</v>
      </c>
      <c r="I1159" s="4">
        <v>0</v>
      </c>
    </row>
    <row r="1160" spans="1:9" x14ac:dyDescent="0.2">
      <c r="A1160" s="2">
        <v>7</v>
      </c>
      <c r="B1160" s="1" t="s">
        <v>198</v>
      </c>
      <c r="C1160" s="4">
        <v>1</v>
      </c>
      <c r="D1160" s="8">
        <v>2.86</v>
      </c>
      <c r="E1160" s="4">
        <v>1</v>
      </c>
      <c r="F1160" s="8">
        <v>4.3499999999999996</v>
      </c>
      <c r="G1160" s="4">
        <v>0</v>
      </c>
      <c r="H1160" s="8">
        <v>0</v>
      </c>
      <c r="I1160" s="4">
        <v>0</v>
      </c>
    </row>
    <row r="1161" spans="1:9" x14ac:dyDescent="0.2">
      <c r="A1161" s="2">
        <v>7</v>
      </c>
      <c r="B1161" s="1" t="s">
        <v>293</v>
      </c>
      <c r="C1161" s="4">
        <v>1</v>
      </c>
      <c r="D1161" s="8">
        <v>2.86</v>
      </c>
      <c r="E1161" s="4">
        <v>1</v>
      </c>
      <c r="F1161" s="8">
        <v>4.3499999999999996</v>
      </c>
      <c r="G1161" s="4">
        <v>0</v>
      </c>
      <c r="H1161" s="8">
        <v>0</v>
      </c>
      <c r="I1161" s="4">
        <v>0</v>
      </c>
    </row>
    <row r="1162" spans="1:9" x14ac:dyDescent="0.2">
      <c r="A1162" s="2">
        <v>7</v>
      </c>
      <c r="B1162" s="1" t="s">
        <v>191</v>
      </c>
      <c r="C1162" s="4">
        <v>1</v>
      </c>
      <c r="D1162" s="8">
        <v>2.86</v>
      </c>
      <c r="E1162" s="4">
        <v>1</v>
      </c>
      <c r="F1162" s="8">
        <v>4.3499999999999996</v>
      </c>
      <c r="G1162" s="4">
        <v>0</v>
      </c>
      <c r="H1162" s="8">
        <v>0</v>
      </c>
      <c r="I1162" s="4">
        <v>0</v>
      </c>
    </row>
    <row r="1163" spans="1:9" x14ac:dyDescent="0.2">
      <c r="A1163" s="2">
        <v>7</v>
      </c>
      <c r="B1163" s="1" t="s">
        <v>192</v>
      </c>
      <c r="C1163" s="4">
        <v>1</v>
      </c>
      <c r="D1163" s="8">
        <v>2.86</v>
      </c>
      <c r="E1163" s="4">
        <v>0</v>
      </c>
      <c r="F1163" s="8">
        <v>0</v>
      </c>
      <c r="G1163" s="4">
        <v>1</v>
      </c>
      <c r="H1163" s="8">
        <v>9.09</v>
      </c>
      <c r="I1163" s="4">
        <v>0</v>
      </c>
    </row>
    <row r="1164" spans="1:9" x14ac:dyDescent="0.2">
      <c r="A1164" s="2">
        <v>7</v>
      </c>
      <c r="B1164" s="1" t="s">
        <v>193</v>
      </c>
      <c r="C1164" s="4">
        <v>1</v>
      </c>
      <c r="D1164" s="8">
        <v>2.86</v>
      </c>
      <c r="E1164" s="4">
        <v>1</v>
      </c>
      <c r="F1164" s="8">
        <v>4.3499999999999996</v>
      </c>
      <c r="G1164" s="4">
        <v>0</v>
      </c>
      <c r="H1164" s="8">
        <v>0</v>
      </c>
      <c r="I1164" s="4">
        <v>0</v>
      </c>
    </row>
    <row r="1165" spans="1:9" x14ac:dyDescent="0.2">
      <c r="A1165" s="2">
        <v>7</v>
      </c>
      <c r="B1165" s="1" t="s">
        <v>200</v>
      </c>
      <c r="C1165" s="4">
        <v>1</v>
      </c>
      <c r="D1165" s="8">
        <v>2.86</v>
      </c>
      <c r="E1165" s="4">
        <v>1</v>
      </c>
      <c r="F1165" s="8">
        <v>4.3499999999999996</v>
      </c>
      <c r="G1165" s="4">
        <v>0</v>
      </c>
      <c r="H1165" s="8">
        <v>0</v>
      </c>
      <c r="I1165" s="4">
        <v>0</v>
      </c>
    </row>
    <row r="1166" spans="1:9" x14ac:dyDescent="0.2">
      <c r="A1166" s="1"/>
      <c r="C1166" s="4"/>
      <c r="D1166" s="8"/>
      <c r="E1166" s="4"/>
      <c r="F1166" s="8"/>
      <c r="G1166" s="4"/>
      <c r="H1166" s="8"/>
      <c r="I1166" s="4"/>
    </row>
    <row r="1167" spans="1:9" x14ac:dyDescent="0.2">
      <c r="A1167" s="1" t="s">
        <v>46</v>
      </c>
      <c r="C1167" s="4"/>
      <c r="D1167" s="8"/>
      <c r="E1167" s="4"/>
      <c r="F1167" s="8"/>
      <c r="G1167" s="4"/>
      <c r="H1167" s="8"/>
      <c r="I1167" s="4"/>
    </row>
    <row r="1168" spans="1:9" x14ac:dyDescent="0.2">
      <c r="A1168" s="2">
        <v>1</v>
      </c>
      <c r="B1168" s="1" t="s">
        <v>174</v>
      </c>
      <c r="C1168" s="4">
        <v>7</v>
      </c>
      <c r="D1168" s="8">
        <v>6.6</v>
      </c>
      <c r="E1168" s="4">
        <v>3</v>
      </c>
      <c r="F1168" s="8">
        <v>4.05</v>
      </c>
      <c r="G1168" s="4">
        <v>4</v>
      </c>
      <c r="H1168" s="8">
        <v>14.81</v>
      </c>
      <c r="I1168" s="4">
        <v>0</v>
      </c>
    </row>
    <row r="1169" spans="1:9" x14ac:dyDescent="0.2">
      <c r="A1169" s="2">
        <v>2</v>
      </c>
      <c r="B1169" s="1" t="s">
        <v>176</v>
      </c>
      <c r="C1169" s="4">
        <v>5</v>
      </c>
      <c r="D1169" s="8">
        <v>4.72</v>
      </c>
      <c r="E1169" s="4">
        <v>5</v>
      </c>
      <c r="F1169" s="8">
        <v>6.76</v>
      </c>
      <c r="G1169" s="4">
        <v>0</v>
      </c>
      <c r="H1169" s="8">
        <v>0</v>
      </c>
      <c r="I1169" s="4">
        <v>0</v>
      </c>
    </row>
    <row r="1170" spans="1:9" x14ac:dyDescent="0.2">
      <c r="A1170" s="2">
        <v>2</v>
      </c>
      <c r="B1170" s="1" t="s">
        <v>210</v>
      </c>
      <c r="C1170" s="4">
        <v>5</v>
      </c>
      <c r="D1170" s="8">
        <v>4.72</v>
      </c>
      <c r="E1170" s="4">
        <v>4</v>
      </c>
      <c r="F1170" s="8">
        <v>5.41</v>
      </c>
      <c r="G1170" s="4">
        <v>1</v>
      </c>
      <c r="H1170" s="8">
        <v>3.7</v>
      </c>
      <c r="I1170" s="4">
        <v>0</v>
      </c>
    </row>
    <row r="1171" spans="1:9" x14ac:dyDescent="0.2">
      <c r="A1171" s="2">
        <v>4</v>
      </c>
      <c r="B1171" s="1" t="s">
        <v>208</v>
      </c>
      <c r="C1171" s="4">
        <v>4</v>
      </c>
      <c r="D1171" s="8">
        <v>3.77</v>
      </c>
      <c r="E1171" s="4">
        <v>3</v>
      </c>
      <c r="F1171" s="8">
        <v>4.05</v>
      </c>
      <c r="G1171" s="4">
        <v>1</v>
      </c>
      <c r="H1171" s="8">
        <v>3.7</v>
      </c>
      <c r="I1171" s="4">
        <v>0</v>
      </c>
    </row>
    <row r="1172" spans="1:9" x14ac:dyDescent="0.2">
      <c r="A1172" s="2">
        <v>4</v>
      </c>
      <c r="B1172" s="1" t="s">
        <v>180</v>
      </c>
      <c r="C1172" s="4">
        <v>4</v>
      </c>
      <c r="D1172" s="8">
        <v>3.77</v>
      </c>
      <c r="E1172" s="4">
        <v>4</v>
      </c>
      <c r="F1172" s="8">
        <v>5.41</v>
      </c>
      <c r="G1172" s="4">
        <v>0</v>
      </c>
      <c r="H1172" s="8">
        <v>0</v>
      </c>
      <c r="I1172" s="4">
        <v>0</v>
      </c>
    </row>
    <row r="1173" spans="1:9" x14ac:dyDescent="0.2">
      <c r="A1173" s="2">
        <v>4</v>
      </c>
      <c r="B1173" s="1" t="s">
        <v>216</v>
      </c>
      <c r="C1173" s="4">
        <v>4</v>
      </c>
      <c r="D1173" s="8">
        <v>3.77</v>
      </c>
      <c r="E1173" s="4">
        <v>2</v>
      </c>
      <c r="F1173" s="8">
        <v>2.7</v>
      </c>
      <c r="G1173" s="4">
        <v>2</v>
      </c>
      <c r="H1173" s="8">
        <v>7.41</v>
      </c>
      <c r="I1173" s="4">
        <v>0</v>
      </c>
    </row>
    <row r="1174" spans="1:9" x14ac:dyDescent="0.2">
      <c r="A1174" s="2">
        <v>4</v>
      </c>
      <c r="B1174" s="1" t="s">
        <v>190</v>
      </c>
      <c r="C1174" s="4">
        <v>4</v>
      </c>
      <c r="D1174" s="8">
        <v>3.77</v>
      </c>
      <c r="E1174" s="4">
        <v>4</v>
      </c>
      <c r="F1174" s="8">
        <v>5.41</v>
      </c>
      <c r="G1174" s="4">
        <v>0</v>
      </c>
      <c r="H1174" s="8">
        <v>0</v>
      </c>
      <c r="I1174" s="4">
        <v>0</v>
      </c>
    </row>
    <row r="1175" spans="1:9" x14ac:dyDescent="0.2">
      <c r="A1175" s="2">
        <v>8</v>
      </c>
      <c r="B1175" s="1" t="s">
        <v>238</v>
      </c>
      <c r="C1175" s="4">
        <v>3</v>
      </c>
      <c r="D1175" s="8">
        <v>2.83</v>
      </c>
      <c r="E1175" s="4">
        <v>2</v>
      </c>
      <c r="F1175" s="8">
        <v>2.7</v>
      </c>
      <c r="G1175" s="4">
        <v>1</v>
      </c>
      <c r="H1175" s="8">
        <v>3.7</v>
      </c>
      <c r="I1175" s="4">
        <v>0</v>
      </c>
    </row>
    <row r="1176" spans="1:9" x14ac:dyDescent="0.2">
      <c r="A1176" s="2">
        <v>8</v>
      </c>
      <c r="B1176" s="1" t="s">
        <v>205</v>
      </c>
      <c r="C1176" s="4">
        <v>3</v>
      </c>
      <c r="D1176" s="8">
        <v>2.83</v>
      </c>
      <c r="E1176" s="4">
        <v>2</v>
      </c>
      <c r="F1176" s="8">
        <v>2.7</v>
      </c>
      <c r="G1176" s="4">
        <v>1</v>
      </c>
      <c r="H1176" s="8">
        <v>3.7</v>
      </c>
      <c r="I1176" s="4">
        <v>0</v>
      </c>
    </row>
    <row r="1177" spans="1:9" x14ac:dyDescent="0.2">
      <c r="A1177" s="2">
        <v>8</v>
      </c>
      <c r="B1177" s="1" t="s">
        <v>181</v>
      </c>
      <c r="C1177" s="4">
        <v>3</v>
      </c>
      <c r="D1177" s="8">
        <v>2.83</v>
      </c>
      <c r="E1177" s="4">
        <v>3</v>
      </c>
      <c r="F1177" s="8">
        <v>4.05</v>
      </c>
      <c r="G1177" s="4">
        <v>0</v>
      </c>
      <c r="H1177" s="8">
        <v>0</v>
      </c>
      <c r="I1177" s="4">
        <v>0</v>
      </c>
    </row>
    <row r="1178" spans="1:9" x14ac:dyDescent="0.2">
      <c r="A1178" s="2">
        <v>8</v>
      </c>
      <c r="B1178" s="1" t="s">
        <v>193</v>
      </c>
      <c r="C1178" s="4">
        <v>3</v>
      </c>
      <c r="D1178" s="8">
        <v>2.83</v>
      </c>
      <c r="E1178" s="4">
        <v>3</v>
      </c>
      <c r="F1178" s="8">
        <v>4.05</v>
      </c>
      <c r="G1178" s="4">
        <v>0</v>
      </c>
      <c r="H1178" s="8">
        <v>0</v>
      </c>
      <c r="I1178" s="4">
        <v>0</v>
      </c>
    </row>
    <row r="1179" spans="1:9" x14ac:dyDescent="0.2">
      <c r="A1179" s="2">
        <v>12</v>
      </c>
      <c r="B1179" s="1" t="s">
        <v>175</v>
      </c>
      <c r="C1179" s="4">
        <v>2</v>
      </c>
      <c r="D1179" s="8">
        <v>1.89</v>
      </c>
      <c r="E1179" s="4">
        <v>0</v>
      </c>
      <c r="F1179" s="8">
        <v>0</v>
      </c>
      <c r="G1179" s="4">
        <v>2</v>
      </c>
      <c r="H1179" s="8">
        <v>7.41</v>
      </c>
      <c r="I1179" s="4">
        <v>0</v>
      </c>
    </row>
    <row r="1180" spans="1:9" x14ac:dyDescent="0.2">
      <c r="A1180" s="2">
        <v>12</v>
      </c>
      <c r="B1180" s="1" t="s">
        <v>224</v>
      </c>
      <c r="C1180" s="4">
        <v>2</v>
      </c>
      <c r="D1180" s="8">
        <v>1.89</v>
      </c>
      <c r="E1180" s="4">
        <v>2</v>
      </c>
      <c r="F1180" s="8">
        <v>2.7</v>
      </c>
      <c r="G1180" s="4">
        <v>0</v>
      </c>
      <c r="H1180" s="8">
        <v>0</v>
      </c>
      <c r="I1180" s="4">
        <v>0</v>
      </c>
    </row>
    <row r="1181" spans="1:9" x14ac:dyDescent="0.2">
      <c r="A1181" s="2">
        <v>12</v>
      </c>
      <c r="B1181" s="1" t="s">
        <v>261</v>
      </c>
      <c r="C1181" s="4">
        <v>2</v>
      </c>
      <c r="D1181" s="8">
        <v>1.89</v>
      </c>
      <c r="E1181" s="4">
        <v>2</v>
      </c>
      <c r="F1181" s="8">
        <v>2.7</v>
      </c>
      <c r="G1181" s="4">
        <v>0</v>
      </c>
      <c r="H1181" s="8">
        <v>0</v>
      </c>
      <c r="I1181" s="4">
        <v>0</v>
      </c>
    </row>
    <row r="1182" spans="1:9" x14ac:dyDescent="0.2">
      <c r="A1182" s="2">
        <v>12</v>
      </c>
      <c r="B1182" s="1" t="s">
        <v>178</v>
      </c>
      <c r="C1182" s="4">
        <v>2</v>
      </c>
      <c r="D1182" s="8">
        <v>1.89</v>
      </c>
      <c r="E1182" s="4">
        <v>1</v>
      </c>
      <c r="F1182" s="8">
        <v>1.35</v>
      </c>
      <c r="G1182" s="4">
        <v>1</v>
      </c>
      <c r="H1182" s="8">
        <v>3.7</v>
      </c>
      <c r="I1182" s="4">
        <v>0</v>
      </c>
    </row>
    <row r="1183" spans="1:9" x14ac:dyDescent="0.2">
      <c r="A1183" s="2">
        <v>12</v>
      </c>
      <c r="B1183" s="1" t="s">
        <v>294</v>
      </c>
      <c r="C1183" s="4">
        <v>2</v>
      </c>
      <c r="D1183" s="8">
        <v>1.89</v>
      </c>
      <c r="E1183" s="4">
        <v>2</v>
      </c>
      <c r="F1183" s="8">
        <v>2.7</v>
      </c>
      <c r="G1183" s="4">
        <v>0</v>
      </c>
      <c r="H1183" s="8">
        <v>0</v>
      </c>
      <c r="I1183" s="4">
        <v>0</v>
      </c>
    </row>
    <row r="1184" spans="1:9" x14ac:dyDescent="0.2">
      <c r="A1184" s="2">
        <v>12</v>
      </c>
      <c r="B1184" s="1" t="s">
        <v>295</v>
      </c>
      <c r="C1184" s="4">
        <v>2</v>
      </c>
      <c r="D1184" s="8">
        <v>1.89</v>
      </c>
      <c r="E1184" s="4">
        <v>1</v>
      </c>
      <c r="F1184" s="8">
        <v>1.35</v>
      </c>
      <c r="G1184" s="4">
        <v>1</v>
      </c>
      <c r="H1184" s="8">
        <v>3.7</v>
      </c>
      <c r="I1184" s="4">
        <v>0</v>
      </c>
    </row>
    <row r="1185" spans="1:9" x14ac:dyDescent="0.2">
      <c r="A1185" s="2">
        <v>12</v>
      </c>
      <c r="B1185" s="1" t="s">
        <v>296</v>
      </c>
      <c r="C1185" s="4">
        <v>2</v>
      </c>
      <c r="D1185" s="8">
        <v>1.89</v>
      </c>
      <c r="E1185" s="4">
        <v>1</v>
      </c>
      <c r="F1185" s="8">
        <v>1.35</v>
      </c>
      <c r="G1185" s="4">
        <v>1</v>
      </c>
      <c r="H1185" s="8">
        <v>3.7</v>
      </c>
      <c r="I1185" s="4">
        <v>0</v>
      </c>
    </row>
    <row r="1186" spans="1:9" x14ac:dyDescent="0.2">
      <c r="A1186" s="2">
        <v>12</v>
      </c>
      <c r="B1186" s="1" t="s">
        <v>215</v>
      </c>
      <c r="C1186" s="4">
        <v>2</v>
      </c>
      <c r="D1186" s="8">
        <v>1.89</v>
      </c>
      <c r="E1186" s="4">
        <v>1</v>
      </c>
      <c r="F1186" s="8">
        <v>1.35</v>
      </c>
      <c r="G1186" s="4">
        <v>1</v>
      </c>
      <c r="H1186" s="8">
        <v>3.7</v>
      </c>
      <c r="I1186" s="4">
        <v>0</v>
      </c>
    </row>
    <row r="1187" spans="1:9" x14ac:dyDescent="0.2">
      <c r="A1187" s="2">
        <v>12</v>
      </c>
      <c r="B1187" s="1" t="s">
        <v>297</v>
      </c>
      <c r="C1187" s="4">
        <v>2</v>
      </c>
      <c r="D1187" s="8">
        <v>1.89</v>
      </c>
      <c r="E1187" s="4">
        <v>2</v>
      </c>
      <c r="F1187" s="8">
        <v>2.7</v>
      </c>
      <c r="G1187" s="4">
        <v>0</v>
      </c>
      <c r="H1187" s="8">
        <v>0</v>
      </c>
      <c r="I1187" s="4">
        <v>0</v>
      </c>
    </row>
    <row r="1188" spans="1:9" x14ac:dyDescent="0.2">
      <c r="A1188" s="2">
        <v>12</v>
      </c>
      <c r="B1188" s="1" t="s">
        <v>191</v>
      </c>
      <c r="C1188" s="4">
        <v>2</v>
      </c>
      <c r="D1188" s="8">
        <v>1.89</v>
      </c>
      <c r="E1188" s="4">
        <v>2</v>
      </c>
      <c r="F1188" s="8">
        <v>2.7</v>
      </c>
      <c r="G1188" s="4">
        <v>0</v>
      </c>
      <c r="H1188" s="8">
        <v>0</v>
      </c>
      <c r="I1188" s="4">
        <v>0</v>
      </c>
    </row>
    <row r="1189" spans="1:9" x14ac:dyDescent="0.2">
      <c r="A1189" s="2">
        <v>12</v>
      </c>
      <c r="B1189" s="1" t="s">
        <v>192</v>
      </c>
      <c r="C1189" s="4">
        <v>2</v>
      </c>
      <c r="D1189" s="8">
        <v>1.89</v>
      </c>
      <c r="E1189" s="4">
        <v>2</v>
      </c>
      <c r="F1189" s="8">
        <v>2.7</v>
      </c>
      <c r="G1189" s="4">
        <v>0</v>
      </c>
      <c r="H1189" s="8">
        <v>0</v>
      </c>
      <c r="I1189" s="4">
        <v>0</v>
      </c>
    </row>
    <row r="1190" spans="1:9" x14ac:dyDescent="0.2">
      <c r="A1190" s="2">
        <v>12</v>
      </c>
      <c r="B1190" s="1" t="s">
        <v>200</v>
      </c>
      <c r="C1190" s="4">
        <v>2</v>
      </c>
      <c r="D1190" s="8">
        <v>1.89</v>
      </c>
      <c r="E1190" s="4">
        <v>1</v>
      </c>
      <c r="F1190" s="8">
        <v>1.35</v>
      </c>
      <c r="G1190" s="4">
        <v>1</v>
      </c>
      <c r="H1190" s="8">
        <v>3.7</v>
      </c>
      <c r="I1190" s="4">
        <v>0</v>
      </c>
    </row>
    <row r="1191" spans="1:9" x14ac:dyDescent="0.2">
      <c r="A1191" s="1"/>
      <c r="C1191" s="4"/>
      <c r="D1191" s="8"/>
      <c r="E1191" s="4"/>
      <c r="F1191" s="8"/>
      <c r="G1191" s="4"/>
      <c r="H1191" s="8"/>
      <c r="I1191" s="4"/>
    </row>
    <row r="1192" spans="1:9" x14ac:dyDescent="0.2">
      <c r="A1192" s="1" t="s">
        <v>47</v>
      </c>
      <c r="C1192" s="4"/>
      <c r="D1192" s="8"/>
      <c r="E1192" s="4"/>
      <c r="F1192" s="8"/>
      <c r="G1192" s="4"/>
      <c r="H1192" s="8"/>
      <c r="I1192" s="4"/>
    </row>
    <row r="1193" spans="1:9" x14ac:dyDescent="0.2">
      <c r="A1193" s="2">
        <v>1</v>
      </c>
      <c r="B1193" s="1" t="s">
        <v>227</v>
      </c>
      <c r="C1193" s="4">
        <v>2</v>
      </c>
      <c r="D1193" s="8">
        <v>8.33</v>
      </c>
      <c r="E1193" s="4">
        <v>2</v>
      </c>
      <c r="F1193" s="8">
        <v>12.5</v>
      </c>
      <c r="G1193" s="4">
        <v>0</v>
      </c>
      <c r="H1193" s="8">
        <v>0</v>
      </c>
      <c r="I1193" s="4">
        <v>0</v>
      </c>
    </row>
    <row r="1194" spans="1:9" x14ac:dyDescent="0.2">
      <c r="A1194" s="2">
        <v>1</v>
      </c>
      <c r="B1194" s="1" t="s">
        <v>216</v>
      </c>
      <c r="C1194" s="4">
        <v>2</v>
      </c>
      <c r="D1194" s="8">
        <v>8.33</v>
      </c>
      <c r="E1194" s="4">
        <v>1</v>
      </c>
      <c r="F1194" s="8">
        <v>6.25</v>
      </c>
      <c r="G1194" s="4">
        <v>0</v>
      </c>
      <c r="H1194" s="8">
        <v>0</v>
      </c>
      <c r="I1194" s="4">
        <v>1</v>
      </c>
    </row>
    <row r="1195" spans="1:9" x14ac:dyDescent="0.2">
      <c r="A1195" s="2">
        <v>1</v>
      </c>
      <c r="B1195" s="1" t="s">
        <v>185</v>
      </c>
      <c r="C1195" s="4">
        <v>2</v>
      </c>
      <c r="D1195" s="8">
        <v>8.33</v>
      </c>
      <c r="E1195" s="4">
        <v>2</v>
      </c>
      <c r="F1195" s="8">
        <v>12.5</v>
      </c>
      <c r="G1195" s="4">
        <v>0</v>
      </c>
      <c r="H1195" s="8">
        <v>0</v>
      </c>
      <c r="I1195" s="4">
        <v>0</v>
      </c>
    </row>
    <row r="1196" spans="1:9" x14ac:dyDescent="0.2">
      <c r="A1196" s="2">
        <v>4</v>
      </c>
      <c r="B1196" s="1" t="s">
        <v>176</v>
      </c>
      <c r="C1196" s="4">
        <v>1</v>
      </c>
      <c r="D1196" s="8">
        <v>4.17</v>
      </c>
      <c r="E1196" s="4">
        <v>0</v>
      </c>
      <c r="F1196" s="8">
        <v>0</v>
      </c>
      <c r="G1196" s="4">
        <v>1</v>
      </c>
      <c r="H1196" s="8">
        <v>20</v>
      </c>
      <c r="I1196" s="4">
        <v>0</v>
      </c>
    </row>
    <row r="1197" spans="1:9" x14ac:dyDescent="0.2">
      <c r="A1197" s="2">
        <v>4</v>
      </c>
      <c r="B1197" s="1" t="s">
        <v>262</v>
      </c>
      <c r="C1197" s="4">
        <v>1</v>
      </c>
      <c r="D1197" s="8">
        <v>4.17</v>
      </c>
      <c r="E1197" s="4">
        <v>0</v>
      </c>
      <c r="F1197" s="8">
        <v>0</v>
      </c>
      <c r="G1197" s="4">
        <v>1</v>
      </c>
      <c r="H1197" s="8">
        <v>20</v>
      </c>
      <c r="I1197" s="4">
        <v>0</v>
      </c>
    </row>
    <row r="1198" spans="1:9" x14ac:dyDescent="0.2">
      <c r="A1198" s="2">
        <v>4</v>
      </c>
      <c r="B1198" s="1" t="s">
        <v>298</v>
      </c>
      <c r="C1198" s="4">
        <v>1</v>
      </c>
      <c r="D1198" s="8">
        <v>4.17</v>
      </c>
      <c r="E1198" s="4">
        <v>1</v>
      </c>
      <c r="F1198" s="8">
        <v>6.25</v>
      </c>
      <c r="G1198" s="4">
        <v>0</v>
      </c>
      <c r="H1198" s="8">
        <v>0</v>
      </c>
      <c r="I1198" s="4">
        <v>0</v>
      </c>
    </row>
    <row r="1199" spans="1:9" x14ac:dyDescent="0.2">
      <c r="A1199" s="2">
        <v>4</v>
      </c>
      <c r="B1199" s="1" t="s">
        <v>299</v>
      </c>
      <c r="C1199" s="4">
        <v>1</v>
      </c>
      <c r="D1199" s="8">
        <v>4.17</v>
      </c>
      <c r="E1199" s="4">
        <v>0</v>
      </c>
      <c r="F1199" s="8">
        <v>0</v>
      </c>
      <c r="G1199" s="4">
        <v>1</v>
      </c>
      <c r="H1199" s="8">
        <v>20</v>
      </c>
      <c r="I1199" s="4">
        <v>0</v>
      </c>
    </row>
    <row r="1200" spans="1:9" x14ac:dyDescent="0.2">
      <c r="A1200" s="2">
        <v>4</v>
      </c>
      <c r="B1200" s="1" t="s">
        <v>300</v>
      </c>
      <c r="C1200" s="4">
        <v>1</v>
      </c>
      <c r="D1200" s="8">
        <v>4.17</v>
      </c>
      <c r="E1200" s="4">
        <v>1</v>
      </c>
      <c r="F1200" s="8">
        <v>6.25</v>
      </c>
      <c r="G1200" s="4">
        <v>0</v>
      </c>
      <c r="H1200" s="8">
        <v>0</v>
      </c>
      <c r="I1200" s="4">
        <v>0</v>
      </c>
    </row>
    <row r="1201" spans="1:9" x14ac:dyDescent="0.2">
      <c r="A1201" s="2">
        <v>4</v>
      </c>
      <c r="B1201" s="1" t="s">
        <v>213</v>
      </c>
      <c r="C1201" s="4">
        <v>1</v>
      </c>
      <c r="D1201" s="8">
        <v>4.17</v>
      </c>
      <c r="E1201" s="4">
        <v>1</v>
      </c>
      <c r="F1201" s="8">
        <v>6.25</v>
      </c>
      <c r="G1201" s="4">
        <v>0</v>
      </c>
      <c r="H1201" s="8">
        <v>0</v>
      </c>
      <c r="I1201" s="4">
        <v>0</v>
      </c>
    </row>
    <row r="1202" spans="1:9" x14ac:dyDescent="0.2">
      <c r="A1202" s="2">
        <v>4</v>
      </c>
      <c r="B1202" s="1" t="s">
        <v>233</v>
      </c>
      <c r="C1202" s="4">
        <v>1</v>
      </c>
      <c r="D1202" s="8">
        <v>4.17</v>
      </c>
      <c r="E1202" s="4">
        <v>1</v>
      </c>
      <c r="F1202" s="8">
        <v>6.25</v>
      </c>
      <c r="G1202" s="4">
        <v>0</v>
      </c>
      <c r="H1202" s="8">
        <v>0</v>
      </c>
      <c r="I1202" s="4">
        <v>0</v>
      </c>
    </row>
    <row r="1203" spans="1:9" x14ac:dyDescent="0.2">
      <c r="A1203" s="2">
        <v>4</v>
      </c>
      <c r="B1203" s="1" t="s">
        <v>179</v>
      </c>
      <c r="C1203" s="4">
        <v>1</v>
      </c>
      <c r="D1203" s="8">
        <v>4.17</v>
      </c>
      <c r="E1203" s="4">
        <v>1</v>
      </c>
      <c r="F1203" s="8">
        <v>6.25</v>
      </c>
      <c r="G1203" s="4">
        <v>0</v>
      </c>
      <c r="H1203" s="8">
        <v>0</v>
      </c>
      <c r="I1203" s="4">
        <v>0</v>
      </c>
    </row>
    <row r="1204" spans="1:9" x14ac:dyDescent="0.2">
      <c r="A1204" s="2">
        <v>4</v>
      </c>
      <c r="B1204" s="1" t="s">
        <v>180</v>
      </c>
      <c r="C1204" s="4">
        <v>1</v>
      </c>
      <c r="D1204" s="8">
        <v>4.17</v>
      </c>
      <c r="E1204" s="4">
        <v>1</v>
      </c>
      <c r="F1204" s="8">
        <v>6.25</v>
      </c>
      <c r="G1204" s="4">
        <v>0</v>
      </c>
      <c r="H1204" s="8">
        <v>0</v>
      </c>
      <c r="I1204" s="4">
        <v>0</v>
      </c>
    </row>
    <row r="1205" spans="1:9" x14ac:dyDescent="0.2">
      <c r="A1205" s="2">
        <v>4</v>
      </c>
      <c r="B1205" s="1" t="s">
        <v>288</v>
      </c>
      <c r="C1205" s="4">
        <v>1</v>
      </c>
      <c r="D1205" s="8">
        <v>4.17</v>
      </c>
      <c r="E1205" s="4">
        <v>1</v>
      </c>
      <c r="F1205" s="8">
        <v>6.25</v>
      </c>
      <c r="G1205" s="4">
        <v>0</v>
      </c>
      <c r="H1205" s="8">
        <v>0</v>
      </c>
      <c r="I1205" s="4">
        <v>0</v>
      </c>
    </row>
    <row r="1206" spans="1:9" x14ac:dyDescent="0.2">
      <c r="A1206" s="2">
        <v>4</v>
      </c>
      <c r="B1206" s="1" t="s">
        <v>301</v>
      </c>
      <c r="C1206" s="4">
        <v>1</v>
      </c>
      <c r="D1206" s="8">
        <v>4.17</v>
      </c>
      <c r="E1206" s="4">
        <v>1</v>
      </c>
      <c r="F1206" s="8">
        <v>6.25</v>
      </c>
      <c r="G1206" s="4">
        <v>0</v>
      </c>
      <c r="H1206" s="8">
        <v>0</v>
      </c>
      <c r="I1206" s="4">
        <v>0</v>
      </c>
    </row>
    <row r="1207" spans="1:9" x14ac:dyDescent="0.2">
      <c r="A1207" s="2">
        <v>4</v>
      </c>
      <c r="B1207" s="1" t="s">
        <v>302</v>
      </c>
      <c r="C1207" s="4">
        <v>1</v>
      </c>
      <c r="D1207" s="8">
        <v>4.17</v>
      </c>
      <c r="E1207" s="4">
        <v>0</v>
      </c>
      <c r="F1207" s="8">
        <v>0</v>
      </c>
      <c r="G1207" s="4">
        <v>1</v>
      </c>
      <c r="H1207" s="8">
        <v>20</v>
      </c>
      <c r="I1207" s="4">
        <v>0</v>
      </c>
    </row>
    <row r="1208" spans="1:9" x14ac:dyDescent="0.2">
      <c r="A1208" s="2">
        <v>4</v>
      </c>
      <c r="B1208" s="1" t="s">
        <v>234</v>
      </c>
      <c r="C1208" s="4">
        <v>1</v>
      </c>
      <c r="D1208" s="8">
        <v>4.17</v>
      </c>
      <c r="E1208" s="4">
        <v>0</v>
      </c>
      <c r="F1208" s="8">
        <v>0</v>
      </c>
      <c r="G1208" s="4">
        <v>0</v>
      </c>
      <c r="H1208" s="8">
        <v>0</v>
      </c>
      <c r="I1208" s="4">
        <v>0</v>
      </c>
    </row>
    <row r="1209" spans="1:9" x14ac:dyDescent="0.2">
      <c r="A1209" s="2">
        <v>4</v>
      </c>
      <c r="B1209" s="1" t="s">
        <v>198</v>
      </c>
      <c r="C1209" s="4">
        <v>1</v>
      </c>
      <c r="D1209" s="8">
        <v>4.17</v>
      </c>
      <c r="E1209" s="4">
        <v>1</v>
      </c>
      <c r="F1209" s="8">
        <v>6.25</v>
      </c>
      <c r="G1209" s="4">
        <v>0</v>
      </c>
      <c r="H1209" s="8">
        <v>0</v>
      </c>
      <c r="I1209" s="4">
        <v>0</v>
      </c>
    </row>
    <row r="1210" spans="1:9" x14ac:dyDescent="0.2">
      <c r="A1210" s="2">
        <v>4</v>
      </c>
      <c r="B1210" s="1" t="s">
        <v>223</v>
      </c>
      <c r="C1210" s="4">
        <v>1</v>
      </c>
      <c r="D1210" s="8">
        <v>4.17</v>
      </c>
      <c r="E1210" s="4">
        <v>0</v>
      </c>
      <c r="F1210" s="8">
        <v>0</v>
      </c>
      <c r="G1210" s="4">
        <v>1</v>
      </c>
      <c r="H1210" s="8">
        <v>20</v>
      </c>
      <c r="I1210" s="4">
        <v>0</v>
      </c>
    </row>
    <row r="1211" spans="1:9" x14ac:dyDescent="0.2">
      <c r="A1211" s="2">
        <v>4</v>
      </c>
      <c r="B1211" s="1" t="s">
        <v>192</v>
      </c>
      <c r="C1211" s="4">
        <v>1</v>
      </c>
      <c r="D1211" s="8">
        <v>4.17</v>
      </c>
      <c r="E1211" s="4">
        <v>1</v>
      </c>
      <c r="F1211" s="8">
        <v>6.25</v>
      </c>
      <c r="G1211" s="4">
        <v>0</v>
      </c>
      <c r="H1211" s="8">
        <v>0</v>
      </c>
      <c r="I1211" s="4">
        <v>0</v>
      </c>
    </row>
    <row r="1212" spans="1:9" x14ac:dyDescent="0.2">
      <c r="A1212" s="2">
        <v>4</v>
      </c>
      <c r="B1212" s="1" t="s">
        <v>278</v>
      </c>
      <c r="C1212" s="4">
        <v>1</v>
      </c>
      <c r="D1212" s="8">
        <v>4.17</v>
      </c>
      <c r="E1212" s="4">
        <v>1</v>
      </c>
      <c r="F1212" s="8">
        <v>6.25</v>
      </c>
      <c r="G1212" s="4">
        <v>0</v>
      </c>
      <c r="H1212" s="8">
        <v>0</v>
      </c>
      <c r="I1212" s="4">
        <v>0</v>
      </c>
    </row>
    <row r="1213" spans="1:9" x14ac:dyDescent="0.2">
      <c r="A1213" s="2">
        <v>4</v>
      </c>
      <c r="B1213" s="1" t="s">
        <v>217</v>
      </c>
      <c r="C1213" s="4">
        <v>1</v>
      </c>
      <c r="D1213" s="8">
        <v>4.17</v>
      </c>
      <c r="E1213" s="4">
        <v>0</v>
      </c>
      <c r="F1213" s="8">
        <v>0</v>
      </c>
      <c r="G1213" s="4">
        <v>0</v>
      </c>
      <c r="H1213" s="8">
        <v>0</v>
      </c>
      <c r="I1213" s="4">
        <v>0</v>
      </c>
    </row>
    <row r="1214" spans="1:9" x14ac:dyDescent="0.2">
      <c r="A1214" s="1"/>
      <c r="C1214" s="4"/>
      <c r="D1214" s="8"/>
      <c r="E1214" s="4"/>
      <c r="F1214" s="8"/>
      <c r="G1214" s="4"/>
      <c r="H1214" s="8"/>
      <c r="I1214" s="4"/>
    </row>
    <row r="1215" spans="1:9" x14ac:dyDescent="0.2">
      <c r="A1215" s="1" t="s">
        <v>48</v>
      </c>
      <c r="C1215" s="4"/>
      <c r="D1215" s="8"/>
      <c r="E1215" s="4"/>
      <c r="F1215" s="8"/>
      <c r="G1215" s="4"/>
      <c r="H1215" s="8"/>
      <c r="I1215" s="4"/>
    </row>
    <row r="1216" spans="1:9" x14ac:dyDescent="0.2">
      <c r="A1216" s="2">
        <v>1</v>
      </c>
      <c r="B1216" s="1" t="s">
        <v>174</v>
      </c>
      <c r="C1216" s="4">
        <v>8</v>
      </c>
      <c r="D1216" s="8">
        <v>14.29</v>
      </c>
      <c r="E1216" s="4">
        <v>1</v>
      </c>
      <c r="F1216" s="8">
        <v>3.23</v>
      </c>
      <c r="G1216" s="4">
        <v>7</v>
      </c>
      <c r="H1216" s="8">
        <v>41.18</v>
      </c>
      <c r="I1216" s="4">
        <v>0</v>
      </c>
    </row>
    <row r="1217" spans="1:9" x14ac:dyDescent="0.2">
      <c r="A1217" s="2">
        <v>2</v>
      </c>
      <c r="B1217" s="1" t="s">
        <v>179</v>
      </c>
      <c r="C1217" s="4">
        <v>4</v>
      </c>
      <c r="D1217" s="8">
        <v>7.14</v>
      </c>
      <c r="E1217" s="4">
        <v>2</v>
      </c>
      <c r="F1217" s="8">
        <v>6.45</v>
      </c>
      <c r="G1217" s="4">
        <v>1</v>
      </c>
      <c r="H1217" s="8">
        <v>5.88</v>
      </c>
      <c r="I1217" s="4">
        <v>1</v>
      </c>
    </row>
    <row r="1218" spans="1:9" x14ac:dyDescent="0.2">
      <c r="A1218" s="2">
        <v>3</v>
      </c>
      <c r="B1218" s="1" t="s">
        <v>233</v>
      </c>
      <c r="C1218" s="4">
        <v>3</v>
      </c>
      <c r="D1218" s="8">
        <v>5.36</v>
      </c>
      <c r="E1218" s="4">
        <v>2</v>
      </c>
      <c r="F1218" s="8">
        <v>6.45</v>
      </c>
      <c r="G1218" s="4">
        <v>1</v>
      </c>
      <c r="H1218" s="8">
        <v>5.88</v>
      </c>
      <c r="I1218" s="4">
        <v>0</v>
      </c>
    </row>
    <row r="1219" spans="1:9" x14ac:dyDescent="0.2">
      <c r="A1219" s="2">
        <v>3</v>
      </c>
      <c r="B1219" s="1" t="s">
        <v>181</v>
      </c>
      <c r="C1219" s="4">
        <v>3</v>
      </c>
      <c r="D1219" s="8">
        <v>5.36</v>
      </c>
      <c r="E1219" s="4">
        <v>3</v>
      </c>
      <c r="F1219" s="8">
        <v>9.68</v>
      </c>
      <c r="G1219" s="4">
        <v>0</v>
      </c>
      <c r="H1219" s="8">
        <v>0</v>
      </c>
      <c r="I1219" s="4">
        <v>0</v>
      </c>
    </row>
    <row r="1220" spans="1:9" x14ac:dyDescent="0.2">
      <c r="A1220" s="2">
        <v>3</v>
      </c>
      <c r="B1220" s="1" t="s">
        <v>185</v>
      </c>
      <c r="C1220" s="4">
        <v>3</v>
      </c>
      <c r="D1220" s="8">
        <v>5.36</v>
      </c>
      <c r="E1220" s="4">
        <v>3</v>
      </c>
      <c r="F1220" s="8">
        <v>9.68</v>
      </c>
      <c r="G1220" s="4">
        <v>0</v>
      </c>
      <c r="H1220" s="8">
        <v>0</v>
      </c>
      <c r="I1220" s="4">
        <v>0</v>
      </c>
    </row>
    <row r="1221" spans="1:9" x14ac:dyDescent="0.2">
      <c r="A1221" s="2">
        <v>3</v>
      </c>
      <c r="B1221" s="1" t="s">
        <v>190</v>
      </c>
      <c r="C1221" s="4">
        <v>3</v>
      </c>
      <c r="D1221" s="8">
        <v>5.36</v>
      </c>
      <c r="E1221" s="4">
        <v>3</v>
      </c>
      <c r="F1221" s="8">
        <v>9.68</v>
      </c>
      <c r="G1221" s="4">
        <v>0</v>
      </c>
      <c r="H1221" s="8">
        <v>0</v>
      </c>
      <c r="I1221" s="4">
        <v>0</v>
      </c>
    </row>
    <row r="1222" spans="1:9" x14ac:dyDescent="0.2">
      <c r="A1222" s="2">
        <v>7</v>
      </c>
      <c r="B1222" s="1" t="s">
        <v>216</v>
      </c>
      <c r="C1222" s="4">
        <v>2</v>
      </c>
      <c r="D1222" s="8">
        <v>3.57</v>
      </c>
      <c r="E1222" s="4">
        <v>0</v>
      </c>
      <c r="F1222" s="8">
        <v>0</v>
      </c>
      <c r="G1222" s="4">
        <v>2</v>
      </c>
      <c r="H1222" s="8">
        <v>11.76</v>
      </c>
      <c r="I1222" s="4">
        <v>0</v>
      </c>
    </row>
    <row r="1223" spans="1:9" x14ac:dyDescent="0.2">
      <c r="A1223" s="2">
        <v>7</v>
      </c>
      <c r="B1223" s="1" t="s">
        <v>207</v>
      </c>
      <c r="C1223" s="4">
        <v>2</v>
      </c>
      <c r="D1223" s="8">
        <v>3.57</v>
      </c>
      <c r="E1223" s="4">
        <v>1</v>
      </c>
      <c r="F1223" s="8">
        <v>3.23</v>
      </c>
      <c r="G1223" s="4">
        <v>0</v>
      </c>
      <c r="H1223" s="8">
        <v>0</v>
      </c>
      <c r="I1223" s="4">
        <v>0</v>
      </c>
    </row>
    <row r="1224" spans="1:9" x14ac:dyDescent="0.2">
      <c r="A1224" s="2">
        <v>7</v>
      </c>
      <c r="B1224" s="1" t="s">
        <v>191</v>
      </c>
      <c r="C1224" s="4">
        <v>2</v>
      </c>
      <c r="D1224" s="8">
        <v>3.57</v>
      </c>
      <c r="E1224" s="4">
        <v>2</v>
      </c>
      <c r="F1224" s="8">
        <v>6.45</v>
      </c>
      <c r="G1224" s="4">
        <v>0</v>
      </c>
      <c r="H1224" s="8">
        <v>0</v>
      </c>
      <c r="I1224" s="4">
        <v>0</v>
      </c>
    </row>
    <row r="1225" spans="1:9" x14ac:dyDescent="0.2">
      <c r="A1225" s="2">
        <v>10</v>
      </c>
      <c r="B1225" s="1" t="s">
        <v>287</v>
      </c>
      <c r="C1225" s="4">
        <v>1</v>
      </c>
      <c r="D1225" s="8">
        <v>1.79</v>
      </c>
      <c r="E1225" s="4">
        <v>0</v>
      </c>
      <c r="F1225" s="8">
        <v>0</v>
      </c>
      <c r="G1225" s="4">
        <v>1</v>
      </c>
      <c r="H1225" s="8">
        <v>5.88</v>
      </c>
      <c r="I1225" s="4">
        <v>0</v>
      </c>
    </row>
    <row r="1226" spans="1:9" x14ac:dyDescent="0.2">
      <c r="A1226" s="2">
        <v>10</v>
      </c>
      <c r="B1226" s="1" t="s">
        <v>176</v>
      </c>
      <c r="C1226" s="4">
        <v>1</v>
      </c>
      <c r="D1226" s="8">
        <v>1.79</v>
      </c>
      <c r="E1226" s="4">
        <v>1</v>
      </c>
      <c r="F1226" s="8">
        <v>3.23</v>
      </c>
      <c r="G1226" s="4">
        <v>0</v>
      </c>
      <c r="H1226" s="8">
        <v>0</v>
      </c>
      <c r="I1226" s="4">
        <v>0</v>
      </c>
    </row>
    <row r="1227" spans="1:9" x14ac:dyDescent="0.2">
      <c r="A1227" s="2">
        <v>10</v>
      </c>
      <c r="B1227" s="1" t="s">
        <v>177</v>
      </c>
      <c r="C1227" s="4">
        <v>1</v>
      </c>
      <c r="D1227" s="8">
        <v>1.79</v>
      </c>
      <c r="E1227" s="4">
        <v>1</v>
      </c>
      <c r="F1227" s="8">
        <v>3.23</v>
      </c>
      <c r="G1227" s="4">
        <v>0</v>
      </c>
      <c r="H1227" s="8">
        <v>0</v>
      </c>
      <c r="I1227" s="4">
        <v>0</v>
      </c>
    </row>
    <row r="1228" spans="1:9" x14ac:dyDescent="0.2">
      <c r="A1228" s="2">
        <v>10</v>
      </c>
      <c r="B1228" s="1" t="s">
        <v>178</v>
      </c>
      <c r="C1228" s="4">
        <v>1</v>
      </c>
      <c r="D1228" s="8">
        <v>1.79</v>
      </c>
      <c r="E1228" s="4">
        <v>0</v>
      </c>
      <c r="F1228" s="8">
        <v>0</v>
      </c>
      <c r="G1228" s="4">
        <v>1</v>
      </c>
      <c r="H1228" s="8">
        <v>5.88</v>
      </c>
      <c r="I1228" s="4">
        <v>0</v>
      </c>
    </row>
    <row r="1229" spans="1:9" x14ac:dyDescent="0.2">
      <c r="A1229" s="2">
        <v>10</v>
      </c>
      <c r="B1229" s="1" t="s">
        <v>262</v>
      </c>
      <c r="C1229" s="4">
        <v>1</v>
      </c>
      <c r="D1229" s="8">
        <v>1.79</v>
      </c>
      <c r="E1229" s="4">
        <v>0</v>
      </c>
      <c r="F1229" s="8">
        <v>0</v>
      </c>
      <c r="G1229" s="4">
        <v>1</v>
      </c>
      <c r="H1229" s="8">
        <v>5.88</v>
      </c>
      <c r="I1229" s="4">
        <v>0</v>
      </c>
    </row>
    <row r="1230" spans="1:9" x14ac:dyDescent="0.2">
      <c r="A1230" s="2">
        <v>10</v>
      </c>
      <c r="B1230" s="1" t="s">
        <v>303</v>
      </c>
      <c r="C1230" s="4">
        <v>1</v>
      </c>
      <c r="D1230" s="8">
        <v>1.79</v>
      </c>
      <c r="E1230" s="4">
        <v>0</v>
      </c>
      <c r="F1230" s="8">
        <v>0</v>
      </c>
      <c r="G1230" s="4">
        <v>0</v>
      </c>
      <c r="H1230" s="8">
        <v>0</v>
      </c>
      <c r="I1230" s="4">
        <v>1</v>
      </c>
    </row>
    <row r="1231" spans="1:9" x14ac:dyDescent="0.2">
      <c r="A1231" s="2">
        <v>10</v>
      </c>
      <c r="B1231" s="1" t="s">
        <v>279</v>
      </c>
      <c r="C1231" s="4">
        <v>1</v>
      </c>
      <c r="D1231" s="8">
        <v>1.79</v>
      </c>
      <c r="E1231" s="4">
        <v>1</v>
      </c>
      <c r="F1231" s="8">
        <v>3.23</v>
      </c>
      <c r="G1231" s="4">
        <v>0</v>
      </c>
      <c r="H1231" s="8">
        <v>0</v>
      </c>
      <c r="I1231" s="4">
        <v>0</v>
      </c>
    </row>
    <row r="1232" spans="1:9" x14ac:dyDescent="0.2">
      <c r="A1232" s="2">
        <v>10</v>
      </c>
      <c r="B1232" s="1" t="s">
        <v>232</v>
      </c>
      <c r="C1232" s="4">
        <v>1</v>
      </c>
      <c r="D1232" s="8">
        <v>1.79</v>
      </c>
      <c r="E1232" s="4">
        <v>0</v>
      </c>
      <c r="F1232" s="8">
        <v>0</v>
      </c>
      <c r="G1232" s="4">
        <v>0</v>
      </c>
      <c r="H1232" s="8">
        <v>0</v>
      </c>
      <c r="I1232" s="4">
        <v>0</v>
      </c>
    </row>
    <row r="1233" spans="1:9" x14ac:dyDescent="0.2">
      <c r="A1233" s="2">
        <v>10</v>
      </c>
      <c r="B1233" s="1" t="s">
        <v>304</v>
      </c>
      <c r="C1233" s="4">
        <v>1</v>
      </c>
      <c r="D1233" s="8">
        <v>1.79</v>
      </c>
      <c r="E1233" s="4">
        <v>0</v>
      </c>
      <c r="F1233" s="8">
        <v>0</v>
      </c>
      <c r="G1233" s="4">
        <v>0</v>
      </c>
      <c r="H1233" s="8">
        <v>0</v>
      </c>
      <c r="I1233" s="4">
        <v>0</v>
      </c>
    </row>
    <row r="1234" spans="1:9" x14ac:dyDescent="0.2">
      <c r="A1234" s="2">
        <v>10</v>
      </c>
      <c r="B1234" s="1" t="s">
        <v>305</v>
      </c>
      <c r="C1234" s="4">
        <v>1</v>
      </c>
      <c r="D1234" s="8">
        <v>1.79</v>
      </c>
      <c r="E1234" s="4">
        <v>0</v>
      </c>
      <c r="F1234" s="8">
        <v>0</v>
      </c>
      <c r="G1234" s="4">
        <v>1</v>
      </c>
      <c r="H1234" s="8">
        <v>5.88</v>
      </c>
      <c r="I1234" s="4">
        <v>0</v>
      </c>
    </row>
    <row r="1235" spans="1:9" x14ac:dyDescent="0.2">
      <c r="A1235" s="2">
        <v>10</v>
      </c>
      <c r="B1235" s="1" t="s">
        <v>225</v>
      </c>
      <c r="C1235" s="4">
        <v>1</v>
      </c>
      <c r="D1235" s="8">
        <v>1.79</v>
      </c>
      <c r="E1235" s="4">
        <v>0</v>
      </c>
      <c r="F1235" s="8">
        <v>0</v>
      </c>
      <c r="G1235" s="4">
        <v>0</v>
      </c>
      <c r="H1235" s="8">
        <v>0</v>
      </c>
      <c r="I1235" s="4">
        <v>1</v>
      </c>
    </row>
    <row r="1236" spans="1:9" x14ac:dyDescent="0.2">
      <c r="A1236" s="2">
        <v>10</v>
      </c>
      <c r="B1236" s="1" t="s">
        <v>196</v>
      </c>
      <c r="C1236" s="4">
        <v>1</v>
      </c>
      <c r="D1236" s="8">
        <v>1.79</v>
      </c>
      <c r="E1236" s="4">
        <v>1</v>
      </c>
      <c r="F1236" s="8">
        <v>3.23</v>
      </c>
      <c r="G1236" s="4">
        <v>0</v>
      </c>
      <c r="H1236" s="8">
        <v>0</v>
      </c>
      <c r="I1236" s="4">
        <v>0</v>
      </c>
    </row>
    <row r="1237" spans="1:9" x14ac:dyDescent="0.2">
      <c r="A1237" s="2">
        <v>10</v>
      </c>
      <c r="B1237" s="1" t="s">
        <v>214</v>
      </c>
      <c r="C1237" s="4">
        <v>1</v>
      </c>
      <c r="D1237" s="8">
        <v>1.79</v>
      </c>
      <c r="E1237" s="4">
        <v>1</v>
      </c>
      <c r="F1237" s="8">
        <v>3.23</v>
      </c>
      <c r="G1237" s="4">
        <v>0</v>
      </c>
      <c r="H1237" s="8">
        <v>0</v>
      </c>
      <c r="I1237" s="4">
        <v>0</v>
      </c>
    </row>
    <row r="1238" spans="1:9" x14ac:dyDescent="0.2">
      <c r="A1238" s="2">
        <v>10</v>
      </c>
      <c r="B1238" s="1" t="s">
        <v>197</v>
      </c>
      <c r="C1238" s="4">
        <v>1</v>
      </c>
      <c r="D1238" s="8">
        <v>1.79</v>
      </c>
      <c r="E1238" s="4">
        <v>1</v>
      </c>
      <c r="F1238" s="8">
        <v>3.23</v>
      </c>
      <c r="G1238" s="4">
        <v>0</v>
      </c>
      <c r="H1238" s="8">
        <v>0</v>
      </c>
      <c r="I1238" s="4">
        <v>0</v>
      </c>
    </row>
    <row r="1239" spans="1:9" x14ac:dyDescent="0.2">
      <c r="A1239" s="2">
        <v>10</v>
      </c>
      <c r="B1239" s="1" t="s">
        <v>222</v>
      </c>
      <c r="C1239" s="4">
        <v>1</v>
      </c>
      <c r="D1239" s="8">
        <v>1.79</v>
      </c>
      <c r="E1239" s="4">
        <v>1</v>
      </c>
      <c r="F1239" s="8">
        <v>3.23</v>
      </c>
      <c r="G1239" s="4">
        <v>0</v>
      </c>
      <c r="H1239" s="8">
        <v>0</v>
      </c>
      <c r="I1239" s="4">
        <v>0</v>
      </c>
    </row>
    <row r="1240" spans="1:9" x14ac:dyDescent="0.2">
      <c r="A1240" s="2">
        <v>10</v>
      </c>
      <c r="B1240" s="1" t="s">
        <v>288</v>
      </c>
      <c r="C1240" s="4">
        <v>1</v>
      </c>
      <c r="D1240" s="8">
        <v>1.79</v>
      </c>
      <c r="E1240" s="4">
        <v>1</v>
      </c>
      <c r="F1240" s="8">
        <v>3.23</v>
      </c>
      <c r="G1240" s="4">
        <v>0</v>
      </c>
      <c r="H1240" s="8">
        <v>0</v>
      </c>
      <c r="I1240" s="4">
        <v>0</v>
      </c>
    </row>
    <row r="1241" spans="1:9" x14ac:dyDescent="0.2">
      <c r="A1241" s="2">
        <v>10</v>
      </c>
      <c r="B1241" s="1" t="s">
        <v>183</v>
      </c>
      <c r="C1241" s="4">
        <v>1</v>
      </c>
      <c r="D1241" s="8">
        <v>1.79</v>
      </c>
      <c r="E1241" s="4">
        <v>1</v>
      </c>
      <c r="F1241" s="8">
        <v>3.23</v>
      </c>
      <c r="G1241" s="4">
        <v>0</v>
      </c>
      <c r="H1241" s="8">
        <v>0</v>
      </c>
      <c r="I1241" s="4">
        <v>0</v>
      </c>
    </row>
    <row r="1242" spans="1:9" x14ac:dyDescent="0.2">
      <c r="A1242" s="2">
        <v>10</v>
      </c>
      <c r="B1242" s="1" t="s">
        <v>186</v>
      </c>
      <c r="C1242" s="4">
        <v>1</v>
      </c>
      <c r="D1242" s="8">
        <v>1.79</v>
      </c>
      <c r="E1242" s="4">
        <v>0</v>
      </c>
      <c r="F1242" s="8">
        <v>0</v>
      </c>
      <c r="G1242" s="4">
        <v>1</v>
      </c>
      <c r="H1242" s="8">
        <v>5.88</v>
      </c>
      <c r="I1242" s="4">
        <v>0</v>
      </c>
    </row>
    <row r="1243" spans="1:9" x14ac:dyDescent="0.2">
      <c r="A1243" s="2">
        <v>10</v>
      </c>
      <c r="B1243" s="1" t="s">
        <v>188</v>
      </c>
      <c r="C1243" s="4">
        <v>1</v>
      </c>
      <c r="D1243" s="8">
        <v>1.79</v>
      </c>
      <c r="E1243" s="4">
        <v>1</v>
      </c>
      <c r="F1243" s="8">
        <v>3.23</v>
      </c>
      <c r="G1243" s="4">
        <v>0</v>
      </c>
      <c r="H1243" s="8">
        <v>0</v>
      </c>
      <c r="I1243" s="4">
        <v>0</v>
      </c>
    </row>
    <row r="1244" spans="1:9" x14ac:dyDescent="0.2">
      <c r="A1244" s="2">
        <v>10</v>
      </c>
      <c r="B1244" s="1" t="s">
        <v>189</v>
      </c>
      <c r="C1244" s="4">
        <v>1</v>
      </c>
      <c r="D1244" s="8">
        <v>1.79</v>
      </c>
      <c r="E1244" s="4">
        <v>1</v>
      </c>
      <c r="F1244" s="8">
        <v>3.23</v>
      </c>
      <c r="G1244" s="4">
        <v>0</v>
      </c>
      <c r="H1244" s="8">
        <v>0</v>
      </c>
      <c r="I1244" s="4">
        <v>0</v>
      </c>
    </row>
    <row r="1245" spans="1:9" x14ac:dyDescent="0.2">
      <c r="A1245" s="2">
        <v>10</v>
      </c>
      <c r="B1245" s="1" t="s">
        <v>192</v>
      </c>
      <c r="C1245" s="4">
        <v>1</v>
      </c>
      <c r="D1245" s="8">
        <v>1.79</v>
      </c>
      <c r="E1245" s="4">
        <v>1</v>
      </c>
      <c r="F1245" s="8">
        <v>3.23</v>
      </c>
      <c r="G1245" s="4">
        <v>0</v>
      </c>
      <c r="H1245" s="8">
        <v>0</v>
      </c>
      <c r="I1245" s="4">
        <v>0</v>
      </c>
    </row>
    <row r="1246" spans="1:9" x14ac:dyDescent="0.2">
      <c r="A1246" s="2">
        <v>10</v>
      </c>
      <c r="B1246" s="1" t="s">
        <v>193</v>
      </c>
      <c r="C1246" s="4">
        <v>1</v>
      </c>
      <c r="D1246" s="8">
        <v>1.79</v>
      </c>
      <c r="E1246" s="4">
        <v>1</v>
      </c>
      <c r="F1246" s="8">
        <v>3.23</v>
      </c>
      <c r="G1246" s="4">
        <v>0</v>
      </c>
      <c r="H1246" s="8">
        <v>0</v>
      </c>
      <c r="I1246" s="4">
        <v>0</v>
      </c>
    </row>
    <row r="1247" spans="1:9" x14ac:dyDescent="0.2">
      <c r="A1247" s="2">
        <v>10</v>
      </c>
      <c r="B1247" s="1" t="s">
        <v>264</v>
      </c>
      <c r="C1247" s="4">
        <v>1</v>
      </c>
      <c r="D1247" s="8">
        <v>1.79</v>
      </c>
      <c r="E1247" s="4">
        <v>0</v>
      </c>
      <c r="F1247" s="8">
        <v>0</v>
      </c>
      <c r="G1247" s="4">
        <v>0</v>
      </c>
      <c r="H1247" s="8">
        <v>0</v>
      </c>
      <c r="I1247" s="4">
        <v>0</v>
      </c>
    </row>
    <row r="1248" spans="1:9" x14ac:dyDescent="0.2">
      <c r="A1248" s="2">
        <v>10</v>
      </c>
      <c r="B1248" s="1" t="s">
        <v>289</v>
      </c>
      <c r="C1248" s="4">
        <v>1</v>
      </c>
      <c r="D1248" s="8">
        <v>1.79</v>
      </c>
      <c r="E1248" s="4">
        <v>0</v>
      </c>
      <c r="F1248" s="8">
        <v>0</v>
      </c>
      <c r="G1248" s="4">
        <v>0</v>
      </c>
      <c r="H1248" s="8">
        <v>0</v>
      </c>
      <c r="I1248" s="4">
        <v>0</v>
      </c>
    </row>
    <row r="1249" spans="1:9" x14ac:dyDescent="0.2">
      <c r="A1249" s="2">
        <v>10</v>
      </c>
      <c r="B1249" s="1" t="s">
        <v>290</v>
      </c>
      <c r="C1249" s="4">
        <v>1</v>
      </c>
      <c r="D1249" s="8">
        <v>1.79</v>
      </c>
      <c r="E1249" s="4">
        <v>1</v>
      </c>
      <c r="F1249" s="8">
        <v>3.23</v>
      </c>
      <c r="G1249" s="4">
        <v>0</v>
      </c>
      <c r="H1249" s="8">
        <v>0</v>
      </c>
      <c r="I1249" s="4">
        <v>0</v>
      </c>
    </row>
    <row r="1250" spans="1:9" x14ac:dyDescent="0.2">
      <c r="A1250" s="2">
        <v>10</v>
      </c>
      <c r="B1250" s="1" t="s">
        <v>306</v>
      </c>
      <c r="C1250" s="4">
        <v>1</v>
      </c>
      <c r="D1250" s="8">
        <v>1.79</v>
      </c>
      <c r="E1250" s="4">
        <v>0</v>
      </c>
      <c r="F1250" s="8">
        <v>0</v>
      </c>
      <c r="G1250" s="4">
        <v>1</v>
      </c>
      <c r="H1250" s="8">
        <v>5.88</v>
      </c>
      <c r="I1250" s="4">
        <v>0</v>
      </c>
    </row>
    <row r="1251" spans="1:9" x14ac:dyDescent="0.2">
      <c r="A1251" s="1"/>
      <c r="C1251" s="4"/>
      <c r="D1251" s="8"/>
      <c r="E1251" s="4"/>
      <c r="F1251" s="8"/>
      <c r="G1251" s="4"/>
      <c r="H1251" s="8"/>
      <c r="I1251" s="4"/>
    </row>
    <row r="1252" spans="1:9" x14ac:dyDescent="0.2">
      <c r="A1252" s="1" t="s">
        <v>49</v>
      </c>
      <c r="C1252" s="4"/>
      <c r="D1252" s="8"/>
      <c r="E1252" s="4"/>
      <c r="F1252" s="8"/>
      <c r="G1252" s="4"/>
      <c r="H1252" s="8"/>
      <c r="I1252" s="4"/>
    </row>
    <row r="1253" spans="1:9" x14ac:dyDescent="0.2">
      <c r="A1253" s="2">
        <v>1</v>
      </c>
      <c r="B1253" s="1" t="s">
        <v>186</v>
      </c>
      <c r="C1253" s="4">
        <v>4</v>
      </c>
      <c r="D1253" s="8">
        <v>7.02</v>
      </c>
      <c r="E1253" s="4">
        <v>3</v>
      </c>
      <c r="F1253" s="8">
        <v>7.89</v>
      </c>
      <c r="G1253" s="4">
        <v>1</v>
      </c>
      <c r="H1253" s="8">
        <v>5.88</v>
      </c>
      <c r="I1253" s="4">
        <v>0</v>
      </c>
    </row>
    <row r="1254" spans="1:9" x14ac:dyDescent="0.2">
      <c r="A1254" s="2">
        <v>2</v>
      </c>
      <c r="B1254" s="1" t="s">
        <v>216</v>
      </c>
      <c r="C1254" s="4">
        <v>3</v>
      </c>
      <c r="D1254" s="8">
        <v>5.26</v>
      </c>
      <c r="E1254" s="4">
        <v>1</v>
      </c>
      <c r="F1254" s="8">
        <v>2.63</v>
      </c>
      <c r="G1254" s="4">
        <v>2</v>
      </c>
      <c r="H1254" s="8">
        <v>11.76</v>
      </c>
      <c r="I1254" s="4">
        <v>0</v>
      </c>
    </row>
    <row r="1255" spans="1:9" x14ac:dyDescent="0.2">
      <c r="A1255" s="2">
        <v>2</v>
      </c>
      <c r="B1255" s="1" t="s">
        <v>181</v>
      </c>
      <c r="C1255" s="4">
        <v>3</v>
      </c>
      <c r="D1255" s="8">
        <v>5.26</v>
      </c>
      <c r="E1255" s="4">
        <v>3</v>
      </c>
      <c r="F1255" s="8">
        <v>7.89</v>
      </c>
      <c r="G1255" s="4">
        <v>0</v>
      </c>
      <c r="H1255" s="8">
        <v>0</v>
      </c>
      <c r="I1255" s="4">
        <v>0</v>
      </c>
    </row>
    <row r="1256" spans="1:9" x14ac:dyDescent="0.2">
      <c r="A1256" s="2">
        <v>4</v>
      </c>
      <c r="B1256" s="1" t="s">
        <v>174</v>
      </c>
      <c r="C1256" s="4">
        <v>2</v>
      </c>
      <c r="D1256" s="8">
        <v>3.51</v>
      </c>
      <c r="E1256" s="4">
        <v>0</v>
      </c>
      <c r="F1256" s="8">
        <v>0</v>
      </c>
      <c r="G1256" s="4">
        <v>2</v>
      </c>
      <c r="H1256" s="8">
        <v>11.76</v>
      </c>
      <c r="I1256" s="4">
        <v>0</v>
      </c>
    </row>
    <row r="1257" spans="1:9" x14ac:dyDescent="0.2">
      <c r="A1257" s="2">
        <v>4</v>
      </c>
      <c r="B1257" s="1" t="s">
        <v>176</v>
      </c>
      <c r="C1257" s="4">
        <v>2</v>
      </c>
      <c r="D1257" s="8">
        <v>3.51</v>
      </c>
      <c r="E1257" s="4">
        <v>2</v>
      </c>
      <c r="F1257" s="8">
        <v>5.26</v>
      </c>
      <c r="G1257" s="4">
        <v>0</v>
      </c>
      <c r="H1257" s="8">
        <v>0</v>
      </c>
      <c r="I1257" s="4">
        <v>0</v>
      </c>
    </row>
    <row r="1258" spans="1:9" x14ac:dyDescent="0.2">
      <c r="A1258" s="2">
        <v>4</v>
      </c>
      <c r="B1258" s="1" t="s">
        <v>286</v>
      </c>
      <c r="C1258" s="4">
        <v>2</v>
      </c>
      <c r="D1258" s="8">
        <v>3.51</v>
      </c>
      <c r="E1258" s="4">
        <v>2</v>
      </c>
      <c r="F1258" s="8">
        <v>5.26</v>
      </c>
      <c r="G1258" s="4">
        <v>0</v>
      </c>
      <c r="H1258" s="8">
        <v>0</v>
      </c>
      <c r="I1258" s="4">
        <v>0</v>
      </c>
    </row>
    <row r="1259" spans="1:9" x14ac:dyDescent="0.2">
      <c r="A1259" s="2">
        <v>4</v>
      </c>
      <c r="B1259" s="1" t="s">
        <v>261</v>
      </c>
      <c r="C1259" s="4">
        <v>2</v>
      </c>
      <c r="D1259" s="8">
        <v>3.51</v>
      </c>
      <c r="E1259" s="4">
        <v>1</v>
      </c>
      <c r="F1259" s="8">
        <v>2.63</v>
      </c>
      <c r="G1259" s="4">
        <v>1</v>
      </c>
      <c r="H1259" s="8">
        <v>5.88</v>
      </c>
      <c r="I1259" s="4">
        <v>0</v>
      </c>
    </row>
    <row r="1260" spans="1:9" x14ac:dyDescent="0.2">
      <c r="A1260" s="2">
        <v>4</v>
      </c>
      <c r="B1260" s="1" t="s">
        <v>178</v>
      </c>
      <c r="C1260" s="4">
        <v>2</v>
      </c>
      <c r="D1260" s="8">
        <v>3.51</v>
      </c>
      <c r="E1260" s="4">
        <v>2</v>
      </c>
      <c r="F1260" s="8">
        <v>5.26</v>
      </c>
      <c r="G1260" s="4">
        <v>0</v>
      </c>
      <c r="H1260" s="8">
        <v>0</v>
      </c>
      <c r="I1260" s="4">
        <v>0</v>
      </c>
    </row>
    <row r="1261" spans="1:9" x14ac:dyDescent="0.2">
      <c r="A1261" s="2">
        <v>4</v>
      </c>
      <c r="B1261" s="1" t="s">
        <v>308</v>
      </c>
      <c r="C1261" s="4">
        <v>2</v>
      </c>
      <c r="D1261" s="8">
        <v>3.51</v>
      </c>
      <c r="E1261" s="4">
        <v>0</v>
      </c>
      <c r="F1261" s="8">
        <v>0</v>
      </c>
      <c r="G1261" s="4">
        <v>2</v>
      </c>
      <c r="H1261" s="8">
        <v>11.76</v>
      </c>
      <c r="I1261" s="4">
        <v>0</v>
      </c>
    </row>
    <row r="1262" spans="1:9" x14ac:dyDescent="0.2">
      <c r="A1262" s="2">
        <v>4</v>
      </c>
      <c r="B1262" s="1" t="s">
        <v>179</v>
      </c>
      <c r="C1262" s="4">
        <v>2</v>
      </c>
      <c r="D1262" s="8">
        <v>3.51</v>
      </c>
      <c r="E1262" s="4">
        <v>2</v>
      </c>
      <c r="F1262" s="8">
        <v>5.26</v>
      </c>
      <c r="G1262" s="4">
        <v>0</v>
      </c>
      <c r="H1262" s="8">
        <v>0</v>
      </c>
      <c r="I1262" s="4">
        <v>0</v>
      </c>
    </row>
    <row r="1263" spans="1:9" x14ac:dyDescent="0.2">
      <c r="A1263" s="2">
        <v>4</v>
      </c>
      <c r="B1263" s="1" t="s">
        <v>180</v>
      </c>
      <c r="C1263" s="4">
        <v>2</v>
      </c>
      <c r="D1263" s="8">
        <v>3.51</v>
      </c>
      <c r="E1263" s="4">
        <v>2</v>
      </c>
      <c r="F1263" s="8">
        <v>5.26</v>
      </c>
      <c r="G1263" s="4">
        <v>0</v>
      </c>
      <c r="H1263" s="8">
        <v>0</v>
      </c>
      <c r="I1263" s="4">
        <v>0</v>
      </c>
    </row>
    <row r="1264" spans="1:9" x14ac:dyDescent="0.2">
      <c r="A1264" s="2">
        <v>12</v>
      </c>
      <c r="B1264" s="1" t="s">
        <v>252</v>
      </c>
      <c r="C1264" s="4">
        <v>1</v>
      </c>
      <c r="D1264" s="8">
        <v>1.75</v>
      </c>
      <c r="E1264" s="4">
        <v>0</v>
      </c>
      <c r="F1264" s="8">
        <v>0</v>
      </c>
      <c r="G1264" s="4">
        <v>1</v>
      </c>
      <c r="H1264" s="8">
        <v>5.88</v>
      </c>
      <c r="I1264" s="4">
        <v>0</v>
      </c>
    </row>
    <row r="1265" spans="1:9" x14ac:dyDescent="0.2">
      <c r="A1265" s="2">
        <v>12</v>
      </c>
      <c r="B1265" s="1" t="s">
        <v>210</v>
      </c>
      <c r="C1265" s="4">
        <v>1</v>
      </c>
      <c r="D1265" s="8">
        <v>1.75</v>
      </c>
      <c r="E1265" s="4">
        <v>1</v>
      </c>
      <c r="F1265" s="8">
        <v>2.63</v>
      </c>
      <c r="G1265" s="4">
        <v>0</v>
      </c>
      <c r="H1265" s="8">
        <v>0</v>
      </c>
      <c r="I1265" s="4">
        <v>0</v>
      </c>
    </row>
    <row r="1266" spans="1:9" x14ac:dyDescent="0.2">
      <c r="A1266" s="2">
        <v>12</v>
      </c>
      <c r="B1266" s="1" t="s">
        <v>253</v>
      </c>
      <c r="C1266" s="4">
        <v>1</v>
      </c>
      <c r="D1266" s="8">
        <v>1.75</v>
      </c>
      <c r="E1266" s="4">
        <v>1</v>
      </c>
      <c r="F1266" s="8">
        <v>2.63</v>
      </c>
      <c r="G1266" s="4">
        <v>0</v>
      </c>
      <c r="H1266" s="8">
        <v>0</v>
      </c>
      <c r="I1266" s="4">
        <v>0</v>
      </c>
    </row>
    <row r="1267" spans="1:9" x14ac:dyDescent="0.2">
      <c r="A1267" s="2">
        <v>12</v>
      </c>
      <c r="B1267" s="1" t="s">
        <v>224</v>
      </c>
      <c r="C1267" s="4">
        <v>1</v>
      </c>
      <c r="D1267" s="8">
        <v>1.75</v>
      </c>
      <c r="E1267" s="4">
        <v>1</v>
      </c>
      <c r="F1267" s="8">
        <v>2.63</v>
      </c>
      <c r="G1267" s="4">
        <v>0</v>
      </c>
      <c r="H1267" s="8">
        <v>0</v>
      </c>
      <c r="I1267" s="4">
        <v>0</v>
      </c>
    </row>
    <row r="1268" spans="1:9" x14ac:dyDescent="0.2">
      <c r="A1268" s="2">
        <v>12</v>
      </c>
      <c r="B1268" s="1" t="s">
        <v>201</v>
      </c>
      <c r="C1268" s="4">
        <v>1</v>
      </c>
      <c r="D1268" s="8">
        <v>1.75</v>
      </c>
      <c r="E1268" s="4">
        <v>1</v>
      </c>
      <c r="F1268" s="8">
        <v>2.63</v>
      </c>
      <c r="G1268" s="4">
        <v>0</v>
      </c>
      <c r="H1268" s="8">
        <v>0</v>
      </c>
      <c r="I1268" s="4">
        <v>0</v>
      </c>
    </row>
    <row r="1269" spans="1:9" x14ac:dyDescent="0.2">
      <c r="A1269" s="2">
        <v>12</v>
      </c>
      <c r="B1269" s="1" t="s">
        <v>177</v>
      </c>
      <c r="C1269" s="4">
        <v>1</v>
      </c>
      <c r="D1269" s="8">
        <v>1.75</v>
      </c>
      <c r="E1269" s="4">
        <v>1</v>
      </c>
      <c r="F1269" s="8">
        <v>2.63</v>
      </c>
      <c r="G1269" s="4">
        <v>0</v>
      </c>
      <c r="H1269" s="8">
        <v>0</v>
      </c>
      <c r="I1269" s="4">
        <v>0</v>
      </c>
    </row>
    <row r="1270" spans="1:9" x14ac:dyDescent="0.2">
      <c r="A1270" s="2">
        <v>12</v>
      </c>
      <c r="B1270" s="1" t="s">
        <v>307</v>
      </c>
      <c r="C1270" s="4">
        <v>1</v>
      </c>
      <c r="D1270" s="8">
        <v>1.75</v>
      </c>
      <c r="E1270" s="4">
        <v>1</v>
      </c>
      <c r="F1270" s="8">
        <v>2.63</v>
      </c>
      <c r="G1270" s="4">
        <v>0</v>
      </c>
      <c r="H1270" s="8">
        <v>0</v>
      </c>
      <c r="I1270" s="4">
        <v>0</v>
      </c>
    </row>
    <row r="1271" spans="1:9" x14ac:dyDescent="0.2">
      <c r="A1271" s="2">
        <v>12</v>
      </c>
      <c r="B1271" s="1" t="s">
        <v>235</v>
      </c>
      <c r="C1271" s="4">
        <v>1</v>
      </c>
      <c r="D1271" s="8">
        <v>1.75</v>
      </c>
      <c r="E1271" s="4">
        <v>0</v>
      </c>
      <c r="F1271" s="8">
        <v>0</v>
      </c>
      <c r="G1271" s="4">
        <v>1</v>
      </c>
      <c r="H1271" s="8">
        <v>5.88</v>
      </c>
      <c r="I1271" s="4">
        <v>0</v>
      </c>
    </row>
    <row r="1272" spans="1:9" x14ac:dyDescent="0.2">
      <c r="A1272" s="2">
        <v>12</v>
      </c>
      <c r="B1272" s="1" t="s">
        <v>309</v>
      </c>
      <c r="C1272" s="4">
        <v>1</v>
      </c>
      <c r="D1272" s="8">
        <v>1.75</v>
      </c>
      <c r="E1272" s="4">
        <v>0</v>
      </c>
      <c r="F1272" s="8">
        <v>0</v>
      </c>
      <c r="G1272" s="4">
        <v>1</v>
      </c>
      <c r="H1272" s="8">
        <v>5.88</v>
      </c>
      <c r="I1272" s="4">
        <v>0</v>
      </c>
    </row>
    <row r="1273" spans="1:9" x14ac:dyDescent="0.2">
      <c r="A1273" s="2">
        <v>12</v>
      </c>
      <c r="B1273" s="1" t="s">
        <v>305</v>
      </c>
      <c r="C1273" s="4">
        <v>1</v>
      </c>
      <c r="D1273" s="8">
        <v>1.75</v>
      </c>
      <c r="E1273" s="4">
        <v>0</v>
      </c>
      <c r="F1273" s="8">
        <v>0</v>
      </c>
      <c r="G1273" s="4">
        <v>1</v>
      </c>
      <c r="H1273" s="8">
        <v>5.88</v>
      </c>
      <c r="I1273" s="4">
        <v>0</v>
      </c>
    </row>
    <row r="1274" spans="1:9" x14ac:dyDescent="0.2">
      <c r="A1274" s="2">
        <v>12</v>
      </c>
      <c r="B1274" s="1" t="s">
        <v>310</v>
      </c>
      <c r="C1274" s="4">
        <v>1</v>
      </c>
      <c r="D1274" s="8">
        <v>1.75</v>
      </c>
      <c r="E1274" s="4">
        <v>1</v>
      </c>
      <c r="F1274" s="8">
        <v>2.63</v>
      </c>
      <c r="G1274" s="4">
        <v>0</v>
      </c>
      <c r="H1274" s="8">
        <v>0</v>
      </c>
      <c r="I1274" s="4">
        <v>0</v>
      </c>
    </row>
    <row r="1275" spans="1:9" x14ac:dyDescent="0.2">
      <c r="A1275" s="2">
        <v>12</v>
      </c>
      <c r="B1275" s="1" t="s">
        <v>196</v>
      </c>
      <c r="C1275" s="4">
        <v>1</v>
      </c>
      <c r="D1275" s="8">
        <v>1.75</v>
      </c>
      <c r="E1275" s="4">
        <v>1</v>
      </c>
      <c r="F1275" s="8">
        <v>2.63</v>
      </c>
      <c r="G1275" s="4">
        <v>0</v>
      </c>
      <c r="H1275" s="8">
        <v>0</v>
      </c>
      <c r="I1275" s="4">
        <v>0</v>
      </c>
    </row>
    <row r="1276" spans="1:9" x14ac:dyDescent="0.2">
      <c r="A1276" s="2">
        <v>12</v>
      </c>
      <c r="B1276" s="1" t="s">
        <v>226</v>
      </c>
      <c r="C1276" s="4">
        <v>1</v>
      </c>
      <c r="D1276" s="8">
        <v>1.75</v>
      </c>
      <c r="E1276" s="4">
        <v>1</v>
      </c>
      <c r="F1276" s="8">
        <v>2.63</v>
      </c>
      <c r="G1276" s="4">
        <v>0</v>
      </c>
      <c r="H1276" s="8">
        <v>0</v>
      </c>
      <c r="I1276" s="4">
        <v>0</v>
      </c>
    </row>
    <row r="1277" spans="1:9" x14ac:dyDescent="0.2">
      <c r="A1277" s="2">
        <v>12</v>
      </c>
      <c r="B1277" s="1" t="s">
        <v>233</v>
      </c>
      <c r="C1277" s="4">
        <v>1</v>
      </c>
      <c r="D1277" s="8">
        <v>1.75</v>
      </c>
      <c r="E1277" s="4">
        <v>0</v>
      </c>
      <c r="F1277" s="8">
        <v>0</v>
      </c>
      <c r="G1277" s="4">
        <v>1</v>
      </c>
      <c r="H1277" s="8">
        <v>5.88</v>
      </c>
      <c r="I1277" s="4">
        <v>0</v>
      </c>
    </row>
    <row r="1278" spans="1:9" x14ac:dyDescent="0.2">
      <c r="A1278" s="2">
        <v>12</v>
      </c>
      <c r="B1278" s="1" t="s">
        <v>227</v>
      </c>
      <c r="C1278" s="4">
        <v>1</v>
      </c>
      <c r="D1278" s="8">
        <v>1.75</v>
      </c>
      <c r="E1278" s="4">
        <v>1</v>
      </c>
      <c r="F1278" s="8">
        <v>2.63</v>
      </c>
      <c r="G1278" s="4">
        <v>0</v>
      </c>
      <c r="H1278" s="8">
        <v>0</v>
      </c>
      <c r="I1278" s="4">
        <v>0</v>
      </c>
    </row>
    <row r="1279" spans="1:9" x14ac:dyDescent="0.2">
      <c r="A1279" s="2">
        <v>12</v>
      </c>
      <c r="B1279" s="1" t="s">
        <v>214</v>
      </c>
      <c r="C1279" s="4">
        <v>1</v>
      </c>
      <c r="D1279" s="8">
        <v>1.75</v>
      </c>
      <c r="E1279" s="4">
        <v>0</v>
      </c>
      <c r="F1279" s="8">
        <v>0</v>
      </c>
      <c r="G1279" s="4">
        <v>1</v>
      </c>
      <c r="H1279" s="8">
        <v>5.88</v>
      </c>
      <c r="I1279" s="4">
        <v>0</v>
      </c>
    </row>
    <row r="1280" spans="1:9" x14ac:dyDescent="0.2">
      <c r="A1280" s="2">
        <v>12</v>
      </c>
      <c r="B1280" s="1" t="s">
        <v>197</v>
      </c>
      <c r="C1280" s="4">
        <v>1</v>
      </c>
      <c r="D1280" s="8">
        <v>1.75</v>
      </c>
      <c r="E1280" s="4">
        <v>0</v>
      </c>
      <c r="F1280" s="8">
        <v>0</v>
      </c>
      <c r="G1280" s="4">
        <v>1</v>
      </c>
      <c r="H1280" s="8">
        <v>5.88</v>
      </c>
      <c r="I1280" s="4">
        <v>0</v>
      </c>
    </row>
    <row r="1281" spans="1:9" x14ac:dyDescent="0.2">
      <c r="A1281" s="2">
        <v>12</v>
      </c>
      <c r="B1281" s="1" t="s">
        <v>205</v>
      </c>
      <c r="C1281" s="4">
        <v>1</v>
      </c>
      <c r="D1281" s="8">
        <v>1.75</v>
      </c>
      <c r="E1281" s="4">
        <v>0</v>
      </c>
      <c r="F1281" s="8">
        <v>0</v>
      </c>
      <c r="G1281" s="4">
        <v>1</v>
      </c>
      <c r="H1281" s="8">
        <v>5.88</v>
      </c>
      <c r="I1281" s="4">
        <v>0</v>
      </c>
    </row>
    <row r="1282" spans="1:9" x14ac:dyDescent="0.2">
      <c r="A1282" s="2">
        <v>12</v>
      </c>
      <c r="B1282" s="1" t="s">
        <v>222</v>
      </c>
      <c r="C1282" s="4">
        <v>1</v>
      </c>
      <c r="D1282" s="8">
        <v>1.75</v>
      </c>
      <c r="E1282" s="4">
        <v>1</v>
      </c>
      <c r="F1282" s="8">
        <v>2.63</v>
      </c>
      <c r="G1282" s="4">
        <v>0</v>
      </c>
      <c r="H1282" s="8">
        <v>0</v>
      </c>
      <c r="I1282" s="4">
        <v>0</v>
      </c>
    </row>
    <row r="1283" spans="1:9" x14ac:dyDescent="0.2">
      <c r="A1283" s="2">
        <v>12</v>
      </c>
      <c r="B1283" s="1" t="s">
        <v>188</v>
      </c>
      <c r="C1283" s="4">
        <v>1</v>
      </c>
      <c r="D1283" s="8">
        <v>1.75</v>
      </c>
      <c r="E1283" s="4">
        <v>1</v>
      </c>
      <c r="F1283" s="8">
        <v>2.63</v>
      </c>
      <c r="G1283" s="4">
        <v>0</v>
      </c>
      <c r="H1283" s="8">
        <v>0</v>
      </c>
      <c r="I1283" s="4">
        <v>0</v>
      </c>
    </row>
    <row r="1284" spans="1:9" x14ac:dyDescent="0.2">
      <c r="A1284" s="2">
        <v>12</v>
      </c>
      <c r="B1284" s="1" t="s">
        <v>189</v>
      </c>
      <c r="C1284" s="4">
        <v>1</v>
      </c>
      <c r="D1284" s="8">
        <v>1.75</v>
      </c>
      <c r="E1284" s="4">
        <v>0</v>
      </c>
      <c r="F1284" s="8">
        <v>0</v>
      </c>
      <c r="G1284" s="4">
        <v>1</v>
      </c>
      <c r="H1284" s="8">
        <v>5.88</v>
      </c>
      <c r="I1284" s="4">
        <v>0</v>
      </c>
    </row>
    <row r="1285" spans="1:9" x14ac:dyDescent="0.2">
      <c r="A1285" s="2">
        <v>12</v>
      </c>
      <c r="B1285" s="1" t="s">
        <v>248</v>
      </c>
      <c r="C1285" s="4">
        <v>1</v>
      </c>
      <c r="D1285" s="8">
        <v>1.75</v>
      </c>
      <c r="E1285" s="4">
        <v>1</v>
      </c>
      <c r="F1285" s="8">
        <v>2.63</v>
      </c>
      <c r="G1285" s="4">
        <v>0</v>
      </c>
      <c r="H1285" s="8">
        <v>0</v>
      </c>
      <c r="I1285" s="4">
        <v>0</v>
      </c>
    </row>
    <row r="1286" spans="1:9" x14ac:dyDescent="0.2">
      <c r="A1286" s="2">
        <v>12</v>
      </c>
      <c r="B1286" s="1" t="s">
        <v>199</v>
      </c>
      <c r="C1286" s="4">
        <v>1</v>
      </c>
      <c r="D1286" s="8">
        <v>1.75</v>
      </c>
      <c r="E1286" s="4">
        <v>1</v>
      </c>
      <c r="F1286" s="8">
        <v>2.63</v>
      </c>
      <c r="G1286" s="4">
        <v>0</v>
      </c>
      <c r="H1286" s="8">
        <v>0</v>
      </c>
      <c r="I1286" s="4">
        <v>0</v>
      </c>
    </row>
    <row r="1287" spans="1:9" x14ac:dyDescent="0.2">
      <c r="A1287" s="2">
        <v>12</v>
      </c>
      <c r="B1287" s="1" t="s">
        <v>190</v>
      </c>
      <c r="C1287" s="4">
        <v>1</v>
      </c>
      <c r="D1287" s="8">
        <v>1.75</v>
      </c>
      <c r="E1287" s="4">
        <v>1</v>
      </c>
      <c r="F1287" s="8">
        <v>2.63</v>
      </c>
      <c r="G1287" s="4">
        <v>0</v>
      </c>
      <c r="H1287" s="8">
        <v>0</v>
      </c>
      <c r="I1287" s="4">
        <v>0</v>
      </c>
    </row>
    <row r="1288" spans="1:9" x14ac:dyDescent="0.2">
      <c r="A1288" s="2">
        <v>12</v>
      </c>
      <c r="B1288" s="1" t="s">
        <v>191</v>
      </c>
      <c r="C1288" s="4">
        <v>1</v>
      </c>
      <c r="D1288" s="8">
        <v>1.75</v>
      </c>
      <c r="E1288" s="4">
        <v>1</v>
      </c>
      <c r="F1288" s="8">
        <v>2.63</v>
      </c>
      <c r="G1288" s="4">
        <v>0</v>
      </c>
      <c r="H1288" s="8">
        <v>0</v>
      </c>
      <c r="I1288" s="4">
        <v>0</v>
      </c>
    </row>
    <row r="1289" spans="1:9" x14ac:dyDescent="0.2">
      <c r="A1289" s="2">
        <v>12</v>
      </c>
      <c r="B1289" s="1" t="s">
        <v>228</v>
      </c>
      <c r="C1289" s="4">
        <v>1</v>
      </c>
      <c r="D1289" s="8">
        <v>1.75</v>
      </c>
      <c r="E1289" s="4">
        <v>1</v>
      </c>
      <c r="F1289" s="8">
        <v>2.63</v>
      </c>
      <c r="G1289" s="4">
        <v>0</v>
      </c>
      <c r="H1289" s="8">
        <v>0</v>
      </c>
      <c r="I1289" s="4">
        <v>0</v>
      </c>
    </row>
    <row r="1290" spans="1:9" x14ac:dyDescent="0.2">
      <c r="A1290" s="2">
        <v>12</v>
      </c>
      <c r="B1290" s="1" t="s">
        <v>192</v>
      </c>
      <c r="C1290" s="4">
        <v>1</v>
      </c>
      <c r="D1290" s="8">
        <v>1.75</v>
      </c>
      <c r="E1290" s="4">
        <v>1</v>
      </c>
      <c r="F1290" s="8">
        <v>2.63</v>
      </c>
      <c r="G1290" s="4">
        <v>0</v>
      </c>
      <c r="H1290" s="8">
        <v>0</v>
      </c>
      <c r="I1290" s="4">
        <v>0</v>
      </c>
    </row>
    <row r="1291" spans="1:9" x14ac:dyDescent="0.2">
      <c r="A1291" s="2">
        <v>12</v>
      </c>
      <c r="B1291" s="1" t="s">
        <v>278</v>
      </c>
      <c r="C1291" s="4">
        <v>1</v>
      </c>
      <c r="D1291" s="8">
        <v>1.75</v>
      </c>
      <c r="E1291" s="4">
        <v>1</v>
      </c>
      <c r="F1291" s="8">
        <v>2.63</v>
      </c>
      <c r="G1291" s="4">
        <v>0</v>
      </c>
      <c r="H1291" s="8">
        <v>0</v>
      </c>
      <c r="I1291" s="4">
        <v>0</v>
      </c>
    </row>
    <row r="1292" spans="1:9" x14ac:dyDescent="0.2">
      <c r="A1292" s="2">
        <v>12</v>
      </c>
      <c r="B1292" s="1" t="s">
        <v>193</v>
      </c>
      <c r="C1292" s="4">
        <v>1</v>
      </c>
      <c r="D1292" s="8">
        <v>1.75</v>
      </c>
      <c r="E1292" s="4">
        <v>1</v>
      </c>
      <c r="F1292" s="8">
        <v>2.63</v>
      </c>
      <c r="G1292" s="4">
        <v>0</v>
      </c>
      <c r="H1292" s="8">
        <v>0</v>
      </c>
      <c r="I1292" s="4">
        <v>0</v>
      </c>
    </row>
    <row r="1293" spans="1:9" x14ac:dyDescent="0.2">
      <c r="A1293" s="2">
        <v>12</v>
      </c>
      <c r="B1293" s="1" t="s">
        <v>264</v>
      </c>
      <c r="C1293" s="4">
        <v>1</v>
      </c>
      <c r="D1293" s="8">
        <v>1.75</v>
      </c>
      <c r="E1293" s="4">
        <v>0</v>
      </c>
      <c r="F1293" s="8">
        <v>0</v>
      </c>
      <c r="G1293" s="4">
        <v>0</v>
      </c>
      <c r="H1293" s="8">
        <v>0</v>
      </c>
      <c r="I1293" s="4">
        <v>0</v>
      </c>
    </row>
    <row r="1294" spans="1:9" x14ac:dyDescent="0.2">
      <c r="A1294" s="2">
        <v>12</v>
      </c>
      <c r="B1294" s="1" t="s">
        <v>290</v>
      </c>
      <c r="C1294" s="4">
        <v>1</v>
      </c>
      <c r="D1294" s="8">
        <v>1.75</v>
      </c>
      <c r="E1294" s="4">
        <v>0</v>
      </c>
      <c r="F1294" s="8">
        <v>0</v>
      </c>
      <c r="G1294" s="4">
        <v>0</v>
      </c>
      <c r="H1294" s="8">
        <v>0</v>
      </c>
      <c r="I1294" s="4">
        <v>0</v>
      </c>
    </row>
    <row r="1295" spans="1:9" x14ac:dyDescent="0.2">
      <c r="A1295" s="1"/>
      <c r="C1295" s="4"/>
      <c r="D1295" s="8"/>
      <c r="E1295" s="4"/>
      <c r="F1295" s="8"/>
      <c r="G1295" s="4"/>
      <c r="H1295" s="8"/>
      <c r="I1295" s="4"/>
    </row>
    <row r="1296" spans="1:9" x14ac:dyDescent="0.2">
      <c r="A1296" s="1" t="s">
        <v>50</v>
      </c>
      <c r="C1296" s="4"/>
      <c r="D1296" s="8"/>
      <c r="E1296" s="4"/>
      <c r="F1296" s="8"/>
      <c r="G1296" s="4"/>
      <c r="H1296" s="8"/>
      <c r="I1296" s="4"/>
    </row>
    <row r="1297" spans="1:9" x14ac:dyDescent="0.2">
      <c r="A1297" s="2">
        <v>1</v>
      </c>
      <c r="B1297" s="1" t="s">
        <v>210</v>
      </c>
      <c r="C1297" s="4">
        <v>11</v>
      </c>
      <c r="D1297" s="8">
        <v>5.98</v>
      </c>
      <c r="E1297" s="4">
        <v>10</v>
      </c>
      <c r="F1297" s="8">
        <v>7.94</v>
      </c>
      <c r="G1297" s="4">
        <v>1</v>
      </c>
      <c r="H1297" s="8">
        <v>1.82</v>
      </c>
      <c r="I1297" s="4">
        <v>0</v>
      </c>
    </row>
    <row r="1298" spans="1:9" x14ac:dyDescent="0.2">
      <c r="A1298" s="2">
        <v>2</v>
      </c>
      <c r="B1298" s="1" t="s">
        <v>261</v>
      </c>
      <c r="C1298" s="4">
        <v>8</v>
      </c>
      <c r="D1298" s="8">
        <v>4.3499999999999996</v>
      </c>
      <c r="E1298" s="4">
        <v>5</v>
      </c>
      <c r="F1298" s="8">
        <v>3.97</v>
      </c>
      <c r="G1298" s="4">
        <v>3</v>
      </c>
      <c r="H1298" s="8">
        <v>5.45</v>
      </c>
      <c r="I1298" s="4">
        <v>0</v>
      </c>
    </row>
    <row r="1299" spans="1:9" x14ac:dyDescent="0.2">
      <c r="A1299" s="2">
        <v>2</v>
      </c>
      <c r="B1299" s="1" t="s">
        <v>178</v>
      </c>
      <c r="C1299" s="4">
        <v>8</v>
      </c>
      <c r="D1299" s="8">
        <v>4.3499999999999996</v>
      </c>
      <c r="E1299" s="4">
        <v>4</v>
      </c>
      <c r="F1299" s="8">
        <v>3.17</v>
      </c>
      <c r="G1299" s="4">
        <v>4</v>
      </c>
      <c r="H1299" s="8">
        <v>7.27</v>
      </c>
      <c r="I1299" s="4">
        <v>0</v>
      </c>
    </row>
    <row r="1300" spans="1:9" x14ac:dyDescent="0.2">
      <c r="A1300" s="2">
        <v>2</v>
      </c>
      <c r="B1300" s="1" t="s">
        <v>191</v>
      </c>
      <c r="C1300" s="4">
        <v>8</v>
      </c>
      <c r="D1300" s="8">
        <v>4.3499999999999996</v>
      </c>
      <c r="E1300" s="4">
        <v>8</v>
      </c>
      <c r="F1300" s="8">
        <v>6.35</v>
      </c>
      <c r="G1300" s="4">
        <v>0</v>
      </c>
      <c r="H1300" s="8">
        <v>0</v>
      </c>
      <c r="I1300" s="4">
        <v>0</v>
      </c>
    </row>
    <row r="1301" spans="1:9" x14ac:dyDescent="0.2">
      <c r="A1301" s="2">
        <v>5</v>
      </c>
      <c r="B1301" s="1" t="s">
        <v>180</v>
      </c>
      <c r="C1301" s="4">
        <v>7</v>
      </c>
      <c r="D1301" s="8">
        <v>3.8</v>
      </c>
      <c r="E1301" s="4">
        <v>7</v>
      </c>
      <c r="F1301" s="8">
        <v>5.56</v>
      </c>
      <c r="G1301" s="4">
        <v>0</v>
      </c>
      <c r="H1301" s="8">
        <v>0</v>
      </c>
      <c r="I1301" s="4">
        <v>0</v>
      </c>
    </row>
    <row r="1302" spans="1:9" x14ac:dyDescent="0.2">
      <c r="A1302" s="2">
        <v>5</v>
      </c>
      <c r="B1302" s="1" t="s">
        <v>187</v>
      </c>
      <c r="C1302" s="4">
        <v>7</v>
      </c>
      <c r="D1302" s="8">
        <v>3.8</v>
      </c>
      <c r="E1302" s="4">
        <v>6</v>
      </c>
      <c r="F1302" s="8">
        <v>4.76</v>
      </c>
      <c r="G1302" s="4">
        <v>1</v>
      </c>
      <c r="H1302" s="8">
        <v>1.82</v>
      </c>
      <c r="I1302" s="4">
        <v>0</v>
      </c>
    </row>
    <row r="1303" spans="1:9" x14ac:dyDescent="0.2">
      <c r="A1303" s="2">
        <v>7</v>
      </c>
      <c r="B1303" s="1" t="s">
        <v>174</v>
      </c>
      <c r="C1303" s="4">
        <v>5</v>
      </c>
      <c r="D1303" s="8">
        <v>2.72</v>
      </c>
      <c r="E1303" s="4">
        <v>3</v>
      </c>
      <c r="F1303" s="8">
        <v>2.38</v>
      </c>
      <c r="G1303" s="4">
        <v>2</v>
      </c>
      <c r="H1303" s="8">
        <v>3.64</v>
      </c>
      <c r="I1303" s="4">
        <v>0</v>
      </c>
    </row>
    <row r="1304" spans="1:9" x14ac:dyDescent="0.2">
      <c r="A1304" s="2">
        <v>7</v>
      </c>
      <c r="B1304" s="1" t="s">
        <v>176</v>
      </c>
      <c r="C1304" s="4">
        <v>5</v>
      </c>
      <c r="D1304" s="8">
        <v>2.72</v>
      </c>
      <c r="E1304" s="4">
        <v>1</v>
      </c>
      <c r="F1304" s="8">
        <v>0.79</v>
      </c>
      <c r="G1304" s="4">
        <v>4</v>
      </c>
      <c r="H1304" s="8">
        <v>7.27</v>
      </c>
      <c r="I1304" s="4">
        <v>0</v>
      </c>
    </row>
    <row r="1305" spans="1:9" x14ac:dyDescent="0.2">
      <c r="A1305" s="2">
        <v>7</v>
      </c>
      <c r="B1305" s="1" t="s">
        <v>214</v>
      </c>
      <c r="C1305" s="4">
        <v>5</v>
      </c>
      <c r="D1305" s="8">
        <v>2.72</v>
      </c>
      <c r="E1305" s="4">
        <v>4</v>
      </c>
      <c r="F1305" s="8">
        <v>3.17</v>
      </c>
      <c r="G1305" s="4">
        <v>1</v>
      </c>
      <c r="H1305" s="8">
        <v>1.82</v>
      </c>
      <c r="I1305" s="4">
        <v>0</v>
      </c>
    </row>
    <row r="1306" spans="1:9" x14ac:dyDescent="0.2">
      <c r="A1306" s="2">
        <v>7</v>
      </c>
      <c r="B1306" s="1" t="s">
        <v>183</v>
      </c>
      <c r="C1306" s="4">
        <v>5</v>
      </c>
      <c r="D1306" s="8">
        <v>2.72</v>
      </c>
      <c r="E1306" s="4">
        <v>5</v>
      </c>
      <c r="F1306" s="8">
        <v>3.97</v>
      </c>
      <c r="G1306" s="4">
        <v>0</v>
      </c>
      <c r="H1306" s="8">
        <v>0</v>
      </c>
      <c r="I1306" s="4">
        <v>0</v>
      </c>
    </row>
    <row r="1307" spans="1:9" x14ac:dyDescent="0.2">
      <c r="A1307" s="2">
        <v>7</v>
      </c>
      <c r="B1307" s="1" t="s">
        <v>271</v>
      </c>
      <c r="C1307" s="4">
        <v>5</v>
      </c>
      <c r="D1307" s="8">
        <v>2.72</v>
      </c>
      <c r="E1307" s="4">
        <v>0</v>
      </c>
      <c r="F1307" s="8">
        <v>0</v>
      </c>
      <c r="G1307" s="4">
        <v>5</v>
      </c>
      <c r="H1307" s="8">
        <v>9.09</v>
      </c>
      <c r="I1307" s="4">
        <v>0</v>
      </c>
    </row>
    <row r="1308" spans="1:9" x14ac:dyDescent="0.2">
      <c r="A1308" s="2">
        <v>12</v>
      </c>
      <c r="B1308" s="1" t="s">
        <v>179</v>
      </c>
      <c r="C1308" s="4">
        <v>4</v>
      </c>
      <c r="D1308" s="8">
        <v>2.17</v>
      </c>
      <c r="E1308" s="4">
        <v>2</v>
      </c>
      <c r="F1308" s="8">
        <v>1.59</v>
      </c>
      <c r="G1308" s="4">
        <v>2</v>
      </c>
      <c r="H1308" s="8">
        <v>3.64</v>
      </c>
      <c r="I1308" s="4">
        <v>0</v>
      </c>
    </row>
    <row r="1309" spans="1:9" x14ac:dyDescent="0.2">
      <c r="A1309" s="2">
        <v>13</v>
      </c>
      <c r="B1309" s="1" t="s">
        <v>175</v>
      </c>
      <c r="C1309" s="4">
        <v>3</v>
      </c>
      <c r="D1309" s="8">
        <v>1.63</v>
      </c>
      <c r="E1309" s="4">
        <v>1</v>
      </c>
      <c r="F1309" s="8">
        <v>0.79</v>
      </c>
      <c r="G1309" s="4">
        <v>2</v>
      </c>
      <c r="H1309" s="8">
        <v>3.64</v>
      </c>
      <c r="I1309" s="4">
        <v>0</v>
      </c>
    </row>
    <row r="1310" spans="1:9" x14ac:dyDescent="0.2">
      <c r="A1310" s="2">
        <v>13</v>
      </c>
      <c r="B1310" s="1" t="s">
        <v>208</v>
      </c>
      <c r="C1310" s="4">
        <v>3</v>
      </c>
      <c r="D1310" s="8">
        <v>1.63</v>
      </c>
      <c r="E1310" s="4">
        <v>2</v>
      </c>
      <c r="F1310" s="8">
        <v>1.59</v>
      </c>
      <c r="G1310" s="4">
        <v>1</v>
      </c>
      <c r="H1310" s="8">
        <v>1.82</v>
      </c>
      <c r="I1310" s="4">
        <v>0</v>
      </c>
    </row>
    <row r="1311" spans="1:9" x14ac:dyDescent="0.2">
      <c r="A1311" s="2">
        <v>13</v>
      </c>
      <c r="B1311" s="1" t="s">
        <v>224</v>
      </c>
      <c r="C1311" s="4">
        <v>3</v>
      </c>
      <c r="D1311" s="8">
        <v>1.63</v>
      </c>
      <c r="E1311" s="4">
        <v>2</v>
      </c>
      <c r="F1311" s="8">
        <v>1.59</v>
      </c>
      <c r="G1311" s="4">
        <v>1</v>
      </c>
      <c r="H1311" s="8">
        <v>1.82</v>
      </c>
      <c r="I1311" s="4">
        <v>0</v>
      </c>
    </row>
    <row r="1312" spans="1:9" x14ac:dyDescent="0.2">
      <c r="A1312" s="2">
        <v>13</v>
      </c>
      <c r="B1312" s="1" t="s">
        <v>201</v>
      </c>
      <c r="C1312" s="4">
        <v>3</v>
      </c>
      <c r="D1312" s="8">
        <v>1.63</v>
      </c>
      <c r="E1312" s="4">
        <v>1</v>
      </c>
      <c r="F1312" s="8">
        <v>0.79</v>
      </c>
      <c r="G1312" s="4">
        <v>2</v>
      </c>
      <c r="H1312" s="8">
        <v>3.64</v>
      </c>
      <c r="I1312" s="4">
        <v>0</v>
      </c>
    </row>
    <row r="1313" spans="1:9" x14ac:dyDescent="0.2">
      <c r="A1313" s="2">
        <v>13</v>
      </c>
      <c r="B1313" s="1" t="s">
        <v>286</v>
      </c>
      <c r="C1313" s="4">
        <v>3</v>
      </c>
      <c r="D1313" s="8">
        <v>1.63</v>
      </c>
      <c r="E1313" s="4">
        <v>3</v>
      </c>
      <c r="F1313" s="8">
        <v>2.38</v>
      </c>
      <c r="G1313" s="4">
        <v>0</v>
      </c>
      <c r="H1313" s="8">
        <v>0</v>
      </c>
      <c r="I1313" s="4">
        <v>0</v>
      </c>
    </row>
    <row r="1314" spans="1:9" x14ac:dyDescent="0.2">
      <c r="A1314" s="2">
        <v>13</v>
      </c>
      <c r="B1314" s="1" t="s">
        <v>311</v>
      </c>
      <c r="C1314" s="4">
        <v>3</v>
      </c>
      <c r="D1314" s="8">
        <v>1.63</v>
      </c>
      <c r="E1314" s="4">
        <v>0</v>
      </c>
      <c r="F1314" s="8">
        <v>0</v>
      </c>
      <c r="G1314" s="4">
        <v>3</v>
      </c>
      <c r="H1314" s="8">
        <v>5.45</v>
      </c>
      <c r="I1314" s="4">
        <v>0</v>
      </c>
    </row>
    <row r="1315" spans="1:9" x14ac:dyDescent="0.2">
      <c r="A1315" s="2">
        <v>13</v>
      </c>
      <c r="B1315" s="1" t="s">
        <v>242</v>
      </c>
      <c r="C1315" s="4">
        <v>3</v>
      </c>
      <c r="D1315" s="8">
        <v>1.63</v>
      </c>
      <c r="E1315" s="4">
        <v>3</v>
      </c>
      <c r="F1315" s="8">
        <v>2.38</v>
      </c>
      <c r="G1315" s="4">
        <v>0</v>
      </c>
      <c r="H1315" s="8">
        <v>0</v>
      </c>
      <c r="I1315" s="4">
        <v>0</v>
      </c>
    </row>
    <row r="1316" spans="1:9" x14ac:dyDescent="0.2">
      <c r="A1316" s="2">
        <v>13</v>
      </c>
      <c r="B1316" s="1" t="s">
        <v>245</v>
      </c>
      <c r="C1316" s="4">
        <v>3</v>
      </c>
      <c r="D1316" s="8">
        <v>1.63</v>
      </c>
      <c r="E1316" s="4">
        <v>3</v>
      </c>
      <c r="F1316" s="8">
        <v>2.38</v>
      </c>
      <c r="G1316" s="4">
        <v>0</v>
      </c>
      <c r="H1316" s="8">
        <v>0</v>
      </c>
      <c r="I1316" s="4">
        <v>0</v>
      </c>
    </row>
    <row r="1317" spans="1:9" x14ac:dyDescent="0.2">
      <c r="A1317" s="2">
        <v>13</v>
      </c>
      <c r="B1317" s="1" t="s">
        <v>199</v>
      </c>
      <c r="C1317" s="4">
        <v>3</v>
      </c>
      <c r="D1317" s="8">
        <v>1.63</v>
      </c>
      <c r="E1317" s="4">
        <v>2</v>
      </c>
      <c r="F1317" s="8">
        <v>1.59</v>
      </c>
      <c r="G1317" s="4">
        <v>1</v>
      </c>
      <c r="H1317" s="8">
        <v>1.82</v>
      </c>
      <c r="I1317" s="4">
        <v>0</v>
      </c>
    </row>
    <row r="1318" spans="1:9" x14ac:dyDescent="0.2">
      <c r="A1318" s="2">
        <v>13</v>
      </c>
      <c r="B1318" s="1" t="s">
        <v>190</v>
      </c>
      <c r="C1318" s="4">
        <v>3</v>
      </c>
      <c r="D1318" s="8">
        <v>1.63</v>
      </c>
      <c r="E1318" s="4">
        <v>3</v>
      </c>
      <c r="F1318" s="8">
        <v>2.38</v>
      </c>
      <c r="G1318" s="4">
        <v>0</v>
      </c>
      <c r="H1318" s="8">
        <v>0</v>
      </c>
      <c r="I1318" s="4">
        <v>0</v>
      </c>
    </row>
    <row r="1319" spans="1:9" x14ac:dyDescent="0.2">
      <c r="A1319" s="2">
        <v>13</v>
      </c>
      <c r="B1319" s="1" t="s">
        <v>193</v>
      </c>
      <c r="C1319" s="4">
        <v>3</v>
      </c>
      <c r="D1319" s="8">
        <v>1.63</v>
      </c>
      <c r="E1319" s="4">
        <v>3</v>
      </c>
      <c r="F1319" s="8">
        <v>2.38</v>
      </c>
      <c r="G1319" s="4">
        <v>0</v>
      </c>
      <c r="H1319" s="8">
        <v>0</v>
      </c>
      <c r="I1319" s="4">
        <v>0</v>
      </c>
    </row>
    <row r="1320" spans="1:9" x14ac:dyDescent="0.2">
      <c r="A1320" s="2">
        <v>13</v>
      </c>
      <c r="B1320" s="1" t="s">
        <v>270</v>
      </c>
      <c r="C1320" s="4">
        <v>3</v>
      </c>
      <c r="D1320" s="8">
        <v>1.63</v>
      </c>
      <c r="E1320" s="4">
        <v>3</v>
      </c>
      <c r="F1320" s="8">
        <v>2.38</v>
      </c>
      <c r="G1320" s="4">
        <v>0</v>
      </c>
      <c r="H1320" s="8">
        <v>0</v>
      </c>
      <c r="I1320" s="4">
        <v>0</v>
      </c>
    </row>
    <row r="1321" spans="1:9" x14ac:dyDescent="0.2">
      <c r="A1321" s="1"/>
      <c r="C1321" s="4"/>
      <c r="D1321" s="8"/>
      <c r="E1321" s="4"/>
      <c r="F1321" s="8"/>
      <c r="G1321" s="4"/>
      <c r="H1321" s="8"/>
      <c r="I1321" s="4"/>
    </row>
    <row r="1322" spans="1:9" x14ac:dyDescent="0.2">
      <c r="A1322" s="1" t="s">
        <v>51</v>
      </c>
      <c r="C1322" s="4"/>
      <c r="D1322" s="8"/>
      <c r="E1322" s="4"/>
      <c r="F1322" s="8"/>
      <c r="G1322" s="4"/>
      <c r="H1322" s="8"/>
      <c r="I1322" s="4"/>
    </row>
    <row r="1323" spans="1:9" x14ac:dyDescent="0.2">
      <c r="A1323" s="2">
        <v>1</v>
      </c>
      <c r="B1323" s="1" t="s">
        <v>174</v>
      </c>
      <c r="C1323" s="4">
        <v>8</v>
      </c>
      <c r="D1323" s="8">
        <v>5.26</v>
      </c>
      <c r="E1323" s="4">
        <v>2</v>
      </c>
      <c r="F1323" s="8">
        <v>2.33</v>
      </c>
      <c r="G1323" s="4">
        <v>6</v>
      </c>
      <c r="H1323" s="8">
        <v>10</v>
      </c>
      <c r="I1323" s="4">
        <v>0</v>
      </c>
    </row>
    <row r="1324" spans="1:9" x14ac:dyDescent="0.2">
      <c r="A1324" s="2">
        <v>2</v>
      </c>
      <c r="B1324" s="1" t="s">
        <v>175</v>
      </c>
      <c r="C1324" s="4">
        <v>7</v>
      </c>
      <c r="D1324" s="8">
        <v>4.6100000000000003</v>
      </c>
      <c r="E1324" s="4">
        <v>4</v>
      </c>
      <c r="F1324" s="8">
        <v>4.6500000000000004</v>
      </c>
      <c r="G1324" s="4">
        <v>3</v>
      </c>
      <c r="H1324" s="8">
        <v>5</v>
      </c>
      <c r="I1324" s="4">
        <v>0</v>
      </c>
    </row>
    <row r="1325" spans="1:9" x14ac:dyDescent="0.2">
      <c r="A1325" s="2">
        <v>3</v>
      </c>
      <c r="B1325" s="1" t="s">
        <v>191</v>
      </c>
      <c r="C1325" s="4">
        <v>6</v>
      </c>
      <c r="D1325" s="8">
        <v>3.95</v>
      </c>
      <c r="E1325" s="4">
        <v>5</v>
      </c>
      <c r="F1325" s="8">
        <v>5.81</v>
      </c>
      <c r="G1325" s="4">
        <v>1</v>
      </c>
      <c r="H1325" s="8">
        <v>1.67</v>
      </c>
      <c r="I1325" s="4">
        <v>0</v>
      </c>
    </row>
    <row r="1326" spans="1:9" x14ac:dyDescent="0.2">
      <c r="A1326" s="2">
        <v>4</v>
      </c>
      <c r="B1326" s="1" t="s">
        <v>188</v>
      </c>
      <c r="C1326" s="4">
        <v>5</v>
      </c>
      <c r="D1326" s="8">
        <v>3.29</v>
      </c>
      <c r="E1326" s="4">
        <v>5</v>
      </c>
      <c r="F1326" s="8">
        <v>5.81</v>
      </c>
      <c r="G1326" s="4">
        <v>0</v>
      </c>
      <c r="H1326" s="8">
        <v>0</v>
      </c>
      <c r="I1326" s="4">
        <v>0</v>
      </c>
    </row>
    <row r="1327" spans="1:9" x14ac:dyDescent="0.2">
      <c r="A1327" s="2">
        <v>4</v>
      </c>
      <c r="B1327" s="1" t="s">
        <v>193</v>
      </c>
      <c r="C1327" s="4">
        <v>5</v>
      </c>
      <c r="D1327" s="8">
        <v>3.29</v>
      </c>
      <c r="E1327" s="4">
        <v>5</v>
      </c>
      <c r="F1327" s="8">
        <v>5.81</v>
      </c>
      <c r="G1327" s="4">
        <v>0</v>
      </c>
      <c r="H1327" s="8">
        <v>0</v>
      </c>
      <c r="I1327" s="4">
        <v>0</v>
      </c>
    </row>
    <row r="1328" spans="1:9" x14ac:dyDescent="0.2">
      <c r="A1328" s="2">
        <v>6</v>
      </c>
      <c r="B1328" s="1" t="s">
        <v>176</v>
      </c>
      <c r="C1328" s="4">
        <v>4</v>
      </c>
      <c r="D1328" s="8">
        <v>2.63</v>
      </c>
      <c r="E1328" s="4">
        <v>2</v>
      </c>
      <c r="F1328" s="8">
        <v>2.33</v>
      </c>
      <c r="G1328" s="4">
        <v>2</v>
      </c>
      <c r="H1328" s="8">
        <v>3.33</v>
      </c>
      <c r="I1328" s="4">
        <v>0</v>
      </c>
    </row>
    <row r="1329" spans="1:9" x14ac:dyDescent="0.2">
      <c r="A1329" s="2">
        <v>6</v>
      </c>
      <c r="B1329" s="1" t="s">
        <v>210</v>
      </c>
      <c r="C1329" s="4">
        <v>4</v>
      </c>
      <c r="D1329" s="8">
        <v>2.63</v>
      </c>
      <c r="E1329" s="4">
        <v>4</v>
      </c>
      <c r="F1329" s="8">
        <v>4.6500000000000004</v>
      </c>
      <c r="G1329" s="4">
        <v>0</v>
      </c>
      <c r="H1329" s="8">
        <v>0</v>
      </c>
      <c r="I1329" s="4">
        <v>0</v>
      </c>
    </row>
    <row r="1330" spans="1:9" x14ac:dyDescent="0.2">
      <c r="A1330" s="2">
        <v>6</v>
      </c>
      <c r="B1330" s="1" t="s">
        <v>201</v>
      </c>
      <c r="C1330" s="4">
        <v>4</v>
      </c>
      <c r="D1330" s="8">
        <v>2.63</v>
      </c>
      <c r="E1330" s="4">
        <v>3</v>
      </c>
      <c r="F1330" s="8">
        <v>3.49</v>
      </c>
      <c r="G1330" s="4">
        <v>1</v>
      </c>
      <c r="H1330" s="8">
        <v>1.67</v>
      </c>
      <c r="I1330" s="4">
        <v>0</v>
      </c>
    </row>
    <row r="1331" spans="1:9" x14ac:dyDescent="0.2">
      <c r="A1331" s="2">
        <v>6</v>
      </c>
      <c r="B1331" s="1" t="s">
        <v>286</v>
      </c>
      <c r="C1331" s="4">
        <v>4</v>
      </c>
      <c r="D1331" s="8">
        <v>2.63</v>
      </c>
      <c r="E1331" s="4">
        <v>3</v>
      </c>
      <c r="F1331" s="8">
        <v>3.49</v>
      </c>
      <c r="G1331" s="4">
        <v>1</v>
      </c>
      <c r="H1331" s="8">
        <v>1.67</v>
      </c>
      <c r="I1331" s="4">
        <v>0</v>
      </c>
    </row>
    <row r="1332" spans="1:9" x14ac:dyDescent="0.2">
      <c r="A1332" s="2">
        <v>6</v>
      </c>
      <c r="B1332" s="1" t="s">
        <v>187</v>
      </c>
      <c r="C1332" s="4">
        <v>4</v>
      </c>
      <c r="D1332" s="8">
        <v>2.63</v>
      </c>
      <c r="E1332" s="4">
        <v>4</v>
      </c>
      <c r="F1332" s="8">
        <v>4.6500000000000004</v>
      </c>
      <c r="G1332" s="4">
        <v>0</v>
      </c>
      <c r="H1332" s="8">
        <v>0</v>
      </c>
      <c r="I1332" s="4">
        <v>0</v>
      </c>
    </row>
    <row r="1333" spans="1:9" x14ac:dyDescent="0.2">
      <c r="A1333" s="2">
        <v>11</v>
      </c>
      <c r="B1333" s="1" t="s">
        <v>181</v>
      </c>
      <c r="C1333" s="4">
        <v>3</v>
      </c>
      <c r="D1333" s="8">
        <v>1.97</v>
      </c>
      <c r="E1333" s="4">
        <v>3</v>
      </c>
      <c r="F1333" s="8">
        <v>3.49</v>
      </c>
      <c r="G1333" s="4">
        <v>0</v>
      </c>
      <c r="H1333" s="8">
        <v>0</v>
      </c>
      <c r="I1333" s="4">
        <v>0</v>
      </c>
    </row>
    <row r="1334" spans="1:9" x14ac:dyDescent="0.2">
      <c r="A1334" s="2">
        <v>11</v>
      </c>
      <c r="B1334" s="1" t="s">
        <v>183</v>
      </c>
      <c r="C1334" s="4">
        <v>3</v>
      </c>
      <c r="D1334" s="8">
        <v>1.97</v>
      </c>
      <c r="E1334" s="4">
        <v>1</v>
      </c>
      <c r="F1334" s="8">
        <v>1.1599999999999999</v>
      </c>
      <c r="G1334" s="4">
        <v>2</v>
      </c>
      <c r="H1334" s="8">
        <v>3.33</v>
      </c>
      <c r="I1334" s="4">
        <v>0</v>
      </c>
    </row>
    <row r="1335" spans="1:9" x14ac:dyDescent="0.2">
      <c r="A1335" s="2">
        <v>11</v>
      </c>
      <c r="B1335" s="1" t="s">
        <v>245</v>
      </c>
      <c r="C1335" s="4">
        <v>3</v>
      </c>
      <c r="D1335" s="8">
        <v>1.97</v>
      </c>
      <c r="E1335" s="4">
        <v>3</v>
      </c>
      <c r="F1335" s="8">
        <v>3.49</v>
      </c>
      <c r="G1335" s="4">
        <v>0</v>
      </c>
      <c r="H1335" s="8">
        <v>0</v>
      </c>
      <c r="I1335" s="4">
        <v>0</v>
      </c>
    </row>
    <row r="1336" spans="1:9" x14ac:dyDescent="0.2">
      <c r="A1336" s="2">
        <v>11</v>
      </c>
      <c r="B1336" s="1" t="s">
        <v>190</v>
      </c>
      <c r="C1336" s="4">
        <v>3</v>
      </c>
      <c r="D1336" s="8">
        <v>1.97</v>
      </c>
      <c r="E1336" s="4">
        <v>3</v>
      </c>
      <c r="F1336" s="8">
        <v>3.49</v>
      </c>
      <c r="G1336" s="4">
        <v>0</v>
      </c>
      <c r="H1336" s="8">
        <v>0</v>
      </c>
      <c r="I1336" s="4">
        <v>0</v>
      </c>
    </row>
    <row r="1337" spans="1:9" x14ac:dyDescent="0.2">
      <c r="A1337" s="2">
        <v>11</v>
      </c>
      <c r="B1337" s="1" t="s">
        <v>192</v>
      </c>
      <c r="C1337" s="4">
        <v>3</v>
      </c>
      <c r="D1337" s="8">
        <v>1.97</v>
      </c>
      <c r="E1337" s="4">
        <v>3</v>
      </c>
      <c r="F1337" s="8">
        <v>3.49</v>
      </c>
      <c r="G1337" s="4">
        <v>0</v>
      </c>
      <c r="H1337" s="8">
        <v>0</v>
      </c>
      <c r="I1337" s="4">
        <v>0</v>
      </c>
    </row>
    <row r="1338" spans="1:9" x14ac:dyDescent="0.2">
      <c r="A1338" s="2">
        <v>16</v>
      </c>
      <c r="B1338" s="1" t="s">
        <v>208</v>
      </c>
      <c r="C1338" s="4">
        <v>2</v>
      </c>
      <c r="D1338" s="8">
        <v>1.32</v>
      </c>
      <c r="E1338" s="4">
        <v>2</v>
      </c>
      <c r="F1338" s="8">
        <v>2.33</v>
      </c>
      <c r="G1338" s="4">
        <v>0</v>
      </c>
      <c r="H1338" s="8">
        <v>0</v>
      </c>
      <c r="I1338" s="4">
        <v>0</v>
      </c>
    </row>
    <row r="1339" spans="1:9" x14ac:dyDescent="0.2">
      <c r="A1339" s="2">
        <v>16</v>
      </c>
      <c r="B1339" s="1" t="s">
        <v>224</v>
      </c>
      <c r="C1339" s="4">
        <v>2</v>
      </c>
      <c r="D1339" s="8">
        <v>1.32</v>
      </c>
      <c r="E1339" s="4">
        <v>2</v>
      </c>
      <c r="F1339" s="8">
        <v>2.33</v>
      </c>
      <c r="G1339" s="4">
        <v>0</v>
      </c>
      <c r="H1339" s="8">
        <v>0</v>
      </c>
      <c r="I1339" s="4">
        <v>0</v>
      </c>
    </row>
    <row r="1340" spans="1:9" x14ac:dyDescent="0.2">
      <c r="A1340" s="2">
        <v>16</v>
      </c>
      <c r="B1340" s="1" t="s">
        <v>218</v>
      </c>
      <c r="C1340" s="4">
        <v>2</v>
      </c>
      <c r="D1340" s="8">
        <v>1.32</v>
      </c>
      <c r="E1340" s="4">
        <v>1</v>
      </c>
      <c r="F1340" s="8">
        <v>1.1599999999999999</v>
      </c>
      <c r="G1340" s="4">
        <v>1</v>
      </c>
      <c r="H1340" s="8">
        <v>1.67</v>
      </c>
      <c r="I1340" s="4">
        <v>0</v>
      </c>
    </row>
    <row r="1341" spans="1:9" x14ac:dyDescent="0.2">
      <c r="A1341" s="2">
        <v>16</v>
      </c>
      <c r="B1341" s="1" t="s">
        <v>261</v>
      </c>
      <c r="C1341" s="4">
        <v>2</v>
      </c>
      <c r="D1341" s="8">
        <v>1.32</v>
      </c>
      <c r="E1341" s="4">
        <v>1</v>
      </c>
      <c r="F1341" s="8">
        <v>1.1599999999999999</v>
      </c>
      <c r="G1341" s="4">
        <v>1</v>
      </c>
      <c r="H1341" s="8">
        <v>1.67</v>
      </c>
      <c r="I1341" s="4">
        <v>0</v>
      </c>
    </row>
    <row r="1342" spans="1:9" x14ac:dyDescent="0.2">
      <c r="A1342" s="2">
        <v>16</v>
      </c>
      <c r="B1342" s="1" t="s">
        <v>177</v>
      </c>
      <c r="C1342" s="4">
        <v>2</v>
      </c>
      <c r="D1342" s="8">
        <v>1.32</v>
      </c>
      <c r="E1342" s="4">
        <v>1</v>
      </c>
      <c r="F1342" s="8">
        <v>1.1599999999999999</v>
      </c>
      <c r="G1342" s="4">
        <v>1</v>
      </c>
      <c r="H1342" s="8">
        <v>1.67</v>
      </c>
      <c r="I1342" s="4">
        <v>0</v>
      </c>
    </row>
    <row r="1343" spans="1:9" x14ac:dyDescent="0.2">
      <c r="A1343" s="2">
        <v>16</v>
      </c>
      <c r="B1343" s="1" t="s">
        <v>308</v>
      </c>
      <c r="C1343" s="4">
        <v>2</v>
      </c>
      <c r="D1343" s="8">
        <v>1.32</v>
      </c>
      <c r="E1343" s="4">
        <v>0</v>
      </c>
      <c r="F1343" s="8">
        <v>0</v>
      </c>
      <c r="G1343" s="4">
        <v>2</v>
      </c>
      <c r="H1343" s="8">
        <v>3.33</v>
      </c>
      <c r="I1343" s="4">
        <v>0</v>
      </c>
    </row>
    <row r="1344" spans="1:9" x14ac:dyDescent="0.2">
      <c r="A1344" s="2">
        <v>16</v>
      </c>
      <c r="B1344" s="1" t="s">
        <v>312</v>
      </c>
      <c r="C1344" s="4">
        <v>2</v>
      </c>
      <c r="D1344" s="8">
        <v>1.32</v>
      </c>
      <c r="E1344" s="4">
        <v>0</v>
      </c>
      <c r="F1344" s="8">
        <v>0</v>
      </c>
      <c r="G1344" s="4">
        <v>2</v>
      </c>
      <c r="H1344" s="8">
        <v>3.33</v>
      </c>
      <c r="I1344" s="4">
        <v>0</v>
      </c>
    </row>
    <row r="1345" spans="1:9" x14ac:dyDescent="0.2">
      <c r="A1345" s="2">
        <v>16</v>
      </c>
      <c r="B1345" s="1" t="s">
        <v>203</v>
      </c>
      <c r="C1345" s="4">
        <v>2</v>
      </c>
      <c r="D1345" s="8">
        <v>1.32</v>
      </c>
      <c r="E1345" s="4">
        <v>0</v>
      </c>
      <c r="F1345" s="8">
        <v>0</v>
      </c>
      <c r="G1345" s="4">
        <v>2</v>
      </c>
      <c r="H1345" s="8">
        <v>3.33</v>
      </c>
      <c r="I1345" s="4">
        <v>0</v>
      </c>
    </row>
    <row r="1346" spans="1:9" x14ac:dyDescent="0.2">
      <c r="A1346" s="2">
        <v>16</v>
      </c>
      <c r="B1346" s="1" t="s">
        <v>275</v>
      </c>
      <c r="C1346" s="4">
        <v>2</v>
      </c>
      <c r="D1346" s="8">
        <v>1.32</v>
      </c>
      <c r="E1346" s="4">
        <v>1</v>
      </c>
      <c r="F1346" s="8">
        <v>1.1599999999999999</v>
      </c>
      <c r="G1346" s="4">
        <v>1</v>
      </c>
      <c r="H1346" s="8">
        <v>1.67</v>
      </c>
      <c r="I1346" s="4">
        <v>0</v>
      </c>
    </row>
    <row r="1347" spans="1:9" x14ac:dyDescent="0.2">
      <c r="A1347" s="2">
        <v>16</v>
      </c>
      <c r="B1347" s="1" t="s">
        <v>225</v>
      </c>
      <c r="C1347" s="4">
        <v>2</v>
      </c>
      <c r="D1347" s="8">
        <v>1.32</v>
      </c>
      <c r="E1347" s="4">
        <v>0</v>
      </c>
      <c r="F1347" s="8">
        <v>0</v>
      </c>
      <c r="G1347" s="4">
        <v>2</v>
      </c>
      <c r="H1347" s="8">
        <v>3.33</v>
      </c>
      <c r="I1347" s="4">
        <v>0</v>
      </c>
    </row>
    <row r="1348" spans="1:9" x14ac:dyDescent="0.2">
      <c r="A1348" s="2">
        <v>16</v>
      </c>
      <c r="B1348" s="1" t="s">
        <v>310</v>
      </c>
      <c r="C1348" s="4">
        <v>2</v>
      </c>
      <c r="D1348" s="8">
        <v>1.32</v>
      </c>
      <c r="E1348" s="4">
        <v>0</v>
      </c>
      <c r="F1348" s="8">
        <v>0</v>
      </c>
      <c r="G1348" s="4">
        <v>2</v>
      </c>
      <c r="H1348" s="8">
        <v>3.33</v>
      </c>
      <c r="I1348" s="4">
        <v>0</v>
      </c>
    </row>
    <row r="1349" spans="1:9" x14ac:dyDescent="0.2">
      <c r="A1349" s="2">
        <v>16</v>
      </c>
      <c r="B1349" s="1" t="s">
        <v>214</v>
      </c>
      <c r="C1349" s="4">
        <v>2</v>
      </c>
      <c r="D1349" s="8">
        <v>1.32</v>
      </c>
      <c r="E1349" s="4">
        <v>1</v>
      </c>
      <c r="F1349" s="8">
        <v>1.1599999999999999</v>
      </c>
      <c r="G1349" s="4">
        <v>1</v>
      </c>
      <c r="H1349" s="8">
        <v>1.67</v>
      </c>
      <c r="I1349" s="4">
        <v>0</v>
      </c>
    </row>
    <row r="1350" spans="1:9" x14ac:dyDescent="0.2">
      <c r="A1350" s="2">
        <v>16</v>
      </c>
      <c r="B1350" s="1" t="s">
        <v>216</v>
      </c>
      <c r="C1350" s="4">
        <v>2</v>
      </c>
      <c r="D1350" s="8">
        <v>1.32</v>
      </c>
      <c r="E1350" s="4">
        <v>0</v>
      </c>
      <c r="F1350" s="8">
        <v>0</v>
      </c>
      <c r="G1350" s="4">
        <v>2</v>
      </c>
      <c r="H1350" s="8">
        <v>3.33</v>
      </c>
      <c r="I1350" s="4">
        <v>0</v>
      </c>
    </row>
    <row r="1351" spans="1:9" x14ac:dyDescent="0.2">
      <c r="A1351" s="2">
        <v>16</v>
      </c>
      <c r="B1351" s="1" t="s">
        <v>184</v>
      </c>
      <c r="C1351" s="4">
        <v>2</v>
      </c>
      <c r="D1351" s="8">
        <v>1.32</v>
      </c>
      <c r="E1351" s="4">
        <v>1</v>
      </c>
      <c r="F1351" s="8">
        <v>1.1599999999999999</v>
      </c>
      <c r="G1351" s="4">
        <v>1</v>
      </c>
      <c r="H1351" s="8">
        <v>1.67</v>
      </c>
      <c r="I1351" s="4">
        <v>0</v>
      </c>
    </row>
    <row r="1352" spans="1:9" x14ac:dyDescent="0.2">
      <c r="A1352" s="2">
        <v>16</v>
      </c>
      <c r="B1352" s="1" t="s">
        <v>185</v>
      </c>
      <c r="C1352" s="4">
        <v>2</v>
      </c>
      <c r="D1352" s="8">
        <v>1.32</v>
      </c>
      <c r="E1352" s="4">
        <v>2</v>
      </c>
      <c r="F1352" s="8">
        <v>2.33</v>
      </c>
      <c r="G1352" s="4">
        <v>0</v>
      </c>
      <c r="H1352" s="8">
        <v>0</v>
      </c>
      <c r="I1352" s="4">
        <v>0</v>
      </c>
    </row>
    <row r="1353" spans="1:9" x14ac:dyDescent="0.2">
      <c r="A1353" s="2">
        <v>16</v>
      </c>
      <c r="B1353" s="1" t="s">
        <v>209</v>
      </c>
      <c r="C1353" s="4">
        <v>2</v>
      </c>
      <c r="D1353" s="8">
        <v>1.32</v>
      </c>
      <c r="E1353" s="4">
        <v>2</v>
      </c>
      <c r="F1353" s="8">
        <v>2.33</v>
      </c>
      <c r="G1353" s="4">
        <v>0</v>
      </c>
      <c r="H1353" s="8">
        <v>0</v>
      </c>
      <c r="I1353" s="4">
        <v>0</v>
      </c>
    </row>
    <row r="1354" spans="1:9" x14ac:dyDescent="0.2">
      <c r="A1354" s="2">
        <v>16</v>
      </c>
      <c r="B1354" s="1" t="s">
        <v>278</v>
      </c>
      <c r="C1354" s="4">
        <v>2</v>
      </c>
      <c r="D1354" s="8">
        <v>1.32</v>
      </c>
      <c r="E1354" s="4">
        <v>2</v>
      </c>
      <c r="F1354" s="8">
        <v>2.33</v>
      </c>
      <c r="G1354" s="4">
        <v>0</v>
      </c>
      <c r="H1354" s="8">
        <v>0</v>
      </c>
      <c r="I1354" s="4">
        <v>0</v>
      </c>
    </row>
    <row r="1355" spans="1:9" x14ac:dyDescent="0.2">
      <c r="A1355" s="2">
        <v>16</v>
      </c>
      <c r="B1355" s="1" t="s">
        <v>264</v>
      </c>
      <c r="C1355" s="4">
        <v>2</v>
      </c>
      <c r="D1355" s="8">
        <v>1.32</v>
      </c>
      <c r="E1355" s="4">
        <v>0</v>
      </c>
      <c r="F1355" s="8">
        <v>0</v>
      </c>
      <c r="G1355" s="4">
        <v>0</v>
      </c>
      <c r="H1355" s="8">
        <v>0</v>
      </c>
      <c r="I1355" s="4">
        <v>0</v>
      </c>
    </row>
    <row r="1356" spans="1:9" x14ac:dyDescent="0.2">
      <c r="A1356" s="2">
        <v>16</v>
      </c>
      <c r="B1356" s="1" t="s">
        <v>306</v>
      </c>
      <c r="C1356" s="4">
        <v>2</v>
      </c>
      <c r="D1356" s="8">
        <v>1.32</v>
      </c>
      <c r="E1356" s="4">
        <v>0</v>
      </c>
      <c r="F1356" s="8">
        <v>0</v>
      </c>
      <c r="G1356" s="4">
        <v>2</v>
      </c>
      <c r="H1356" s="8">
        <v>3.33</v>
      </c>
      <c r="I1356" s="4">
        <v>0</v>
      </c>
    </row>
    <row r="1357" spans="1:9" x14ac:dyDescent="0.2">
      <c r="A1357" s="2">
        <v>16</v>
      </c>
      <c r="B1357" s="1" t="s">
        <v>250</v>
      </c>
      <c r="C1357" s="4">
        <v>2</v>
      </c>
      <c r="D1357" s="8">
        <v>1.32</v>
      </c>
      <c r="E1357" s="4">
        <v>0</v>
      </c>
      <c r="F1357" s="8">
        <v>0</v>
      </c>
      <c r="G1357" s="4">
        <v>2</v>
      </c>
      <c r="H1357" s="8">
        <v>3.33</v>
      </c>
      <c r="I1357" s="4">
        <v>0</v>
      </c>
    </row>
    <row r="1358" spans="1:9" x14ac:dyDescent="0.2">
      <c r="A1358" s="1"/>
      <c r="C1358" s="4"/>
      <c r="D1358" s="8"/>
      <c r="E1358" s="4"/>
      <c r="F1358" s="8"/>
      <c r="G1358" s="4"/>
      <c r="H1358" s="8"/>
      <c r="I1358" s="4"/>
    </row>
    <row r="1359" spans="1:9" x14ac:dyDescent="0.2">
      <c r="A1359" s="1" t="s">
        <v>52</v>
      </c>
      <c r="C1359" s="4"/>
      <c r="D1359" s="8"/>
      <c r="E1359" s="4"/>
      <c r="F1359" s="8"/>
      <c r="G1359" s="4"/>
      <c r="H1359" s="8"/>
      <c r="I1359" s="4"/>
    </row>
    <row r="1360" spans="1:9" x14ac:dyDescent="0.2">
      <c r="A1360" s="2">
        <v>1</v>
      </c>
      <c r="B1360" s="1" t="s">
        <v>247</v>
      </c>
      <c r="C1360" s="4">
        <v>7</v>
      </c>
      <c r="D1360" s="8">
        <v>12.73</v>
      </c>
      <c r="E1360" s="4">
        <v>6</v>
      </c>
      <c r="F1360" s="8">
        <v>15.79</v>
      </c>
      <c r="G1360" s="4">
        <v>1</v>
      </c>
      <c r="H1360" s="8">
        <v>10</v>
      </c>
      <c r="I1360" s="4">
        <v>0</v>
      </c>
    </row>
    <row r="1361" spans="1:9" x14ac:dyDescent="0.2">
      <c r="A1361" s="2">
        <v>2</v>
      </c>
      <c r="B1361" s="1" t="s">
        <v>185</v>
      </c>
      <c r="C1361" s="4">
        <v>5</v>
      </c>
      <c r="D1361" s="8">
        <v>9.09</v>
      </c>
      <c r="E1361" s="4">
        <v>4</v>
      </c>
      <c r="F1361" s="8">
        <v>10.53</v>
      </c>
      <c r="G1361" s="4">
        <v>1</v>
      </c>
      <c r="H1361" s="8">
        <v>10</v>
      </c>
      <c r="I1361" s="4">
        <v>0</v>
      </c>
    </row>
    <row r="1362" spans="1:9" x14ac:dyDescent="0.2">
      <c r="A1362" s="2">
        <v>3</v>
      </c>
      <c r="B1362" s="1" t="s">
        <v>179</v>
      </c>
      <c r="C1362" s="4">
        <v>3</v>
      </c>
      <c r="D1362" s="8">
        <v>5.45</v>
      </c>
      <c r="E1362" s="4">
        <v>3</v>
      </c>
      <c r="F1362" s="8">
        <v>7.89</v>
      </c>
      <c r="G1362" s="4">
        <v>0</v>
      </c>
      <c r="H1362" s="8">
        <v>0</v>
      </c>
      <c r="I1362" s="4">
        <v>0</v>
      </c>
    </row>
    <row r="1363" spans="1:9" x14ac:dyDescent="0.2">
      <c r="A1363" s="2">
        <v>3</v>
      </c>
      <c r="B1363" s="1" t="s">
        <v>186</v>
      </c>
      <c r="C1363" s="4">
        <v>3</v>
      </c>
      <c r="D1363" s="8">
        <v>5.45</v>
      </c>
      <c r="E1363" s="4">
        <v>3</v>
      </c>
      <c r="F1363" s="8">
        <v>7.89</v>
      </c>
      <c r="G1363" s="4">
        <v>0</v>
      </c>
      <c r="H1363" s="8">
        <v>0</v>
      </c>
      <c r="I1363" s="4">
        <v>0</v>
      </c>
    </row>
    <row r="1364" spans="1:9" x14ac:dyDescent="0.2">
      <c r="A1364" s="2">
        <v>5</v>
      </c>
      <c r="B1364" s="1" t="s">
        <v>303</v>
      </c>
      <c r="C1364" s="4">
        <v>2</v>
      </c>
      <c r="D1364" s="8">
        <v>3.64</v>
      </c>
      <c r="E1364" s="4">
        <v>1</v>
      </c>
      <c r="F1364" s="8">
        <v>2.63</v>
      </c>
      <c r="G1364" s="4">
        <v>1</v>
      </c>
      <c r="H1364" s="8">
        <v>10</v>
      </c>
      <c r="I1364" s="4">
        <v>0</v>
      </c>
    </row>
    <row r="1365" spans="1:9" x14ac:dyDescent="0.2">
      <c r="A1365" s="2">
        <v>5</v>
      </c>
      <c r="B1365" s="1" t="s">
        <v>197</v>
      </c>
      <c r="C1365" s="4">
        <v>2</v>
      </c>
      <c r="D1365" s="8">
        <v>3.64</v>
      </c>
      <c r="E1365" s="4">
        <v>2</v>
      </c>
      <c r="F1365" s="8">
        <v>5.26</v>
      </c>
      <c r="G1365" s="4">
        <v>0</v>
      </c>
      <c r="H1365" s="8">
        <v>0</v>
      </c>
      <c r="I1365" s="4">
        <v>0</v>
      </c>
    </row>
    <row r="1366" spans="1:9" x14ac:dyDescent="0.2">
      <c r="A1366" s="2">
        <v>5</v>
      </c>
      <c r="B1366" s="1" t="s">
        <v>216</v>
      </c>
      <c r="C1366" s="4">
        <v>2</v>
      </c>
      <c r="D1366" s="8">
        <v>3.64</v>
      </c>
      <c r="E1366" s="4">
        <v>1</v>
      </c>
      <c r="F1366" s="8">
        <v>2.63</v>
      </c>
      <c r="G1366" s="4">
        <v>1</v>
      </c>
      <c r="H1366" s="8">
        <v>10</v>
      </c>
      <c r="I1366" s="4">
        <v>0</v>
      </c>
    </row>
    <row r="1367" spans="1:9" x14ac:dyDescent="0.2">
      <c r="A1367" s="2">
        <v>5</v>
      </c>
      <c r="B1367" s="1" t="s">
        <v>220</v>
      </c>
      <c r="C1367" s="4">
        <v>2</v>
      </c>
      <c r="D1367" s="8">
        <v>3.64</v>
      </c>
      <c r="E1367" s="4">
        <v>2</v>
      </c>
      <c r="F1367" s="8">
        <v>5.26</v>
      </c>
      <c r="G1367" s="4">
        <v>0</v>
      </c>
      <c r="H1367" s="8">
        <v>0</v>
      </c>
      <c r="I1367" s="4">
        <v>0</v>
      </c>
    </row>
    <row r="1368" spans="1:9" x14ac:dyDescent="0.2">
      <c r="A1368" s="2">
        <v>5</v>
      </c>
      <c r="B1368" s="1" t="s">
        <v>223</v>
      </c>
      <c r="C1368" s="4">
        <v>2</v>
      </c>
      <c r="D1368" s="8">
        <v>3.64</v>
      </c>
      <c r="E1368" s="4">
        <v>0</v>
      </c>
      <c r="F1368" s="8">
        <v>0</v>
      </c>
      <c r="G1368" s="4">
        <v>0</v>
      </c>
      <c r="H1368" s="8">
        <v>0</v>
      </c>
      <c r="I1368" s="4">
        <v>0</v>
      </c>
    </row>
    <row r="1369" spans="1:9" x14ac:dyDescent="0.2">
      <c r="A1369" s="2">
        <v>5</v>
      </c>
      <c r="B1369" s="1" t="s">
        <v>290</v>
      </c>
      <c r="C1369" s="4">
        <v>2</v>
      </c>
      <c r="D1369" s="8">
        <v>3.64</v>
      </c>
      <c r="E1369" s="4">
        <v>2</v>
      </c>
      <c r="F1369" s="8">
        <v>5.26</v>
      </c>
      <c r="G1369" s="4">
        <v>0</v>
      </c>
      <c r="H1369" s="8">
        <v>0</v>
      </c>
      <c r="I1369" s="4">
        <v>0</v>
      </c>
    </row>
    <row r="1370" spans="1:9" x14ac:dyDescent="0.2">
      <c r="A1370" s="2">
        <v>11</v>
      </c>
      <c r="B1370" s="1" t="s">
        <v>252</v>
      </c>
      <c r="C1370" s="4">
        <v>1</v>
      </c>
      <c r="D1370" s="8">
        <v>1.82</v>
      </c>
      <c r="E1370" s="4">
        <v>0</v>
      </c>
      <c r="F1370" s="8">
        <v>0</v>
      </c>
      <c r="G1370" s="4">
        <v>1</v>
      </c>
      <c r="H1370" s="8">
        <v>10</v>
      </c>
      <c r="I1370" s="4">
        <v>0</v>
      </c>
    </row>
    <row r="1371" spans="1:9" x14ac:dyDescent="0.2">
      <c r="A1371" s="2">
        <v>11</v>
      </c>
      <c r="B1371" s="1" t="s">
        <v>174</v>
      </c>
      <c r="C1371" s="4">
        <v>1</v>
      </c>
      <c r="D1371" s="8">
        <v>1.82</v>
      </c>
      <c r="E1371" s="4">
        <v>0</v>
      </c>
      <c r="F1371" s="8">
        <v>0</v>
      </c>
      <c r="G1371" s="4">
        <v>1</v>
      </c>
      <c r="H1371" s="8">
        <v>10</v>
      </c>
      <c r="I1371" s="4">
        <v>0</v>
      </c>
    </row>
    <row r="1372" spans="1:9" x14ac:dyDescent="0.2">
      <c r="A1372" s="2">
        <v>11</v>
      </c>
      <c r="B1372" s="1" t="s">
        <v>313</v>
      </c>
      <c r="C1372" s="4">
        <v>1</v>
      </c>
      <c r="D1372" s="8">
        <v>1.82</v>
      </c>
      <c r="E1372" s="4">
        <v>1</v>
      </c>
      <c r="F1372" s="8">
        <v>2.63</v>
      </c>
      <c r="G1372" s="4">
        <v>0</v>
      </c>
      <c r="H1372" s="8">
        <v>0</v>
      </c>
      <c r="I1372" s="4">
        <v>0</v>
      </c>
    </row>
    <row r="1373" spans="1:9" x14ac:dyDescent="0.2">
      <c r="A1373" s="2">
        <v>11</v>
      </c>
      <c r="B1373" s="1" t="s">
        <v>262</v>
      </c>
      <c r="C1373" s="4">
        <v>1</v>
      </c>
      <c r="D1373" s="8">
        <v>1.82</v>
      </c>
      <c r="E1373" s="4">
        <v>0</v>
      </c>
      <c r="F1373" s="8">
        <v>0</v>
      </c>
      <c r="G1373" s="4">
        <v>1</v>
      </c>
      <c r="H1373" s="8">
        <v>10</v>
      </c>
      <c r="I1373" s="4">
        <v>0</v>
      </c>
    </row>
    <row r="1374" spans="1:9" x14ac:dyDescent="0.2">
      <c r="A1374" s="2">
        <v>11</v>
      </c>
      <c r="B1374" s="1" t="s">
        <v>308</v>
      </c>
      <c r="C1374" s="4">
        <v>1</v>
      </c>
      <c r="D1374" s="8">
        <v>1.82</v>
      </c>
      <c r="E1374" s="4">
        <v>1</v>
      </c>
      <c r="F1374" s="8">
        <v>2.63</v>
      </c>
      <c r="G1374" s="4">
        <v>0</v>
      </c>
      <c r="H1374" s="8">
        <v>0</v>
      </c>
      <c r="I1374" s="4">
        <v>0</v>
      </c>
    </row>
    <row r="1375" spans="1:9" x14ac:dyDescent="0.2">
      <c r="A1375" s="2">
        <v>11</v>
      </c>
      <c r="B1375" s="1" t="s">
        <v>314</v>
      </c>
      <c r="C1375" s="4">
        <v>1</v>
      </c>
      <c r="D1375" s="8">
        <v>1.82</v>
      </c>
      <c r="E1375" s="4">
        <v>1</v>
      </c>
      <c r="F1375" s="8">
        <v>2.63</v>
      </c>
      <c r="G1375" s="4">
        <v>0</v>
      </c>
      <c r="H1375" s="8">
        <v>0</v>
      </c>
      <c r="I1375" s="4">
        <v>0</v>
      </c>
    </row>
    <row r="1376" spans="1:9" x14ac:dyDescent="0.2">
      <c r="A1376" s="2">
        <v>11</v>
      </c>
      <c r="B1376" s="1" t="s">
        <v>315</v>
      </c>
      <c r="C1376" s="4">
        <v>1</v>
      </c>
      <c r="D1376" s="8">
        <v>1.82</v>
      </c>
      <c r="E1376" s="4">
        <v>1</v>
      </c>
      <c r="F1376" s="8">
        <v>2.63</v>
      </c>
      <c r="G1376" s="4">
        <v>0</v>
      </c>
      <c r="H1376" s="8">
        <v>0</v>
      </c>
      <c r="I1376" s="4">
        <v>0</v>
      </c>
    </row>
    <row r="1377" spans="1:9" x14ac:dyDescent="0.2">
      <c r="A1377" s="2">
        <v>11</v>
      </c>
      <c r="B1377" s="1" t="s">
        <v>272</v>
      </c>
      <c r="C1377" s="4">
        <v>1</v>
      </c>
      <c r="D1377" s="8">
        <v>1.82</v>
      </c>
      <c r="E1377" s="4">
        <v>0</v>
      </c>
      <c r="F1377" s="8">
        <v>0</v>
      </c>
      <c r="G1377" s="4">
        <v>1</v>
      </c>
      <c r="H1377" s="8">
        <v>10</v>
      </c>
      <c r="I1377" s="4">
        <v>0</v>
      </c>
    </row>
    <row r="1378" spans="1:9" x14ac:dyDescent="0.2">
      <c r="A1378" s="2">
        <v>11</v>
      </c>
      <c r="B1378" s="1" t="s">
        <v>239</v>
      </c>
      <c r="C1378" s="4">
        <v>1</v>
      </c>
      <c r="D1378" s="8">
        <v>1.82</v>
      </c>
      <c r="E1378" s="4">
        <v>0</v>
      </c>
      <c r="F1378" s="8">
        <v>0</v>
      </c>
      <c r="G1378" s="4">
        <v>0</v>
      </c>
      <c r="H1378" s="8">
        <v>0</v>
      </c>
      <c r="I1378" s="4">
        <v>0</v>
      </c>
    </row>
    <row r="1379" spans="1:9" x14ac:dyDescent="0.2">
      <c r="A1379" s="2">
        <v>11</v>
      </c>
      <c r="B1379" s="1" t="s">
        <v>316</v>
      </c>
      <c r="C1379" s="4">
        <v>1</v>
      </c>
      <c r="D1379" s="8">
        <v>1.82</v>
      </c>
      <c r="E1379" s="4">
        <v>0</v>
      </c>
      <c r="F1379" s="8">
        <v>0</v>
      </c>
      <c r="G1379" s="4">
        <v>0</v>
      </c>
      <c r="H1379" s="8">
        <v>0</v>
      </c>
      <c r="I1379" s="4">
        <v>1</v>
      </c>
    </row>
    <row r="1380" spans="1:9" x14ac:dyDescent="0.2">
      <c r="A1380" s="2">
        <v>11</v>
      </c>
      <c r="B1380" s="1" t="s">
        <v>196</v>
      </c>
      <c r="C1380" s="4">
        <v>1</v>
      </c>
      <c r="D1380" s="8">
        <v>1.82</v>
      </c>
      <c r="E1380" s="4">
        <v>1</v>
      </c>
      <c r="F1380" s="8">
        <v>2.63</v>
      </c>
      <c r="G1380" s="4">
        <v>0</v>
      </c>
      <c r="H1380" s="8">
        <v>0</v>
      </c>
      <c r="I1380" s="4">
        <v>0</v>
      </c>
    </row>
    <row r="1381" spans="1:9" x14ac:dyDescent="0.2">
      <c r="A1381" s="2">
        <v>11</v>
      </c>
      <c r="B1381" s="1" t="s">
        <v>226</v>
      </c>
      <c r="C1381" s="4">
        <v>1</v>
      </c>
      <c r="D1381" s="8">
        <v>1.82</v>
      </c>
      <c r="E1381" s="4">
        <v>1</v>
      </c>
      <c r="F1381" s="8">
        <v>2.63</v>
      </c>
      <c r="G1381" s="4">
        <v>0</v>
      </c>
      <c r="H1381" s="8">
        <v>0</v>
      </c>
      <c r="I1381" s="4">
        <v>0</v>
      </c>
    </row>
    <row r="1382" spans="1:9" x14ac:dyDescent="0.2">
      <c r="A1382" s="2">
        <v>11</v>
      </c>
      <c r="B1382" s="1" t="s">
        <v>233</v>
      </c>
      <c r="C1382" s="4">
        <v>1</v>
      </c>
      <c r="D1382" s="8">
        <v>1.82</v>
      </c>
      <c r="E1382" s="4">
        <v>0</v>
      </c>
      <c r="F1382" s="8">
        <v>0</v>
      </c>
      <c r="G1382" s="4">
        <v>1</v>
      </c>
      <c r="H1382" s="8">
        <v>10</v>
      </c>
      <c r="I1382" s="4">
        <v>0</v>
      </c>
    </row>
    <row r="1383" spans="1:9" x14ac:dyDescent="0.2">
      <c r="A1383" s="2">
        <v>11</v>
      </c>
      <c r="B1383" s="1" t="s">
        <v>227</v>
      </c>
      <c r="C1383" s="4">
        <v>1</v>
      </c>
      <c r="D1383" s="8">
        <v>1.82</v>
      </c>
      <c r="E1383" s="4">
        <v>1</v>
      </c>
      <c r="F1383" s="8">
        <v>2.63</v>
      </c>
      <c r="G1383" s="4">
        <v>0</v>
      </c>
      <c r="H1383" s="8">
        <v>0</v>
      </c>
      <c r="I1383" s="4">
        <v>0</v>
      </c>
    </row>
    <row r="1384" spans="1:9" x14ac:dyDescent="0.2">
      <c r="A1384" s="2">
        <v>11</v>
      </c>
      <c r="B1384" s="1" t="s">
        <v>180</v>
      </c>
      <c r="C1384" s="4">
        <v>1</v>
      </c>
      <c r="D1384" s="8">
        <v>1.82</v>
      </c>
      <c r="E1384" s="4">
        <v>0</v>
      </c>
      <c r="F1384" s="8">
        <v>0</v>
      </c>
      <c r="G1384" s="4">
        <v>1</v>
      </c>
      <c r="H1384" s="8">
        <v>10</v>
      </c>
      <c r="I1384" s="4">
        <v>0</v>
      </c>
    </row>
    <row r="1385" spans="1:9" x14ac:dyDescent="0.2">
      <c r="A1385" s="2">
        <v>11</v>
      </c>
      <c r="B1385" s="1" t="s">
        <v>181</v>
      </c>
      <c r="C1385" s="4">
        <v>1</v>
      </c>
      <c r="D1385" s="8">
        <v>1.82</v>
      </c>
      <c r="E1385" s="4">
        <v>1</v>
      </c>
      <c r="F1385" s="8">
        <v>2.63</v>
      </c>
      <c r="G1385" s="4">
        <v>0</v>
      </c>
      <c r="H1385" s="8">
        <v>0</v>
      </c>
      <c r="I1385" s="4">
        <v>0</v>
      </c>
    </row>
    <row r="1386" spans="1:9" x14ac:dyDescent="0.2">
      <c r="A1386" s="2">
        <v>11</v>
      </c>
      <c r="B1386" s="1" t="s">
        <v>184</v>
      </c>
      <c r="C1386" s="4">
        <v>1</v>
      </c>
      <c r="D1386" s="8">
        <v>1.82</v>
      </c>
      <c r="E1386" s="4">
        <v>0</v>
      </c>
      <c r="F1386" s="8">
        <v>0</v>
      </c>
      <c r="G1386" s="4">
        <v>0</v>
      </c>
      <c r="H1386" s="8">
        <v>0</v>
      </c>
      <c r="I1386" s="4">
        <v>0</v>
      </c>
    </row>
    <row r="1387" spans="1:9" x14ac:dyDescent="0.2">
      <c r="A1387" s="2">
        <v>11</v>
      </c>
      <c r="B1387" s="1" t="s">
        <v>317</v>
      </c>
      <c r="C1387" s="4">
        <v>1</v>
      </c>
      <c r="D1387" s="8">
        <v>1.82</v>
      </c>
      <c r="E1387" s="4">
        <v>1</v>
      </c>
      <c r="F1387" s="8">
        <v>2.63</v>
      </c>
      <c r="G1387" s="4">
        <v>0</v>
      </c>
      <c r="H1387" s="8">
        <v>0</v>
      </c>
      <c r="I1387" s="4">
        <v>0</v>
      </c>
    </row>
    <row r="1388" spans="1:9" x14ac:dyDescent="0.2">
      <c r="A1388" s="2">
        <v>11</v>
      </c>
      <c r="B1388" s="1" t="s">
        <v>187</v>
      </c>
      <c r="C1388" s="4">
        <v>1</v>
      </c>
      <c r="D1388" s="8">
        <v>1.82</v>
      </c>
      <c r="E1388" s="4">
        <v>1</v>
      </c>
      <c r="F1388" s="8">
        <v>2.63</v>
      </c>
      <c r="G1388" s="4">
        <v>0</v>
      </c>
      <c r="H1388" s="8">
        <v>0</v>
      </c>
      <c r="I1388" s="4">
        <v>0</v>
      </c>
    </row>
    <row r="1389" spans="1:9" x14ac:dyDescent="0.2">
      <c r="A1389" s="2">
        <v>11</v>
      </c>
      <c r="B1389" s="1" t="s">
        <v>198</v>
      </c>
      <c r="C1389" s="4">
        <v>1</v>
      </c>
      <c r="D1389" s="8">
        <v>1.82</v>
      </c>
      <c r="E1389" s="4">
        <v>1</v>
      </c>
      <c r="F1389" s="8">
        <v>2.63</v>
      </c>
      <c r="G1389" s="4">
        <v>0</v>
      </c>
      <c r="H1389" s="8">
        <v>0</v>
      </c>
      <c r="I1389" s="4">
        <v>0</v>
      </c>
    </row>
    <row r="1390" spans="1:9" x14ac:dyDescent="0.2">
      <c r="A1390" s="2">
        <v>11</v>
      </c>
      <c r="B1390" s="1" t="s">
        <v>190</v>
      </c>
      <c r="C1390" s="4">
        <v>1</v>
      </c>
      <c r="D1390" s="8">
        <v>1.82</v>
      </c>
      <c r="E1390" s="4">
        <v>1</v>
      </c>
      <c r="F1390" s="8">
        <v>2.63</v>
      </c>
      <c r="G1390" s="4">
        <v>0</v>
      </c>
      <c r="H1390" s="8">
        <v>0</v>
      </c>
      <c r="I1390" s="4">
        <v>0</v>
      </c>
    </row>
    <row r="1391" spans="1:9" x14ac:dyDescent="0.2">
      <c r="A1391" s="2">
        <v>11</v>
      </c>
      <c r="B1391" s="1" t="s">
        <v>191</v>
      </c>
      <c r="C1391" s="4">
        <v>1</v>
      </c>
      <c r="D1391" s="8">
        <v>1.82</v>
      </c>
      <c r="E1391" s="4">
        <v>1</v>
      </c>
      <c r="F1391" s="8">
        <v>2.63</v>
      </c>
      <c r="G1391" s="4">
        <v>0</v>
      </c>
      <c r="H1391" s="8">
        <v>0</v>
      </c>
      <c r="I1391" s="4">
        <v>0</v>
      </c>
    </row>
    <row r="1392" spans="1:9" x14ac:dyDescent="0.2">
      <c r="A1392" s="2">
        <v>11</v>
      </c>
      <c r="B1392" s="1" t="s">
        <v>249</v>
      </c>
      <c r="C1392" s="4">
        <v>1</v>
      </c>
      <c r="D1392" s="8">
        <v>1.82</v>
      </c>
      <c r="E1392" s="4">
        <v>0</v>
      </c>
      <c r="F1392" s="8">
        <v>0</v>
      </c>
      <c r="G1392" s="4">
        <v>0</v>
      </c>
      <c r="H1392" s="8">
        <v>0</v>
      </c>
      <c r="I1392" s="4">
        <v>0</v>
      </c>
    </row>
    <row r="1393" spans="1:9" x14ac:dyDescent="0.2">
      <c r="A1393" s="2">
        <v>11</v>
      </c>
      <c r="B1393" s="1" t="s">
        <v>192</v>
      </c>
      <c r="C1393" s="4">
        <v>1</v>
      </c>
      <c r="D1393" s="8">
        <v>1.82</v>
      </c>
      <c r="E1393" s="4">
        <v>1</v>
      </c>
      <c r="F1393" s="8">
        <v>2.63</v>
      </c>
      <c r="G1393" s="4">
        <v>0</v>
      </c>
      <c r="H1393" s="8">
        <v>0</v>
      </c>
      <c r="I1393" s="4">
        <v>0</v>
      </c>
    </row>
    <row r="1394" spans="1:9" x14ac:dyDescent="0.2">
      <c r="A1394" s="2">
        <v>11</v>
      </c>
      <c r="B1394" s="1" t="s">
        <v>271</v>
      </c>
      <c r="C1394" s="4">
        <v>1</v>
      </c>
      <c r="D1394" s="8">
        <v>1.82</v>
      </c>
      <c r="E1394" s="4">
        <v>0</v>
      </c>
      <c r="F1394" s="8">
        <v>0</v>
      </c>
      <c r="G1394" s="4">
        <v>0</v>
      </c>
      <c r="H1394" s="8">
        <v>0</v>
      </c>
      <c r="I1394" s="4">
        <v>0</v>
      </c>
    </row>
    <row r="1395" spans="1:9" x14ac:dyDescent="0.2">
      <c r="A1395" s="1"/>
      <c r="C1395" s="4"/>
      <c r="D1395" s="8"/>
      <c r="E1395" s="4"/>
      <c r="F1395" s="8"/>
      <c r="G1395" s="4"/>
      <c r="H1395" s="8"/>
      <c r="I1395" s="4"/>
    </row>
    <row r="1396" spans="1:9" x14ac:dyDescent="0.2">
      <c r="A1396" s="1" t="s">
        <v>53</v>
      </c>
      <c r="C1396" s="4"/>
      <c r="D1396" s="8"/>
      <c r="E1396" s="4"/>
      <c r="F1396" s="8"/>
      <c r="G1396" s="4"/>
      <c r="H1396" s="8"/>
      <c r="I1396" s="4"/>
    </row>
    <row r="1397" spans="1:9" x14ac:dyDescent="0.2">
      <c r="A1397" s="2">
        <v>1</v>
      </c>
      <c r="B1397" s="1" t="s">
        <v>179</v>
      </c>
      <c r="C1397" s="4">
        <v>8</v>
      </c>
      <c r="D1397" s="8">
        <v>3.9</v>
      </c>
      <c r="E1397" s="4">
        <v>8</v>
      </c>
      <c r="F1397" s="8">
        <v>6.06</v>
      </c>
      <c r="G1397" s="4">
        <v>0</v>
      </c>
      <c r="H1397" s="8">
        <v>0</v>
      </c>
      <c r="I1397" s="4">
        <v>0</v>
      </c>
    </row>
    <row r="1398" spans="1:9" x14ac:dyDescent="0.2">
      <c r="A1398" s="2">
        <v>1</v>
      </c>
      <c r="B1398" s="1" t="s">
        <v>195</v>
      </c>
      <c r="C1398" s="4">
        <v>8</v>
      </c>
      <c r="D1398" s="8">
        <v>3.9</v>
      </c>
      <c r="E1398" s="4">
        <v>8</v>
      </c>
      <c r="F1398" s="8">
        <v>6.06</v>
      </c>
      <c r="G1398" s="4">
        <v>0</v>
      </c>
      <c r="H1398" s="8">
        <v>0</v>
      </c>
      <c r="I1398" s="4">
        <v>0</v>
      </c>
    </row>
    <row r="1399" spans="1:9" x14ac:dyDescent="0.2">
      <c r="A1399" s="2">
        <v>3</v>
      </c>
      <c r="B1399" s="1" t="s">
        <v>176</v>
      </c>
      <c r="C1399" s="4">
        <v>7</v>
      </c>
      <c r="D1399" s="8">
        <v>3.41</v>
      </c>
      <c r="E1399" s="4">
        <v>6</v>
      </c>
      <c r="F1399" s="8">
        <v>4.55</v>
      </c>
      <c r="G1399" s="4">
        <v>1</v>
      </c>
      <c r="H1399" s="8">
        <v>1.49</v>
      </c>
      <c r="I1399" s="4">
        <v>0</v>
      </c>
    </row>
    <row r="1400" spans="1:9" x14ac:dyDescent="0.2">
      <c r="A1400" s="2">
        <v>3</v>
      </c>
      <c r="B1400" s="1" t="s">
        <v>191</v>
      </c>
      <c r="C1400" s="4">
        <v>7</v>
      </c>
      <c r="D1400" s="8">
        <v>3.41</v>
      </c>
      <c r="E1400" s="4">
        <v>6</v>
      </c>
      <c r="F1400" s="8">
        <v>4.55</v>
      </c>
      <c r="G1400" s="4">
        <v>1</v>
      </c>
      <c r="H1400" s="8">
        <v>1.49</v>
      </c>
      <c r="I1400" s="4">
        <v>0</v>
      </c>
    </row>
    <row r="1401" spans="1:9" x14ac:dyDescent="0.2">
      <c r="A1401" s="2">
        <v>5</v>
      </c>
      <c r="B1401" s="1" t="s">
        <v>230</v>
      </c>
      <c r="C1401" s="4">
        <v>6</v>
      </c>
      <c r="D1401" s="8">
        <v>2.93</v>
      </c>
      <c r="E1401" s="4">
        <v>0</v>
      </c>
      <c r="F1401" s="8">
        <v>0</v>
      </c>
      <c r="G1401" s="4">
        <v>6</v>
      </c>
      <c r="H1401" s="8">
        <v>8.9600000000000009</v>
      </c>
      <c r="I1401" s="4">
        <v>0</v>
      </c>
    </row>
    <row r="1402" spans="1:9" x14ac:dyDescent="0.2">
      <c r="A1402" s="2">
        <v>5</v>
      </c>
      <c r="B1402" s="1" t="s">
        <v>298</v>
      </c>
      <c r="C1402" s="4">
        <v>6</v>
      </c>
      <c r="D1402" s="8">
        <v>2.93</v>
      </c>
      <c r="E1402" s="4">
        <v>4</v>
      </c>
      <c r="F1402" s="8">
        <v>3.03</v>
      </c>
      <c r="G1402" s="4">
        <v>2</v>
      </c>
      <c r="H1402" s="8">
        <v>2.99</v>
      </c>
      <c r="I1402" s="4">
        <v>0</v>
      </c>
    </row>
    <row r="1403" spans="1:9" x14ac:dyDescent="0.2">
      <c r="A1403" s="2">
        <v>5</v>
      </c>
      <c r="B1403" s="1" t="s">
        <v>186</v>
      </c>
      <c r="C1403" s="4">
        <v>6</v>
      </c>
      <c r="D1403" s="8">
        <v>2.93</v>
      </c>
      <c r="E1403" s="4">
        <v>5</v>
      </c>
      <c r="F1403" s="8">
        <v>3.79</v>
      </c>
      <c r="G1403" s="4">
        <v>1</v>
      </c>
      <c r="H1403" s="8">
        <v>1.49</v>
      </c>
      <c r="I1403" s="4">
        <v>0</v>
      </c>
    </row>
    <row r="1404" spans="1:9" x14ac:dyDescent="0.2">
      <c r="A1404" s="2">
        <v>8</v>
      </c>
      <c r="B1404" s="1" t="s">
        <v>210</v>
      </c>
      <c r="C1404" s="4">
        <v>5</v>
      </c>
      <c r="D1404" s="8">
        <v>2.44</v>
      </c>
      <c r="E1404" s="4">
        <v>3</v>
      </c>
      <c r="F1404" s="8">
        <v>2.27</v>
      </c>
      <c r="G1404" s="4">
        <v>2</v>
      </c>
      <c r="H1404" s="8">
        <v>2.99</v>
      </c>
      <c r="I1404" s="4">
        <v>0</v>
      </c>
    </row>
    <row r="1405" spans="1:9" x14ac:dyDescent="0.2">
      <c r="A1405" s="2">
        <v>8</v>
      </c>
      <c r="B1405" s="1" t="s">
        <v>211</v>
      </c>
      <c r="C1405" s="4">
        <v>5</v>
      </c>
      <c r="D1405" s="8">
        <v>2.44</v>
      </c>
      <c r="E1405" s="4">
        <v>3</v>
      </c>
      <c r="F1405" s="8">
        <v>2.27</v>
      </c>
      <c r="G1405" s="4">
        <v>2</v>
      </c>
      <c r="H1405" s="8">
        <v>2.99</v>
      </c>
      <c r="I1405" s="4">
        <v>0</v>
      </c>
    </row>
    <row r="1406" spans="1:9" x14ac:dyDescent="0.2">
      <c r="A1406" s="2">
        <v>8</v>
      </c>
      <c r="B1406" s="1" t="s">
        <v>190</v>
      </c>
      <c r="C1406" s="4">
        <v>5</v>
      </c>
      <c r="D1406" s="8">
        <v>2.44</v>
      </c>
      <c r="E1406" s="4">
        <v>4</v>
      </c>
      <c r="F1406" s="8">
        <v>3.03</v>
      </c>
      <c r="G1406" s="4">
        <v>1</v>
      </c>
      <c r="H1406" s="8">
        <v>1.49</v>
      </c>
      <c r="I1406" s="4">
        <v>0</v>
      </c>
    </row>
    <row r="1407" spans="1:9" x14ac:dyDescent="0.2">
      <c r="A1407" s="2">
        <v>11</v>
      </c>
      <c r="B1407" s="1" t="s">
        <v>177</v>
      </c>
      <c r="C1407" s="4">
        <v>4</v>
      </c>
      <c r="D1407" s="8">
        <v>1.95</v>
      </c>
      <c r="E1407" s="4">
        <v>0</v>
      </c>
      <c r="F1407" s="8">
        <v>0</v>
      </c>
      <c r="G1407" s="4">
        <v>4</v>
      </c>
      <c r="H1407" s="8">
        <v>5.97</v>
      </c>
      <c r="I1407" s="4">
        <v>0</v>
      </c>
    </row>
    <row r="1408" spans="1:9" x14ac:dyDescent="0.2">
      <c r="A1408" s="2">
        <v>11</v>
      </c>
      <c r="B1408" s="1" t="s">
        <v>205</v>
      </c>
      <c r="C1408" s="4">
        <v>4</v>
      </c>
      <c r="D1408" s="8">
        <v>1.95</v>
      </c>
      <c r="E1408" s="4">
        <v>2</v>
      </c>
      <c r="F1408" s="8">
        <v>1.52</v>
      </c>
      <c r="G1408" s="4">
        <v>2</v>
      </c>
      <c r="H1408" s="8">
        <v>2.99</v>
      </c>
      <c r="I1408" s="4">
        <v>0</v>
      </c>
    </row>
    <row r="1409" spans="1:9" x14ac:dyDescent="0.2">
      <c r="A1409" s="2">
        <v>11</v>
      </c>
      <c r="B1409" s="1" t="s">
        <v>215</v>
      </c>
      <c r="C1409" s="4">
        <v>4</v>
      </c>
      <c r="D1409" s="8">
        <v>1.95</v>
      </c>
      <c r="E1409" s="4">
        <v>4</v>
      </c>
      <c r="F1409" s="8">
        <v>3.03</v>
      </c>
      <c r="G1409" s="4">
        <v>0</v>
      </c>
      <c r="H1409" s="8">
        <v>0</v>
      </c>
      <c r="I1409" s="4">
        <v>0</v>
      </c>
    </row>
    <row r="1410" spans="1:9" x14ac:dyDescent="0.2">
      <c r="A1410" s="2">
        <v>11</v>
      </c>
      <c r="B1410" s="1" t="s">
        <v>216</v>
      </c>
      <c r="C1410" s="4">
        <v>4</v>
      </c>
      <c r="D1410" s="8">
        <v>1.95</v>
      </c>
      <c r="E1410" s="4">
        <v>0</v>
      </c>
      <c r="F1410" s="8">
        <v>0</v>
      </c>
      <c r="G1410" s="4">
        <v>4</v>
      </c>
      <c r="H1410" s="8">
        <v>5.97</v>
      </c>
      <c r="I1410" s="4">
        <v>0</v>
      </c>
    </row>
    <row r="1411" spans="1:9" x14ac:dyDescent="0.2">
      <c r="A1411" s="2">
        <v>11</v>
      </c>
      <c r="B1411" s="1" t="s">
        <v>183</v>
      </c>
      <c r="C1411" s="4">
        <v>4</v>
      </c>
      <c r="D1411" s="8">
        <v>1.95</v>
      </c>
      <c r="E1411" s="4">
        <v>3</v>
      </c>
      <c r="F1411" s="8">
        <v>2.27</v>
      </c>
      <c r="G1411" s="4">
        <v>1</v>
      </c>
      <c r="H1411" s="8">
        <v>1.49</v>
      </c>
      <c r="I1411" s="4">
        <v>0</v>
      </c>
    </row>
    <row r="1412" spans="1:9" x14ac:dyDescent="0.2">
      <c r="A1412" s="2">
        <v>11</v>
      </c>
      <c r="B1412" s="1" t="s">
        <v>184</v>
      </c>
      <c r="C1412" s="4">
        <v>4</v>
      </c>
      <c r="D1412" s="8">
        <v>1.95</v>
      </c>
      <c r="E1412" s="4">
        <v>2</v>
      </c>
      <c r="F1412" s="8">
        <v>1.52</v>
      </c>
      <c r="G1412" s="4">
        <v>1</v>
      </c>
      <c r="H1412" s="8">
        <v>1.49</v>
      </c>
      <c r="I1412" s="4">
        <v>0</v>
      </c>
    </row>
    <row r="1413" spans="1:9" x14ac:dyDescent="0.2">
      <c r="A1413" s="2">
        <v>11</v>
      </c>
      <c r="B1413" s="1" t="s">
        <v>185</v>
      </c>
      <c r="C1413" s="4">
        <v>4</v>
      </c>
      <c r="D1413" s="8">
        <v>1.95</v>
      </c>
      <c r="E1413" s="4">
        <v>2</v>
      </c>
      <c r="F1413" s="8">
        <v>1.52</v>
      </c>
      <c r="G1413" s="4">
        <v>2</v>
      </c>
      <c r="H1413" s="8">
        <v>2.99</v>
      </c>
      <c r="I1413" s="4">
        <v>0</v>
      </c>
    </row>
    <row r="1414" spans="1:9" x14ac:dyDescent="0.2">
      <c r="A1414" s="2">
        <v>11</v>
      </c>
      <c r="B1414" s="1" t="s">
        <v>189</v>
      </c>
      <c r="C1414" s="4">
        <v>4</v>
      </c>
      <c r="D1414" s="8">
        <v>1.95</v>
      </c>
      <c r="E1414" s="4">
        <v>4</v>
      </c>
      <c r="F1414" s="8">
        <v>3.03</v>
      </c>
      <c r="G1414" s="4">
        <v>0</v>
      </c>
      <c r="H1414" s="8">
        <v>0</v>
      </c>
      <c r="I1414" s="4">
        <v>0</v>
      </c>
    </row>
    <row r="1415" spans="1:9" x14ac:dyDescent="0.2">
      <c r="A1415" s="2">
        <v>11</v>
      </c>
      <c r="B1415" s="1" t="s">
        <v>192</v>
      </c>
      <c r="C1415" s="4">
        <v>4</v>
      </c>
      <c r="D1415" s="8">
        <v>1.95</v>
      </c>
      <c r="E1415" s="4">
        <v>4</v>
      </c>
      <c r="F1415" s="8">
        <v>3.03</v>
      </c>
      <c r="G1415" s="4">
        <v>0</v>
      </c>
      <c r="H1415" s="8">
        <v>0</v>
      </c>
      <c r="I1415" s="4">
        <v>0</v>
      </c>
    </row>
    <row r="1416" spans="1:9" x14ac:dyDescent="0.2">
      <c r="A1416" s="2">
        <v>11</v>
      </c>
      <c r="B1416" s="1" t="s">
        <v>193</v>
      </c>
      <c r="C1416" s="4">
        <v>4</v>
      </c>
      <c r="D1416" s="8">
        <v>1.95</v>
      </c>
      <c r="E1416" s="4">
        <v>4</v>
      </c>
      <c r="F1416" s="8">
        <v>3.03</v>
      </c>
      <c r="G1416" s="4">
        <v>0</v>
      </c>
      <c r="H1416" s="8">
        <v>0</v>
      </c>
      <c r="I1416" s="4">
        <v>0</v>
      </c>
    </row>
    <row r="1417" spans="1:9" x14ac:dyDescent="0.2">
      <c r="A1417" s="1"/>
      <c r="C1417" s="4"/>
      <c r="D1417" s="8"/>
      <c r="E1417" s="4"/>
      <c r="F1417" s="8"/>
      <c r="G1417" s="4"/>
      <c r="H1417" s="8"/>
      <c r="I1417" s="4"/>
    </row>
    <row r="1418" spans="1:9" x14ac:dyDescent="0.2">
      <c r="A1418" s="1" t="s">
        <v>54</v>
      </c>
      <c r="C1418" s="4"/>
      <c r="D1418" s="8"/>
      <c r="E1418" s="4"/>
      <c r="F1418" s="8"/>
      <c r="G1418" s="4"/>
      <c r="H1418" s="8"/>
      <c r="I1418" s="4"/>
    </row>
    <row r="1419" spans="1:9" x14ac:dyDescent="0.2">
      <c r="A1419" s="2">
        <v>1</v>
      </c>
      <c r="B1419" s="1" t="s">
        <v>181</v>
      </c>
      <c r="C1419" s="4">
        <v>16</v>
      </c>
      <c r="D1419" s="8">
        <v>7.27</v>
      </c>
      <c r="E1419" s="4">
        <v>16</v>
      </c>
      <c r="F1419" s="8">
        <v>10.46</v>
      </c>
      <c r="G1419" s="4">
        <v>0</v>
      </c>
      <c r="H1419" s="8">
        <v>0</v>
      </c>
      <c r="I1419" s="4">
        <v>0</v>
      </c>
    </row>
    <row r="1420" spans="1:9" x14ac:dyDescent="0.2">
      <c r="A1420" s="2">
        <v>2</v>
      </c>
      <c r="B1420" s="1" t="s">
        <v>185</v>
      </c>
      <c r="C1420" s="4">
        <v>14</v>
      </c>
      <c r="D1420" s="8">
        <v>6.36</v>
      </c>
      <c r="E1420" s="4">
        <v>10</v>
      </c>
      <c r="F1420" s="8">
        <v>6.54</v>
      </c>
      <c r="G1420" s="4">
        <v>4</v>
      </c>
      <c r="H1420" s="8">
        <v>6.15</v>
      </c>
      <c r="I1420" s="4">
        <v>0</v>
      </c>
    </row>
    <row r="1421" spans="1:9" x14ac:dyDescent="0.2">
      <c r="A1421" s="2">
        <v>3</v>
      </c>
      <c r="B1421" s="1" t="s">
        <v>298</v>
      </c>
      <c r="C1421" s="4">
        <v>11</v>
      </c>
      <c r="D1421" s="8">
        <v>5</v>
      </c>
      <c r="E1421" s="4">
        <v>6</v>
      </c>
      <c r="F1421" s="8">
        <v>3.92</v>
      </c>
      <c r="G1421" s="4">
        <v>5</v>
      </c>
      <c r="H1421" s="8">
        <v>7.69</v>
      </c>
      <c r="I1421" s="4">
        <v>0</v>
      </c>
    </row>
    <row r="1422" spans="1:9" x14ac:dyDescent="0.2">
      <c r="A1422" s="2">
        <v>4</v>
      </c>
      <c r="B1422" s="1" t="s">
        <v>174</v>
      </c>
      <c r="C1422" s="4">
        <v>10</v>
      </c>
      <c r="D1422" s="8">
        <v>4.55</v>
      </c>
      <c r="E1422" s="4">
        <v>0</v>
      </c>
      <c r="F1422" s="8">
        <v>0</v>
      </c>
      <c r="G1422" s="4">
        <v>10</v>
      </c>
      <c r="H1422" s="8">
        <v>15.38</v>
      </c>
      <c r="I1422" s="4">
        <v>0</v>
      </c>
    </row>
    <row r="1423" spans="1:9" x14ac:dyDescent="0.2">
      <c r="A1423" s="2">
        <v>5</v>
      </c>
      <c r="B1423" s="1" t="s">
        <v>230</v>
      </c>
      <c r="C1423" s="4">
        <v>8</v>
      </c>
      <c r="D1423" s="8">
        <v>3.64</v>
      </c>
      <c r="E1423" s="4">
        <v>3</v>
      </c>
      <c r="F1423" s="8">
        <v>1.96</v>
      </c>
      <c r="G1423" s="4">
        <v>5</v>
      </c>
      <c r="H1423" s="8">
        <v>7.69</v>
      </c>
      <c r="I1423" s="4">
        <v>0</v>
      </c>
    </row>
    <row r="1424" spans="1:9" x14ac:dyDescent="0.2">
      <c r="A1424" s="2">
        <v>6</v>
      </c>
      <c r="B1424" s="1" t="s">
        <v>175</v>
      </c>
      <c r="C1424" s="4">
        <v>7</v>
      </c>
      <c r="D1424" s="8">
        <v>3.18</v>
      </c>
      <c r="E1424" s="4">
        <v>3</v>
      </c>
      <c r="F1424" s="8">
        <v>1.96</v>
      </c>
      <c r="G1424" s="4">
        <v>4</v>
      </c>
      <c r="H1424" s="8">
        <v>6.15</v>
      </c>
      <c r="I1424" s="4">
        <v>0</v>
      </c>
    </row>
    <row r="1425" spans="1:9" x14ac:dyDescent="0.2">
      <c r="A1425" s="2">
        <v>7</v>
      </c>
      <c r="B1425" s="1" t="s">
        <v>177</v>
      </c>
      <c r="C1425" s="4">
        <v>6</v>
      </c>
      <c r="D1425" s="8">
        <v>2.73</v>
      </c>
      <c r="E1425" s="4">
        <v>4</v>
      </c>
      <c r="F1425" s="8">
        <v>2.61</v>
      </c>
      <c r="G1425" s="4">
        <v>2</v>
      </c>
      <c r="H1425" s="8">
        <v>3.08</v>
      </c>
      <c r="I1425" s="4">
        <v>0</v>
      </c>
    </row>
    <row r="1426" spans="1:9" x14ac:dyDescent="0.2">
      <c r="A1426" s="2">
        <v>7</v>
      </c>
      <c r="B1426" s="1" t="s">
        <v>211</v>
      </c>
      <c r="C1426" s="4">
        <v>6</v>
      </c>
      <c r="D1426" s="8">
        <v>2.73</v>
      </c>
      <c r="E1426" s="4">
        <v>2</v>
      </c>
      <c r="F1426" s="8">
        <v>1.31</v>
      </c>
      <c r="G1426" s="4">
        <v>4</v>
      </c>
      <c r="H1426" s="8">
        <v>6.15</v>
      </c>
      <c r="I1426" s="4">
        <v>0</v>
      </c>
    </row>
    <row r="1427" spans="1:9" x14ac:dyDescent="0.2">
      <c r="A1427" s="2">
        <v>7</v>
      </c>
      <c r="B1427" s="1" t="s">
        <v>216</v>
      </c>
      <c r="C1427" s="4">
        <v>6</v>
      </c>
      <c r="D1427" s="8">
        <v>2.73</v>
      </c>
      <c r="E1427" s="4">
        <v>2</v>
      </c>
      <c r="F1427" s="8">
        <v>1.31</v>
      </c>
      <c r="G1427" s="4">
        <v>4</v>
      </c>
      <c r="H1427" s="8">
        <v>6.15</v>
      </c>
      <c r="I1427" s="4">
        <v>0</v>
      </c>
    </row>
    <row r="1428" spans="1:9" x14ac:dyDescent="0.2">
      <c r="A1428" s="2">
        <v>7</v>
      </c>
      <c r="B1428" s="1" t="s">
        <v>186</v>
      </c>
      <c r="C1428" s="4">
        <v>6</v>
      </c>
      <c r="D1428" s="8">
        <v>2.73</v>
      </c>
      <c r="E1428" s="4">
        <v>5</v>
      </c>
      <c r="F1428" s="8">
        <v>3.27</v>
      </c>
      <c r="G1428" s="4">
        <v>1</v>
      </c>
      <c r="H1428" s="8">
        <v>1.54</v>
      </c>
      <c r="I1428" s="4">
        <v>0</v>
      </c>
    </row>
    <row r="1429" spans="1:9" x14ac:dyDescent="0.2">
      <c r="A1429" s="2">
        <v>7</v>
      </c>
      <c r="B1429" s="1" t="s">
        <v>198</v>
      </c>
      <c r="C1429" s="4">
        <v>6</v>
      </c>
      <c r="D1429" s="8">
        <v>2.73</v>
      </c>
      <c r="E1429" s="4">
        <v>4</v>
      </c>
      <c r="F1429" s="8">
        <v>2.61</v>
      </c>
      <c r="G1429" s="4">
        <v>2</v>
      </c>
      <c r="H1429" s="8">
        <v>3.08</v>
      </c>
      <c r="I1429" s="4">
        <v>0</v>
      </c>
    </row>
    <row r="1430" spans="1:9" x14ac:dyDescent="0.2">
      <c r="A1430" s="2">
        <v>12</v>
      </c>
      <c r="B1430" s="1" t="s">
        <v>318</v>
      </c>
      <c r="C1430" s="4">
        <v>5</v>
      </c>
      <c r="D1430" s="8">
        <v>2.27</v>
      </c>
      <c r="E1430" s="4">
        <v>5</v>
      </c>
      <c r="F1430" s="8">
        <v>3.27</v>
      </c>
      <c r="G1430" s="4">
        <v>0</v>
      </c>
      <c r="H1430" s="8">
        <v>0</v>
      </c>
      <c r="I1430" s="4">
        <v>0</v>
      </c>
    </row>
    <row r="1431" spans="1:9" x14ac:dyDescent="0.2">
      <c r="A1431" s="2">
        <v>12</v>
      </c>
      <c r="B1431" s="1" t="s">
        <v>214</v>
      </c>
      <c r="C1431" s="4">
        <v>5</v>
      </c>
      <c r="D1431" s="8">
        <v>2.27</v>
      </c>
      <c r="E1431" s="4">
        <v>5</v>
      </c>
      <c r="F1431" s="8">
        <v>3.27</v>
      </c>
      <c r="G1431" s="4">
        <v>0</v>
      </c>
      <c r="H1431" s="8">
        <v>0</v>
      </c>
      <c r="I1431" s="4">
        <v>0</v>
      </c>
    </row>
    <row r="1432" spans="1:9" x14ac:dyDescent="0.2">
      <c r="A1432" s="2">
        <v>12</v>
      </c>
      <c r="B1432" s="1" t="s">
        <v>197</v>
      </c>
      <c r="C1432" s="4">
        <v>5</v>
      </c>
      <c r="D1432" s="8">
        <v>2.27</v>
      </c>
      <c r="E1432" s="4">
        <v>3</v>
      </c>
      <c r="F1432" s="8">
        <v>1.96</v>
      </c>
      <c r="G1432" s="4">
        <v>2</v>
      </c>
      <c r="H1432" s="8">
        <v>3.08</v>
      </c>
      <c r="I1432" s="4">
        <v>0</v>
      </c>
    </row>
    <row r="1433" spans="1:9" x14ac:dyDescent="0.2">
      <c r="A1433" s="2">
        <v>12</v>
      </c>
      <c r="B1433" s="1" t="s">
        <v>190</v>
      </c>
      <c r="C1433" s="4">
        <v>5</v>
      </c>
      <c r="D1433" s="8">
        <v>2.27</v>
      </c>
      <c r="E1433" s="4">
        <v>5</v>
      </c>
      <c r="F1433" s="8">
        <v>3.27</v>
      </c>
      <c r="G1433" s="4">
        <v>0</v>
      </c>
      <c r="H1433" s="8">
        <v>0</v>
      </c>
      <c r="I1433" s="4">
        <v>0</v>
      </c>
    </row>
    <row r="1434" spans="1:9" x14ac:dyDescent="0.2">
      <c r="A1434" s="2">
        <v>16</v>
      </c>
      <c r="B1434" s="1" t="s">
        <v>210</v>
      </c>
      <c r="C1434" s="4">
        <v>4</v>
      </c>
      <c r="D1434" s="8">
        <v>1.82</v>
      </c>
      <c r="E1434" s="4">
        <v>4</v>
      </c>
      <c r="F1434" s="8">
        <v>2.61</v>
      </c>
      <c r="G1434" s="4">
        <v>0</v>
      </c>
      <c r="H1434" s="8">
        <v>0</v>
      </c>
      <c r="I1434" s="4">
        <v>0</v>
      </c>
    </row>
    <row r="1435" spans="1:9" x14ac:dyDescent="0.2">
      <c r="A1435" s="2">
        <v>16</v>
      </c>
      <c r="B1435" s="1" t="s">
        <v>180</v>
      </c>
      <c r="C1435" s="4">
        <v>4</v>
      </c>
      <c r="D1435" s="8">
        <v>1.82</v>
      </c>
      <c r="E1435" s="4">
        <v>3</v>
      </c>
      <c r="F1435" s="8">
        <v>1.96</v>
      </c>
      <c r="G1435" s="4">
        <v>1</v>
      </c>
      <c r="H1435" s="8">
        <v>1.54</v>
      </c>
      <c r="I1435" s="4">
        <v>0</v>
      </c>
    </row>
    <row r="1436" spans="1:9" x14ac:dyDescent="0.2">
      <c r="A1436" s="2">
        <v>16</v>
      </c>
      <c r="B1436" s="1" t="s">
        <v>191</v>
      </c>
      <c r="C1436" s="4">
        <v>4</v>
      </c>
      <c r="D1436" s="8">
        <v>1.82</v>
      </c>
      <c r="E1436" s="4">
        <v>4</v>
      </c>
      <c r="F1436" s="8">
        <v>2.61</v>
      </c>
      <c r="G1436" s="4">
        <v>0</v>
      </c>
      <c r="H1436" s="8">
        <v>0</v>
      </c>
      <c r="I1436" s="4">
        <v>0</v>
      </c>
    </row>
    <row r="1437" spans="1:9" x14ac:dyDescent="0.2">
      <c r="A1437" s="2">
        <v>19</v>
      </c>
      <c r="B1437" s="1" t="s">
        <v>178</v>
      </c>
      <c r="C1437" s="4">
        <v>3</v>
      </c>
      <c r="D1437" s="8">
        <v>1.36</v>
      </c>
      <c r="E1437" s="4">
        <v>1</v>
      </c>
      <c r="F1437" s="8">
        <v>0.65</v>
      </c>
      <c r="G1437" s="4">
        <v>2</v>
      </c>
      <c r="H1437" s="8">
        <v>3.08</v>
      </c>
      <c r="I1437" s="4">
        <v>0</v>
      </c>
    </row>
    <row r="1438" spans="1:9" x14ac:dyDescent="0.2">
      <c r="A1438" s="2">
        <v>19</v>
      </c>
      <c r="B1438" s="1" t="s">
        <v>319</v>
      </c>
      <c r="C1438" s="4">
        <v>3</v>
      </c>
      <c r="D1438" s="8">
        <v>1.36</v>
      </c>
      <c r="E1438" s="4">
        <v>3</v>
      </c>
      <c r="F1438" s="8">
        <v>1.96</v>
      </c>
      <c r="G1438" s="4">
        <v>0</v>
      </c>
      <c r="H1438" s="8">
        <v>0</v>
      </c>
      <c r="I1438" s="4">
        <v>0</v>
      </c>
    </row>
    <row r="1439" spans="1:9" x14ac:dyDescent="0.2">
      <c r="A1439" s="2">
        <v>19</v>
      </c>
      <c r="B1439" s="1" t="s">
        <v>179</v>
      </c>
      <c r="C1439" s="4">
        <v>3</v>
      </c>
      <c r="D1439" s="8">
        <v>1.36</v>
      </c>
      <c r="E1439" s="4">
        <v>3</v>
      </c>
      <c r="F1439" s="8">
        <v>1.96</v>
      </c>
      <c r="G1439" s="4">
        <v>0</v>
      </c>
      <c r="H1439" s="8">
        <v>0</v>
      </c>
      <c r="I1439" s="4">
        <v>0</v>
      </c>
    </row>
    <row r="1440" spans="1:9" x14ac:dyDescent="0.2">
      <c r="A1440" s="2">
        <v>19</v>
      </c>
      <c r="B1440" s="1" t="s">
        <v>192</v>
      </c>
      <c r="C1440" s="4">
        <v>3</v>
      </c>
      <c r="D1440" s="8">
        <v>1.36</v>
      </c>
      <c r="E1440" s="4">
        <v>3</v>
      </c>
      <c r="F1440" s="8">
        <v>1.96</v>
      </c>
      <c r="G1440" s="4">
        <v>0</v>
      </c>
      <c r="H1440" s="8">
        <v>0</v>
      </c>
      <c r="I1440" s="4">
        <v>0</v>
      </c>
    </row>
    <row r="1441" spans="1:9" x14ac:dyDescent="0.2">
      <c r="A1441" s="2">
        <v>19</v>
      </c>
      <c r="B1441" s="1" t="s">
        <v>200</v>
      </c>
      <c r="C1441" s="4">
        <v>3</v>
      </c>
      <c r="D1441" s="8">
        <v>1.36</v>
      </c>
      <c r="E1441" s="4">
        <v>3</v>
      </c>
      <c r="F1441" s="8">
        <v>1.96</v>
      </c>
      <c r="G1441" s="4">
        <v>0</v>
      </c>
      <c r="H1441" s="8">
        <v>0</v>
      </c>
      <c r="I1441" s="4">
        <v>0</v>
      </c>
    </row>
    <row r="1442" spans="1:9" x14ac:dyDescent="0.2">
      <c r="A1442" s="1"/>
      <c r="C1442" s="4"/>
      <c r="D1442" s="8"/>
      <c r="E1442" s="4"/>
      <c r="F1442" s="8"/>
      <c r="G1442" s="4"/>
      <c r="H1442" s="8"/>
      <c r="I1442" s="4"/>
    </row>
    <row r="1443" spans="1:9" x14ac:dyDescent="0.2">
      <c r="A1443" s="1" t="s">
        <v>55</v>
      </c>
      <c r="C1443" s="4"/>
      <c r="D1443" s="8"/>
      <c r="E1443" s="4"/>
      <c r="F1443" s="8"/>
      <c r="G1443" s="4"/>
      <c r="H1443" s="8"/>
      <c r="I1443" s="4"/>
    </row>
    <row r="1444" spans="1:9" x14ac:dyDescent="0.2">
      <c r="A1444" s="2">
        <v>1</v>
      </c>
      <c r="B1444" s="1" t="s">
        <v>176</v>
      </c>
      <c r="C1444" s="4">
        <v>8</v>
      </c>
      <c r="D1444" s="8">
        <v>5.03</v>
      </c>
      <c r="E1444" s="4">
        <v>4</v>
      </c>
      <c r="F1444" s="8">
        <v>3.17</v>
      </c>
      <c r="G1444" s="4">
        <v>4</v>
      </c>
      <c r="H1444" s="8">
        <v>12.9</v>
      </c>
      <c r="I1444" s="4">
        <v>0</v>
      </c>
    </row>
    <row r="1445" spans="1:9" x14ac:dyDescent="0.2">
      <c r="A1445" s="2">
        <v>1</v>
      </c>
      <c r="B1445" s="1" t="s">
        <v>185</v>
      </c>
      <c r="C1445" s="4">
        <v>8</v>
      </c>
      <c r="D1445" s="8">
        <v>5.03</v>
      </c>
      <c r="E1445" s="4">
        <v>6</v>
      </c>
      <c r="F1445" s="8">
        <v>4.76</v>
      </c>
      <c r="G1445" s="4">
        <v>2</v>
      </c>
      <c r="H1445" s="8">
        <v>6.45</v>
      </c>
      <c r="I1445" s="4">
        <v>0</v>
      </c>
    </row>
    <row r="1446" spans="1:9" x14ac:dyDescent="0.2">
      <c r="A1446" s="2">
        <v>1</v>
      </c>
      <c r="B1446" s="1" t="s">
        <v>191</v>
      </c>
      <c r="C1446" s="4">
        <v>8</v>
      </c>
      <c r="D1446" s="8">
        <v>5.03</v>
      </c>
      <c r="E1446" s="4">
        <v>8</v>
      </c>
      <c r="F1446" s="8">
        <v>6.35</v>
      </c>
      <c r="G1446" s="4">
        <v>0</v>
      </c>
      <c r="H1446" s="8">
        <v>0</v>
      </c>
      <c r="I1446" s="4">
        <v>0</v>
      </c>
    </row>
    <row r="1447" spans="1:9" x14ac:dyDescent="0.2">
      <c r="A1447" s="2">
        <v>4</v>
      </c>
      <c r="B1447" s="1" t="s">
        <v>242</v>
      </c>
      <c r="C1447" s="4">
        <v>7</v>
      </c>
      <c r="D1447" s="8">
        <v>4.4000000000000004</v>
      </c>
      <c r="E1447" s="4">
        <v>6</v>
      </c>
      <c r="F1447" s="8">
        <v>4.76</v>
      </c>
      <c r="G1447" s="4">
        <v>1</v>
      </c>
      <c r="H1447" s="8">
        <v>3.23</v>
      </c>
      <c r="I1447" s="4">
        <v>0</v>
      </c>
    </row>
    <row r="1448" spans="1:9" x14ac:dyDescent="0.2">
      <c r="A1448" s="2">
        <v>5</v>
      </c>
      <c r="B1448" s="1" t="s">
        <v>188</v>
      </c>
      <c r="C1448" s="4">
        <v>6</v>
      </c>
      <c r="D1448" s="8">
        <v>3.77</v>
      </c>
      <c r="E1448" s="4">
        <v>6</v>
      </c>
      <c r="F1448" s="8">
        <v>4.76</v>
      </c>
      <c r="G1448" s="4">
        <v>0</v>
      </c>
      <c r="H1448" s="8">
        <v>0</v>
      </c>
      <c r="I1448" s="4">
        <v>0</v>
      </c>
    </row>
    <row r="1449" spans="1:9" x14ac:dyDescent="0.2">
      <c r="A1449" s="2">
        <v>6</v>
      </c>
      <c r="B1449" s="1" t="s">
        <v>174</v>
      </c>
      <c r="C1449" s="4">
        <v>4</v>
      </c>
      <c r="D1449" s="8">
        <v>2.52</v>
      </c>
      <c r="E1449" s="4">
        <v>1</v>
      </c>
      <c r="F1449" s="8">
        <v>0.79</v>
      </c>
      <c r="G1449" s="4">
        <v>3</v>
      </c>
      <c r="H1449" s="8">
        <v>9.68</v>
      </c>
      <c r="I1449" s="4">
        <v>0</v>
      </c>
    </row>
    <row r="1450" spans="1:9" x14ac:dyDescent="0.2">
      <c r="A1450" s="2">
        <v>6</v>
      </c>
      <c r="B1450" s="1" t="s">
        <v>177</v>
      </c>
      <c r="C1450" s="4">
        <v>4</v>
      </c>
      <c r="D1450" s="8">
        <v>2.52</v>
      </c>
      <c r="E1450" s="4">
        <v>4</v>
      </c>
      <c r="F1450" s="8">
        <v>3.17</v>
      </c>
      <c r="G1450" s="4">
        <v>0</v>
      </c>
      <c r="H1450" s="8">
        <v>0</v>
      </c>
      <c r="I1450" s="4">
        <v>0</v>
      </c>
    </row>
    <row r="1451" spans="1:9" x14ac:dyDescent="0.2">
      <c r="A1451" s="2">
        <v>6</v>
      </c>
      <c r="B1451" s="1" t="s">
        <v>298</v>
      </c>
      <c r="C1451" s="4">
        <v>4</v>
      </c>
      <c r="D1451" s="8">
        <v>2.52</v>
      </c>
      <c r="E1451" s="4">
        <v>4</v>
      </c>
      <c r="F1451" s="8">
        <v>3.17</v>
      </c>
      <c r="G1451" s="4">
        <v>0</v>
      </c>
      <c r="H1451" s="8">
        <v>0</v>
      </c>
      <c r="I1451" s="4">
        <v>0</v>
      </c>
    </row>
    <row r="1452" spans="1:9" x14ac:dyDescent="0.2">
      <c r="A1452" s="2">
        <v>6</v>
      </c>
      <c r="B1452" s="1" t="s">
        <v>214</v>
      </c>
      <c r="C1452" s="4">
        <v>4</v>
      </c>
      <c r="D1452" s="8">
        <v>2.52</v>
      </c>
      <c r="E1452" s="4">
        <v>4</v>
      </c>
      <c r="F1452" s="8">
        <v>3.17</v>
      </c>
      <c r="G1452" s="4">
        <v>0</v>
      </c>
      <c r="H1452" s="8">
        <v>0</v>
      </c>
      <c r="I1452" s="4">
        <v>0</v>
      </c>
    </row>
    <row r="1453" spans="1:9" x14ac:dyDescent="0.2">
      <c r="A1453" s="2">
        <v>6</v>
      </c>
      <c r="B1453" s="1" t="s">
        <v>192</v>
      </c>
      <c r="C1453" s="4">
        <v>4</v>
      </c>
      <c r="D1453" s="8">
        <v>2.52</v>
      </c>
      <c r="E1453" s="4">
        <v>4</v>
      </c>
      <c r="F1453" s="8">
        <v>3.17</v>
      </c>
      <c r="G1453" s="4">
        <v>0</v>
      </c>
      <c r="H1453" s="8">
        <v>0</v>
      </c>
      <c r="I1453" s="4">
        <v>0</v>
      </c>
    </row>
    <row r="1454" spans="1:9" x14ac:dyDescent="0.2">
      <c r="A1454" s="2">
        <v>11</v>
      </c>
      <c r="B1454" s="1" t="s">
        <v>224</v>
      </c>
      <c r="C1454" s="4">
        <v>3</v>
      </c>
      <c r="D1454" s="8">
        <v>1.89</v>
      </c>
      <c r="E1454" s="4">
        <v>3</v>
      </c>
      <c r="F1454" s="8">
        <v>2.38</v>
      </c>
      <c r="G1454" s="4">
        <v>0</v>
      </c>
      <c r="H1454" s="8">
        <v>0</v>
      </c>
      <c r="I1454" s="4">
        <v>0</v>
      </c>
    </row>
    <row r="1455" spans="1:9" x14ac:dyDescent="0.2">
      <c r="A1455" s="2">
        <v>11</v>
      </c>
      <c r="B1455" s="1" t="s">
        <v>286</v>
      </c>
      <c r="C1455" s="4">
        <v>3</v>
      </c>
      <c r="D1455" s="8">
        <v>1.89</v>
      </c>
      <c r="E1455" s="4">
        <v>3</v>
      </c>
      <c r="F1455" s="8">
        <v>2.38</v>
      </c>
      <c r="G1455" s="4">
        <v>0</v>
      </c>
      <c r="H1455" s="8">
        <v>0</v>
      </c>
      <c r="I1455" s="4">
        <v>0</v>
      </c>
    </row>
    <row r="1456" spans="1:9" x14ac:dyDescent="0.2">
      <c r="A1456" s="2">
        <v>11</v>
      </c>
      <c r="B1456" s="1" t="s">
        <v>197</v>
      </c>
      <c r="C1456" s="4">
        <v>3</v>
      </c>
      <c r="D1456" s="8">
        <v>1.89</v>
      </c>
      <c r="E1456" s="4">
        <v>2</v>
      </c>
      <c r="F1456" s="8">
        <v>1.59</v>
      </c>
      <c r="G1456" s="4">
        <v>1</v>
      </c>
      <c r="H1456" s="8">
        <v>3.23</v>
      </c>
      <c r="I1456" s="4">
        <v>0</v>
      </c>
    </row>
    <row r="1457" spans="1:9" x14ac:dyDescent="0.2">
      <c r="A1457" s="2">
        <v>11</v>
      </c>
      <c r="B1457" s="1" t="s">
        <v>205</v>
      </c>
      <c r="C1457" s="4">
        <v>3</v>
      </c>
      <c r="D1457" s="8">
        <v>1.89</v>
      </c>
      <c r="E1457" s="4">
        <v>3</v>
      </c>
      <c r="F1457" s="8">
        <v>2.38</v>
      </c>
      <c r="G1457" s="4">
        <v>0</v>
      </c>
      <c r="H1457" s="8">
        <v>0</v>
      </c>
      <c r="I1457" s="4">
        <v>0</v>
      </c>
    </row>
    <row r="1458" spans="1:9" x14ac:dyDescent="0.2">
      <c r="A1458" s="2">
        <v>11</v>
      </c>
      <c r="B1458" s="1" t="s">
        <v>186</v>
      </c>
      <c r="C1458" s="4">
        <v>3</v>
      </c>
      <c r="D1458" s="8">
        <v>1.89</v>
      </c>
      <c r="E1458" s="4">
        <v>3</v>
      </c>
      <c r="F1458" s="8">
        <v>2.38</v>
      </c>
      <c r="G1458" s="4">
        <v>0</v>
      </c>
      <c r="H1458" s="8">
        <v>0</v>
      </c>
      <c r="I1458" s="4">
        <v>0</v>
      </c>
    </row>
    <row r="1459" spans="1:9" x14ac:dyDescent="0.2">
      <c r="A1459" s="2">
        <v>11</v>
      </c>
      <c r="B1459" s="1" t="s">
        <v>190</v>
      </c>
      <c r="C1459" s="4">
        <v>3</v>
      </c>
      <c r="D1459" s="8">
        <v>1.89</v>
      </c>
      <c r="E1459" s="4">
        <v>3</v>
      </c>
      <c r="F1459" s="8">
        <v>2.38</v>
      </c>
      <c r="G1459" s="4">
        <v>0</v>
      </c>
      <c r="H1459" s="8">
        <v>0</v>
      </c>
      <c r="I1459" s="4">
        <v>0</v>
      </c>
    </row>
    <row r="1460" spans="1:9" x14ac:dyDescent="0.2">
      <c r="A1460" s="2">
        <v>17</v>
      </c>
      <c r="B1460" s="1" t="s">
        <v>175</v>
      </c>
      <c r="C1460" s="4">
        <v>2</v>
      </c>
      <c r="D1460" s="8">
        <v>1.26</v>
      </c>
      <c r="E1460" s="4">
        <v>1</v>
      </c>
      <c r="F1460" s="8">
        <v>0.79</v>
      </c>
      <c r="G1460" s="4">
        <v>1</v>
      </c>
      <c r="H1460" s="8">
        <v>3.23</v>
      </c>
      <c r="I1460" s="4">
        <v>0</v>
      </c>
    </row>
    <row r="1461" spans="1:9" x14ac:dyDescent="0.2">
      <c r="A1461" s="2">
        <v>17</v>
      </c>
      <c r="B1461" s="1" t="s">
        <v>210</v>
      </c>
      <c r="C1461" s="4">
        <v>2</v>
      </c>
      <c r="D1461" s="8">
        <v>1.26</v>
      </c>
      <c r="E1461" s="4">
        <v>2</v>
      </c>
      <c r="F1461" s="8">
        <v>1.59</v>
      </c>
      <c r="G1461" s="4">
        <v>0</v>
      </c>
      <c r="H1461" s="8">
        <v>0</v>
      </c>
      <c r="I1461" s="4">
        <v>0</v>
      </c>
    </row>
    <row r="1462" spans="1:9" x14ac:dyDescent="0.2">
      <c r="A1462" s="2">
        <v>17</v>
      </c>
      <c r="B1462" s="1" t="s">
        <v>266</v>
      </c>
      <c r="C1462" s="4">
        <v>2</v>
      </c>
      <c r="D1462" s="8">
        <v>1.26</v>
      </c>
      <c r="E1462" s="4">
        <v>0</v>
      </c>
      <c r="F1462" s="8">
        <v>0</v>
      </c>
      <c r="G1462" s="4">
        <v>2</v>
      </c>
      <c r="H1462" s="8">
        <v>6.45</v>
      </c>
      <c r="I1462" s="4">
        <v>0</v>
      </c>
    </row>
    <row r="1463" spans="1:9" x14ac:dyDescent="0.2">
      <c r="A1463" s="2">
        <v>17</v>
      </c>
      <c r="B1463" s="1" t="s">
        <v>201</v>
      </c>
      <c r="C1463" s="4">
        <v>2</v>
      </c>
      <c r="D1463" s="8">
        <v>1.26</v>
      </c>
      <c r="E1463" s="4">
        <v>2</v>
      </c>
      <c r="F1463" s="8">
        <v>1.59</v>
      </c>
      <c r="G1463" s="4">
        <v>0</v>
      </c>
      <c r="H1463" s="8">
        <v>0</v>
      </c>
      <c r="I1463" s="4">
        <v>0</v>
      </c>
    </row>
    <row r="1464" spans="1:9" x14ac:dyDescent="0.2">
      <c r="A1464" s="2">
        <v>17</v>
      </c>
      <c r="B1464" s="1" t="s">
        <v>320</v>
      </c>
      <c r="C1464" s="4">
        <v>2</v>
      </c>
      <c r="D1464" s="8">
        <v>1.26</v>
      </c>
      <c r="E1464" s="4">
        <v>1</v>
      </c>
      <c r="F1464" s="8">
        <v>0.79</v>
      </c>
      <c r="G1464" s="4">
        <v>1</v>
      </c>
      <c r="H1464" s="8">
        <v>3.23</v>
      </c>
      <c r="I1464" s="4">
        <v>0</v>
      </c>
    </row>
    <row r="1465" spans="1:9" x14ac:dyDescent="0.2">
      <c r="A1465" s="2">
        <v>17</v>
      </c>
      <c r="B1465" s="1" t="s">
        <v>236</v>
      </c>
      <c r="C1465" s="4">
        <v>2</v>
      </c>
      <c r="D1465" s="8">
        <v>1.26</v>
      </c>
      <c r="E1465" s="4">
        <v>0</v>
      </c>
      <c r="F1465" s="8">
        <v>0</v>
      </c>
      <c r="G1465" s="4">
        <v>2</v>
      </c>
      <c r="H1465" s="8">
        <v>6.45</v>
      </c>
      <c r="I1465" s="4">
        <v>0</v>
      </c>
    </row>
    <row r="1466" spans="1:9" x14ac:dyDescent="0.2">
      <c r="A1466" s="2">
        <v>17</v>
      </c>
      <c r="B1466" s="1" t="s">
        <v>321</v>
      </c>
      <c r="C1466" s="4">
        <v>2</v>
      </c>
      <c r="D1466" s="8">
        <v>1.26</v>
      </c>
      <c r="E1466" s="4">
        <v>2</v>
      </c>
      <c r="F1466" s="8">
        <v>1.59</v>
      </c>
      <c r="G1466" s="4">
        <v>0</v>
      </c>
      <c r="H1466" s="8">
        <v>0</v>
      </c>
      <c r="I1466" s="4">
        <v>0</v>
      </c>
    </row>
    <row r="1467" spans="1:9" x14ac:dyDescent="0.2">
      <c r="A1467" s="2">
        <v>17</v>
      </c>
      <c r="B1467" s="1" t="s">
        <v>281</v>
      </c>
      <c r="C1467" s="4">
        <v>2</v>
      </c>
      <c r="D1467" s="8">
        <v>1.26</v>
      </c>
      <c r="E1467" s="4">
        <v>2</v>
      </c>
      <c r="F1467" s="8">
        <v>1.59</v>
      </c>
      <c r="G1467" s="4">
        <v>0</v>
      </c>
      <c r="H1467" s="8">
        <v>0</v>
      </c>
      <c r="I1467" s="4">
        <v>0</v>
      </c>
    </row>
    <row r="1468" spans="1:9" x14ac:dyDescent="0.2">
      <c r="A1468" s="2">
        <v>17</v>
      </c>
      <c r="B1468" s="1" t="s">
        <v>274</v>
      </c>
      <c r="C1468" s="4">
        <v>2</v>
      </c>
      <c r="D1468" s="8">
        <v>1.26</v>
      </c>
      <c r="E1468" s="4">
        <v>2</v>
      </c>
      <c r="F1468" s="8">
        <v>1.59</v>
      </c>
      <c r="G1468" s="4">
        <v>0</v>
      </c>
      <c r="H1468" s="8">
        <v>0</v>
      </c>
      <c r="I1468" s="4">
        <v>0</v>
      </c>
    </row>
    <row r="1469" spans="1:9" x14ac:dyDescent="0.2">
      <c r="A1469" s="2">
        <v>17</v>
      </c>
      <c r="B1469" s="1" t="s">
        <v>211</v>
      </c>
      <c r="C1469" s="4">
        <v>2</v>
      </c>
      <c r="D1469" s="8">
        <v>1.26</v>
      </c>
      <c r="E1469" s="4">
        <v>0</v>
      </c>
      <c r="F1469" s="8">
        <v>0</v>
      </c>
      <c r="G1469" s="4">
        <v>1</v>
      </c>
      <c r="H1469" s="8">
        <v>3.23</v>
      </c>
      <c r="I1469" s="4">
        <v>1</v>
      </c>
    </row>
    <row r="1470" spans="1:9" x14ac:dyDescent="0.2">
      <c r="A1470" s="2">
        <v>17</v>
      </c>
      <c r="B1470" s="1" t="s">
        <v>227</v>
      </c>
      <c r="C1470" s="4">
        <v>2</v>
      </c>
      <c r="D1470" s="8">
        <v>1.26</v>
      </c>
      <c r="E1470" s="4">
        <v>2</v>
      </c>
      <c r="F1470" s="8">
        <v>1.59</v>
      </c>
      <c r="G1470" s="4">
        <v>0</v>
      </c>
      <c r="H1470" s="8">
        <v>0</v>
      </c>
      <c r="I1470" s="4">
        <v>0</v>
      </c>
    </row>
    <row r="1471" spans="1:9" x14ac:dyDescent="0.2">
      <c r="A1471" s="2">
        <v>17</v>
      </c>
      <c r="B1471" s="1" t="s">
        <v>179</v>
      </c>
      <c r="C1471" s="4">
        <v>2</v>
      </c>
      <c r="D1471" s="8">
        <v>1.26</v>
      </c>
      <c r="E1471" s="4">
        <v>2</v>
      </c>
      <c r="F1471" s="8">
        <v>1.59</v>
      </c>
      <c r="G1471" s="4">
        <v>0</v>
      </c>
      <c r="H1471" s="8">
        <v>0</v>
      </c>
      <c r="I1471" s="4">
        <v>0</v>
      </c>
    </row>
    <row r="1472" spans="1:9" x14ac:dyDescent="0.2">
      <c r="A1472" s="2">
        <v>17</v>
      </c>
      <c r="B1472" s="1" t="s">
        <v>219</v>
      </c>
      <c r="C1472" s="4">
        <v>2</v>
      </c>
      <c r="D1472" s="8">
        <v>1.26</v>
      </c>
      <c r="E1472" s="4">
        <v>2</v>
      </c>
      <c r="F1472" s="8">
        <v>1.59</v>
      </c>
      <c r="G1472" s="4">
        <v>0</v>
      </c>
      <c r="H1472" s="8">
        <v>0</v>
      </c>
      <c r="I1472" s="4">
        <v>0</v>
      </c>
    </row>
    <row r="1473" spans="1:9" x14ac:dyDescent="0.2">
      <c r="A1473" s="2">
        <v>17</v>
      </c>
      <c r="B1473" s="1" t="s">
        <v>222</v>
      </c>
      <c r="C1473" s="4">
        <v>2</v>
      </c>
      <c r="D1473" s="8">
        <v>1.26</v>
      </c>
      <c r="E1473" s="4">
        <v>2</v>
      </c>
      <c r="F1473" s="8">
        <v>1.59</v>
      </c>
      <c r="G1473" s="4">
        <v>0</v>
      </c>
      <c r="H1473" s="8">
        <v>0</v>
      </c>
      <c r="I1473" s="4">
        <v>0</v>
      </c>
    </row>
    <row r="1474" spans="1:9" x14ac:dyDescent="0.2">
      <c r="A1474" s="2">
        <v>17</v>
      </c>
      <c r="B1474" s="1" t="s">
        <v>194</v>
      </c>
      <c r="C1474" s="4">
        <v>2</v>
      </c>
      <c r="D1474" s="8">
        <v>1.26</v>
      </c>
      <c r="E1474" s="4">
        <v>1</v>
      </c>
      <c r="F1474" s="8">
        <v>0.79</v>
      </c>
      <c r="G1474" s="4">
        <v>1</v>
      </c>
      <c r="H1474" s="8">
        <v>3.23</v>
      </c>
      <c r="I1474" s="4">
        <v>0</v>
      </c>
    </row>
    <row r="1475" spans="1:9" x14ac:dyDescent="0.2">
      <c r="A1475" s="2">
        <v>17</v>
      </c>
      <c r="B1475" s="1" t="s">
        <v>182</v>
      </c>
      <c r="C1475" s="4">
        <v>2</v>
      </c>
      <c r="D1475" s="8">
        <v>1.26</v>
      </c>
      <c r="E1475" s="4">
        <v>1</v>
      </c>
      <c r="F1475" s="8">
        <v>0.79</v>
      </c>
      <c r="G1475" s="4">
        <v>1</v>
      </c>
      <c r="H1475" s="8">
        <v>3.23</v>
      </c>
      <c r="I1475" s="4">
        <v>0</v>
      </c>
    </row>
    <row r="1476" spans="1:9" x14ac:dyDescent="0.2">
      <c r="A1476" s="2">
        <v>17</v>
      </c>
      <c r="B1476" s="1" t="s">
        <v>322</v>
      </c>
      <c r="C1476" s="4">
        <v>2</v>
      </c>
      <c r="D1476" s="8">
        <v>1.26</v>
      </c>
      <c r="E1476" s="4">
        <v>2</v>
      </c>
      <c r="F1476" s="8">
        <v>1.59</v>
      </c>
      <c r="G1476" s="4">
        <v>0</v>
      </c>
      <c r="H1476" s="8">
        <v>0</v>
      </c>
      <c r="I1476" s="4">
        <v>0</v>
      </c>
    </row>
    <row r="1477" spans="1:9" x14ac:dyDescent="0.2">
      <c r="A1477" s="2">
        <v>17</v>
      </c>
      <c r="B1477" s="1" t="s">
        <v>220</v>
      </c>
      <c r="C1477" s="4">
        <v>2</v>
      </c>
      <c r="D1477" s="8">
        <v>1.26</v>
      </c>
      <c r="E1477" s="4">
        <v>2</v>
      </c>
      <c r="F1477" s="8">
        <v>1.59</v>
      </c>
      <c r="G1477" s="4">
        <v>0</v>
      </c>
      <c r="H1477" s="8">
        <v>0</v>
      </c>
      <c r="I1477" s="4">
        <v>0</v>
      </c>
    </row>
    <row r="1478" spans="1:9" x14ac:dyDescent="0.2">
      <c r="A1478" s="2">
        <v>17</v>
      </c>
      <c r="B1478" s="1" t="s">
        <v>228</v>
      </c>
      <c r="C1478" s="4">
        <v>2</v>
      </c>
      <c r="D1478" s="8">
        <v>1.26</v>
      </c>
      <c r="E1478" s="4">
        <v>2</v>
      </c>
      <c r="F1478" s="8">
        <v>1.59</v>
      </c>
      <c r="G1478" s="4">
        <v>0</v>
      </c>
      <c r="H1478" s="8">
        <v>0</v>
      </c>
      <c r="I1478" s="4">
        <v>0</v>
      </c>
    </row>
    <row r="1479" spans="1:9" x14ac:dyDescent="0.2">
      <c r="A1479" s="2">
        <v>17</v>
      </c>
      <c r="B1479" s="1" t="s">
        <v>193</v>
      </c>
      <c r="C1479" s="4">
        <v>2</v>
      </c>
      <c r="D1479" s="8">
        <v>1.26</v>
      </c>
      <c r="E1479" s="4">
        <v>2</v>
      </c>
      <c r="F1479" s="8">
        <v>1.59</v>
      </c>
      <c r="G1479" s="4">
        <v>0</v>
      </c>
      <c r="H1479" s="8">
        <v>0</v>
      </c>
      <c r="I1479" s="4">
        <v>0</v>
      </c>
    </row>
    <row r="1480" spans="1:9" x14ac:dyDescent="0.2">
      <c r="A1480" s="1"/>
      <c r="C1480" s="4"/>
      <c r="D1480" s="8"/>
      <c r="E1480" s="4"/>
      <c r="F1480" s="8"/>
      <c r="G1480" s="4"/>
      <c r="H1480" s="8"/>
      <c r="I1480" s="4"/>
    </row>
    <row r="1481" spans="1:9" x14ac:dyDescent="0.2">
      <c r="A1481" s="1" t="s">
        <v>56</v>
      </c>
      <c r="C1481" s="4"/>
      <c r="D1481" s="8"/>
      <c r="E1481" s="4"/>
      <c r="F1481" s="8"/>
      <c r="G1481" s="4"/>
      <c r="H1481" s="8"/>
      <c r="I1481" s="4"/>
    </row>
    <row r="1482" spans="1:9" x14ac:dyDescent="0.2">
      <c r="A1482" s="2">
        <v>1</v>
      </c>
      <c r="B1482" s="1" t="s">
        <v>185</v>
      </c>
      <c r="C1482" s="4">
        <v>16</v>
      </c>
      <c r="D1482" s="8">
        <v>32.65</v>
      </c>
      <c r="E1482" s="4">
        <v>13</v>
      </c>
      <c r="F1482" s="8">
        <v>54.17</v>
      </c>
      <c r="G1482" s="4">
        <v>3</v>
      </c>
      <c r="H1482" s="8">
        <v>13.04</v>
      </c>
      <c r="I1482" s="4">
        <v>0</v>
      </c>
    </row>
    <row r="1483" spans="1:9" x14ac:dyDescent="0.2">
      <c r="A1483" s="2">
        <v>2</v>
      </c>
      <c r="B1483" s="1" t="s">
        <v>194</v>
      </c>
      <c r="C1483" s="4">
        <v>4</v>
      </c>
      <c r="D1483" s="8">
        <v>8.16</v>
      </c>
      <c r="E1483" s="4">
        <v>3</v>
      </c>
      <c r="F1483" s="8">
        <v>12.5</v>
      </c>
      <c r="G1483" s="4">
        <v>1</v>
      </c>
      <c r="H1483" s="8">
        <v>4.3499999999999996</v>
      </c>
      <c r="I1483" s="4">
        <v>0</v>
      </c>
    </row>
    <row r="1484" spans="1:9" x14ac:dyDescent="0.2">
      <c r="A1484" s="2">
        <v>3</v>
      </c>
      <c r="B1484" s="1" t="s">
        <v>174</v>
      </c>
      <c r="C1484" s="4">
        <v>3</v>
      </c>
      <c r="D1484" s="8">
        <v>6.12</v>
      </c>
      <c r="E1484" s="4">
        <v>0</v>
      </c>
      <c r="F1484" s="8">
        <v>0</v>
      </c>
      <c r="G1484" s="4">
        <v>3</v>
      </c>
      <c r="H1484" s="8">
        <v>13.04</v>
      </c>
      <c r="I1484" s="4">
        <v>0</v>
      </c>
    </row>
    <row r="1485" spans="1:9" x14ac:dyDescent="0.2">
      <c r="A1485" s="2">
        <v>4</v>
      </c>
      <c r="B1485" s="1" t="s">
        <v>230</v>
      </c>
      <c r="C1485" s="4">
        <v>2</v>
      </c>
      <c r="D1485" s="8">
        <v>4.08</v>
      </c>
      <c r="E1485" s="4">
        <v>1</v>
      </c>
      <c r="F1485" s="8">
        <v>4.17</v>
      </c>
      <c r="G1485" s="4">
        <v>1</v>
      </c>
      <c r="H1485" s="8">
        <v>4.3499999999999996</v>
      </c>
      <c r="I1485" s="4">
        <v>0</v>
      </c>
    </row>
    <row r="1486" spans="1:9" x14ac:dyDescent="0.2">
      <c r="A1486" s="2">
        <v>4</v>
      </c>
      <c r="B1486" s="1" t="s">
        <v>226</v>
      </c>
      <c r="C1486" s="4">
        <v>2</v>
      </c>
      <c r="D1486" s="8">
        <v>4.08</v>
      </c>
      <c r="E1486" s="4">
        <v>1</v>
      </c>
      <c r="F1486" s="8">
        <v>4.17</v>
      </c>
      <c r="G1486" s="4">
        <v>1</v>
      </c>
      <c r="H1486" s="8">
        <v>4.3499999999999996</v>
      </c>
      <c r="I1486" s="4">
        <v>0</v>
      </c>
    </row>
    <row r="1487" spans="1:9" x14ac:dyDescent="0.2">
      <c r="A1487" s="2">
        <v>4</v>
      </c>
      <c r="B1487" s="1" t="s">
        <v>181</v>
      </c>
      <c r="C1487" s="4">
        <v>2</v>
      </c>
      <c r="D1487" s="8">
        <v>4.08</v>
      </c>
      <c r="E1487" s="4">
        <v>1</v>
      </c>
      <c r="F1487" s="8">
        <v>4.17</v>
      </c>
      <c r="G1487" s="4">
        <v>1</v>
      </c>
      <c r="H1487" s="8">
        <v>4.3499999999999996</v>
      </c>
      <c r="I1487" s="4">
        <v>0</v>
      </c>
    </row>
    <row r="1488" spans="1:9" x14ac:dyDescent="0.2">
      <c r="A1488" s="2">
        <v>4</v>
      </c>
      <c r="B1488" s="1" t="s">
        <v>220</v>
      </c>
      <c r="C1488" s="4">
        <v>2</v>
      </c>
      <c r="D1488" s="8">
        <v>4.08</v>
      </c>
      <c r="E1488" s="4">
        <v>0</v>
      </c>
      <c r="F1488" s="8">
        <v>0</v>
      </c>
      <c r="G1488" s="4">
        <v>2</v>
      </c>
      <c r="H1488" s="8">
        <v>8.6999999999999993</v>
      </c>
      <c r="I1488" s="4">
        <v>0</v>
      </c>
    </row>
    <row r="1489" spans="1:9" x14ac:dyDescent="0.2">
      <c r="A1489" s="2">
        <v>8</v>
      </c>
      <c r="B1489" s="1" t="s">
        <v>252</v>
      </c>
      <c r="C1489" s="4">
        <v>1</v>
      </c>
      <c r="D1489" s="8">
        <v>2.04</v>
      </c>
      <c r="E1489" s="4">
        <v>0</v>
      </c>
      <c r="F1489" s="8">
        <v>0</v>
      </c>
      <c r="G1489" s="4">
        <v>1</v>
      </c>
      <c r="H1489" s="8">
        <v>4.3499999999999996</v>
      </c>
      <c r="I1489" s="4">
        <v>0</v>
      </c>
    </row>
    <row r="1490" spans="1:9" x14ac:dyDescent="0.2">
      <c r="A1490" s="2">
        <v>8</v>
      </c>
      <c r="B1490" s="1" t="s">
        <v>176</v>
      </c>
      <c r="C1490" s="4">
        <v>1</v>
      </c>
      <c r="D1490" s="8">
        <v>2.04</v>
      </c>
      <c r="E1490" s="4">
        <v>0</v>
      </c>
      <c r="F1490" s="8">
        <v>0</v>
      </c>
      <c r="G1490" s="4">
        <v>1</v>
      </c>
      <c r="H1490" s="8">
        <v>4.3499999999999996</v>
      </c>
      <c r="I1490" s="4">
        <v>0</v>
      </c>
    </row>
    <row r="1491" spans="1:9" x14ac:dyDescent="0.2">
      <c r="A1491" s="2">
        <v>8</v>
      </c>
      <c r="B1491" s="1" t="s">
        <v>208</v>
      </c>
      <c r="C1491" s="4">
        <v>1</v>
      </c>
      <c r="D1491" s="8">
        <v>2.04</v>
      </c>
      <c r="E1491" s="4">
        <v>0</v>
      </c>
      <c r="F1491" s="8">
        <v>0</v>
      </c>
      <c r="G1491" s="4">
        <v>1</v>
      </c>
      <c r="H1491" s="8">
        <v>4.3499999999999996</v>
      </c>
      <c r="I1491" s="4">
        <v>0</v>
      </c>
    </row>
    <row r="1492" spans="1:9" x14ac:dyDescent="0.2">
      <c r="A1492" s="2">
        <v>8</v>
      </c>
      <c r="B1492" s="1" t="s">
        <v>323</v>
      </c>
      <c r="C1492" s="4">
        <v>1</v>
      </c>
      <c r="D1492" s="8">
        <v>2.04</v>
      </c>
      <c r="E1492" s="4">
        <v>1</v>
      </c>
      <c r="F1492" s="8">
        <v>4.17</v>
      </c>
      <c r="G1492" s="4">
        <v>0</v>
      </c>
      <c r="H1492" s="8">
        <v>0</v>
      </c>
      <c r="I1492" s="4">
        <v>0</v>
      </c>
    </row>
    <row r="1493" spans="1:9" x14ac:dyDescent="0.2">
      <c r="A1493" s="2">
        <v>8</v>
      </c>
      <c r="B1493" s="1" t="s">
        <v>239</v>
      </c>
      <c r="C1493" s="4">
        <v>1</v>
      </c>
      <c r="D1493" s="8">
        <v>2.04</v>
      </c>
      <c r="E1493" s="4">
        <v>0</v>
      </c>
      <c r="F1493" s="8">
        <v>0</v>
      </c>
      <c r="G1493" s="4">
        <v>0</v>
      </c>
      <c r="H1493" s="8">
        <v>0</v>
      </c>
      <c r="I1493" s="4">
        <v>0</v>
      </c>
    </row>
    <row r="1494" spans="1:9" x14ac:dyDescent="0.2">
      <c r="A1494" s="2">
        <v>8</v>
      </c>
      <c r="B1494" s="1" t="s">
        <v>316</v>
      </c>
      <c r="C1494" s="4">
        <v>1</v>
      </c>
      <c r="D1494" s="8">
        <v>2.04</v>
      </c>
      <c r="E1494" s="4">
        <v>0</v>
      </c>
      <c r="F1494" s="8">
        <v>0</v>
      </c>
      <c r="G1494" s="4">
        <v>1</v>
      </c>
      <c r="H1494" s="8">
        <v>4.3499999999999996</v>
      </c>
      <c r="I1494" s="4">
        <v>0</v>
      </c>
    </row>
    <row r="1495" spans="1:9" x14ac:dyDescent="0.2">
      <c r="A1495" s="2">
        <v>8</v>
      </c>
      <c r="B1495" s="1" t="s">
        <v>225</v>
      </c>
      <c r="C1495" s="4">
        <v>1</v>
      </c>
      <c r="D1495" s="8">
        <v>2.04</v>
      </c>
      <c r="E1495" s="4">
        <v>0</v>
      </c>
      <c r="F1495" s="8">
        <v>0</v>
      </c>
      <c r="G1495" s="4">
        <v>1</v>
      </c>
      <c r="H1495" s="8">
        <v>4.3499999999999996</v>
      </c>
      <c r="I1495" s="4">
        <v>0</v>
      </c>
    </row>
    <row r="1496" spans="1:9" x14ac:dyDescent="0.2">
      <c r="A1496" s="2">
        <v>8</v>
      </c>
      <c r="B1496" s="1" t="s">
        <v>214</v>
      </c>
      <c r="C1496" s="4">
        <v>1</v>
      </c>
      <c r="D1496" s="8">
        <v>2.04</v>
      </c>
      <c r="E1496" s="4">
        <v>0</v>
      </c>
      <c r="F1496" s="8">
        <v>0</v>
      </c>
      <c r="G1496" s="4">
        <v>1</v>
      </c>
      <c r="H1496" s="8">
        <v>4.3499999999999996</v>
      </c>
      <c r="I1496" s="4">
        <v>0</v>
      </c>
    </row>
    <row r="1497" spans="1:9" x14ac:dyDescent="0.2">
      <c r="A1497" s="2">
        <v>8</v>
      </c>
      <c r="B1497" s="1" t="s">
        <v>179</v>
      </c>
      <c r="C1497" s="4">
        <v>1</v>
      </c>
      <c r="D1497" s="8">
        <v>2.04</v>
      </c>
      <c r="E1497" s="4">
        <v>0</v>
      </c>
      <c r="F1497" s="8">
        <v>0</v>
      </c>
      <c r="G1497" s="4">
        <v>1</v>
      </c>
      <c r="H1497" s="8">
        <v>4.3499999999999996</v>
      </c>
      <c r="I1497" s="4">
        <v>0</v>
      </c>
    </row>
    <row r="1498" spans="1:9" x14ac:dyDescent="0.2">
      <c r="A1498" s="2">
        <v>8</v>
      </c>
      <c r="B1498" s="1" t="s">
        <v>216</v>
      </c>
      <c r="C1498" s="4">
        <v>1</v>
      </c>
      <c r="D1498" s="8">
        <v>2.04</v>
      </c>
      <c r="E1498" s="4">
        <v>0</v>
      </c>
      <c r="F1498" s="8">
        <v>0</v>
      </c>
      <c r="G1498" s="4">
        <v>1</v>
      </c>
      <c r="H1498" s="8">
        <v>4.3499999999999996</v>
      </c>
      <c r="I1498" s="4">
        <v>0</v>
      </c>
    </row>
    <row r="1499" spans="1:9" x14ac:dyDescent="0.2">
      <c r="A1499" s="2">
        <v>8</v>
      </c>
      <c r="B1499" s="1" t="s">
        <v>324</v>
      </c>
      <c r="C1499" s="4">
        <v>1</v>
      </c>
      <c r="D1499" s="8">
        <v>2.04</v>
      </c>
      <c r="E1499" s="4">
        <v>0</v>
      </c>
      <c r="F1499" s="8">
        <v>0</v>
      </c>
      <c r="G1499" s="4">
        <v>1</v>
      </c>
      <c r="H1499" s="8">
        <v>4.3499999999999996</v>
      </c>
      <c r="I1499" s="4">
        <v>0</v>
      </c>
    </row>
    <row r="1500" spans="1:9" x14ac:dyDescent="0.2">
      <c r="A1500" s="2">
        <v>8</v>
      </c>
      <c r="B1500" s="1" t="s">
        <v>184</v>
      </c>
      <c r="C1500" s="4">
        <v>1</v>
      </c>
      <c r="D1500" s="8">
        <v>2.04</v>
      </c>
      <c r="E1500" s="4">
        <v>0</v>
      </c>
      <c r="F1500" s="8">
        <v>0</v>
      </c>
      <c r="G1500" s="4">
        <v>0</v>
      </c>
      <c r="H1500" s="8">
        <v>0</v>
      </c>
      <c r="I1500" s="4">
        <v>0</v>
      </c>
    </row>
    <row r="1501" spans="1:9" x14ac:dyDescent="0.2">
      <c r="A1501" s="2">
        <v>8</v>
      </c>
      <c r="B1501" s="1" t="s">
        <v>247</v>
      </c>
      <c r="C1501" s="4">
        <v>1</v>
      </c>
      <c r="D1501" s="8">
        <v>2.04</v>
      </c>
      <c r="E1501" s="4">
        <v>1</v>
      </c>
      <c r="F1501" s="8">
        <v>4.17</v>
      </c>
      <c r="G1501" s="4">
        <v>0</v>
      </c>
      <c r="H1501" s="8">
        <v>0</v>
      </c>
      <c r="I1501" s="4">
        <v>0</v>
      </c>
    </row>
    <row r="1502" spans="1:9" x14ac:dyDescent="0.2">
      <c r="A1502" s="2">
        <v>8</v>
      </c>
      <c r="B1502" s="1" t="s">
        <v>187</v>
      </c>
      <c r="C1502" s="4">
        <v>1</v>
      </c>
      <c r="D1502" s="8">
        <v>2.04</v>
      </c>
      <c r="E1502" s="4">
        <v>1</v>
      </c>
      <c r="F1502" s="8">
        <v>4.17</v>
      </c>
      <c r="G1502" s="4">
        <v>0</v>
      </c>
      <c r="H1502" s="8">
        <v>0</v>
      </c>
      <c r="I1502" s="4">
        <v>0</v>
      </c>
    </row>
    <row r="1503" spans="1:9" x14ac:dyDescent="0.2">
      <c r="A1503" s="2">
        <v>8</v>
      </c>
      <c r="B1503" s="1" t="s">
        <v>190</v>
      </c>
      <c r="C1503" s="4">
        <v>1</v>
      </c>
      <c r="D1503" s="8">
        <v>2.04</v>
      </c>
      <c r="E1503" s="4">
        <v>1</v>
      </c>
      <c r="F1503" s="8">
        <v>4.17</v>
      </c>
      <c r="G1503" s="4">
        <v>0</v>
      </c>
      <c r="H1503" s="8">
        <v>0</v>
      </c>
      <c r="I1503" s="4">
        <v>0</v>
      </c>
    </row>
    <row r="1504" spans="1:9" x14ac:dyDescent="0.2">
      <c r="A1504" s="2">
        <v>8</v>
      </c>
      <c r="B1504" s="1" t="s">
        <v>191</v>
      </c>
      <c r="C1504" s="4">
        <v>1</v>
      </c>
      <c r="D1504" s="8">
        <v>2.04</v>
      </c>
      <c r="E1504" s="4">
        <v>1</v>
      </c>
      <c r="F1504" s="8">
        <v>4.17</v>
      </c>
      <c r="G1504" s="4">
        <v>0</v>
      </c>
      <c r="H1504" s="8">
        <v>0</v>
      </c>
      <c r="I1504" s="4">
        <v>0</v>
      </c>
    </row>
    <row r="1505" spans="1:9" x14ac:dyDescent="0.2">
      <c r="A1505" s="2">
        <v>8</v>
      </c>
      <c r="B1505" s="1" t="s">
        <v>228</v>
      </c>
      <c r="C1505" s="4">
        <v>1</v>
      </c>
      <c r="D1505" s="8">
        <v>2.04</v>
      </c>
      <c r="E1505" s="4">
        <v>0</v>
      </c>
      <c r="F1505" s="8">
        <v>0</v>
      </c>
      <c r="G1505" s="4">
        <v>1</v>
      </c>
      <c r="H1505" s="8">
        <v>4.3499999999999996</v>
      </c>
      <c r="I1505" s="4">
        <v>0</v>
      </c>
    </row>
    <row r="1506" spans="1:9" x14ac:dyDescent="0.2">
      <c r="A1506" s="2">
        <v>8</v>
      </c>
      <c r="B1506" s="1" t="s">
        <v>229</v>
      </c>
      <c r="C1506" s="4">
        <v>1</v>
      </c>
      <c r="D1506" s="8">
        <v>2.04</v>
      </c>
      <c r="E1506" s="4">
        <v>0</v>
      </c>
      <c r="F1506" s="8">
        <v>0</v>
      </c>
      <c r="G1506" s="4">
        <v>1</v>
      </c>
      <c r="H1506" s="8">
        <v>4.3499999999999996</v>
      </c>
      <c r="I1506" s="4">
        <v>0</v>
      </c>
    </row>
    <row r="1507" spans="1:9" x14ac:dyDescent="0.2">
      <c r="A1507" s="1"/>
      <c r="C1507" s="4"/>
      <c r="D1507" s="8"/>
      <c r="E1507" s="4"/>
      <c r="F1507" s="8"/>
      <c r="G1507" s="4"/>
      <c r="H1507" s="8"/>
      <c r="I1507" s="4"/>
    </row>
    <row r="1508" spans="1:9" x14ac:dyDescent="0.2">
      <c r="A1508" s="1" t="s">
        <v>57</v>
      </c>
      <c r="C1508" s="4"/>
      <c r="D1508" s="8"/>
      <c r="E1508" s="4"/>
      <c r="F1508" s="8"/>
      <c r="G1508" s="4"/>
      <c r="H1508" s="8"/>
      <c r="I1508" s="4"/>
    </row>
    <row r="1509" spans="1:9" x14ac:dyDescent="0.2">
      <c r="A1509" s="2">
        <v>1</v>
      </c>
      <c r="B1509" s="1" t="s">
        <v>174</v>
      </c>
      <c r="C1509" s="4">
        <v>9</v>
      </c>
      <c r="D1509" s="8">
        <v>5.77</v>
      </c>
      <c r="E1509" s="4">
        <v>2</v>
      </c>
      <c r="F1509" s="8">
        <v>2.13</v>
      </c>
      <c r="G1509" s="4">
        <v>7</v>
      </c>
      <c r="H1509" s="8">
        <v>12.5</v>
      </c>
      <c r="I1509" s="4">
        <v>0</v>
      </c>
    </row>
    <row r="1510" spans="1:9" x14ac:dyDescent="0.2">
      <c r="A1510" s="2">
        <v>1</v>
      </c>
      <c r="B1510" s="1" t="s">
        <v>191</v>
      </c>
      <c r="C1510" s="4">
        <v>9</v>
      </c>
      <c r="D1510" s="8">
        <v>5.77</v>
      </c>
      <c r="E1510" s="4">
        <v>9</v>
      </c>
      <c r="F1510" s="8">
        <v>9.57</v>
      </c>
      <c r="G1510" s="4">
        <v>0</v>
      </c>
      <c r="H1510" s="8">
        <v>0</v>
      </c>
      <c r="I1510" s="4">
        <v>0</v>
      </c>
    </row>
    <row r="1511" spans="1:9" x14ac:dyDescent="0.2">
      <c r="A1511" s="2">
        <v>3</v>
      </c>
      <c r="B1511" s="1" t="s">
        <v>175</v>
      </c>
      <c r="C1511" s="4">
        <v>6</v>
      </c>
      <c r="D1511" s="8">
        <v>3.85</v>
      </c>
      <c r="E1511" s="4">
        <v>2</v>
      </c>
      <c r="F1511" s="8">
        <v>2.13</v>
      </c>
      <c r="G1511" s="4">
        <v>4</v>
      </c>
      <c r="H1511" s="8">
        <v>7.14</v>
      </c>
      <c r="I1511" s="4">
        <v>0</v>
      </c>
    </row>
    <row r="1512" spans="1:9" x14ac:dyDescent="0.2">
      <c r="A1512" s="2">
        <v>3</v>
      </c>
      <c r="B1512" s="1" t="s">
        <v>178</v>
      </c>
      <c r="C1512" s="4">
        <v>6</v>
      </c>
      <c r="D1512" s="8">
        <v>3.85</v>
      </c>
      <c r="E1512" s="4">
        <v>5</v>
      </c>
      <c r="F1512" s="8">
        <v>5.32</v>
      </c>
      <c r="G1512" s="4">
        <v>1</v>
      </c>
      <c r="H1512" s="8">
        <v>1.79</v>
      </c>
      <c r="I1512" s="4">
        <v>0</v>
      </c>
    </row>
    <row r="1513" spans="1:9" x14ac:dyDescent="0.2">
      <c r="A1513" s="2">
        <v>5</v>
      </c>
      <c r="B1513" s="1" t="s">
        <v>176</v>
      </c>
      <c r="C1513" s="4">
        <v>5</v>
      </c>
      <c r="D1513" s="8">
        <v>3.21</v>
      </c>
      <c r="E1513" s="4">
        <v>2</v>
      </c>
      <c r="F1513" s="8">
        <v>2.13</v>
      </c>
      <c r="G1513" s="4">
        <v>3</v>
      </c>
      <c r="H1513" s="8">
        <v>5.36</v>
      </c>
      <c r="I1513" s="4">
        <v>0</v>
      </c>
    </row>
    <row r="1514" spans="1:9" x14ac:dyDescent="0.2">
      <c r="A1514" s="2">
        <v>5</v>
      </c>
      <c r="B1514" s="1" t="s">
        <v>216</v>
      </c>
      <c r="C1514" s="4">
        <v>5</v>
      </c>
      <c r="D1514" s="8">
        <v>3.21</v>
      </c>
      <c r="E1514" s="4">
        <v>3</v>
      </c>
      <c r="F1514" s="8">
        <v>3.19</v>
      </c>
      <c r="G1514" s="4">
        <v>2</v>
      </c>
      <c r="H1514" s="8">
        <v>3.57</v>
      </c>
      <c r="I1514" s="4">
        <v>0</v>
      </c>
    </row>
    <row r="1515" spans="1:9" x14ac:dyDescent="0.2">
      <c r="A1515" s="2">
        <v>5</v>
      </c>
      <c r="B1515" s="1" t="s">
        <v>193</v>
      </c>
      <c r="C1515" s="4">
        <v>5</v>
      </c>
      <c r="D1515" s="8">
        <v>3.21</v>
      </c>
      <c r="E1515" s="4">
        <v>5</v>
      </c>
      <c r="F1515" s="8">
        <v>5.32</v>
      </c>
      <c r="G1515" s="4">
        <v>0</v>
      </c>
      <c r="H1515" s="8">
        <v>0</v>
      </c>
      <c r="I1515" s="4">
        <v>0</v>
      </c>
    </row>
    <row r="1516" spans="1:9" x14ac:dyDescent="0.2">
      <c r="A1516" s="2">
        <v>8</v>
      </c>
      <c r="B1516" s="1" t="s">
        <v>230</v>
      </c>
      <c r="C1516" s="4">
        <v>4</v>
      </c>
      <c r="D1516" s="8">
        <v>2.56</v>
      </c>
      <c r="E1516" s="4">
        <v>1</v>
      </c>
      <c r="F1516" s="8">
        <v>1.06</v>
      </c>
      <c r="G1516" s="4">
        <v>3</v>
      </c>
      <c r="H1516" s="8">
        <v>5.36</v>
      </c>
      <c r="I1516" s="4">
        <v>0</v>
      </c>
    </row>
    <row r="1517" spans="1:9" x14ac:dyDescent="0.2">
      <c r="A1517" s="2">
        <v>8</v>
      </c>
      <c r="B1517" s="1" t="s">
        <v>298</v>
      </c>
      <c r="C1517" s="4">
        <v>4</v>
      </c>
      <c r="D1517" s="8">
        <v>2.56</v>
      </c>
      <c r="E1517" s="4">
        <v>2</v>
      </c>
      <c r="F1517" s="8">
        <v>2.13</v>
      </c>
      <c r="G1517" s="4">
        <v>2</v>
      </c>
      <c r="H1517" s="8">
        <v>3.57</v>
      </c>
      <c r="I1517" s="4">
        <v>0</v>
      </c>
    </row>
    <row r="1518" spans="1:9" x14ac:dyDescent="0.2">
      <c r="A1518" s="2">
        <v>8</v>
      </c>
      <c r="B1518" s="1" t="s">
        <v>196</v>
      </c>
      <c r="C1518" s="4">
        <v>4</v>
      </c>
      <c r="D1518" s="8">
        <v>2.56</v>
      </c>
      <c r="E1518" s="4">
        <v>4</v>
      </c>
      <c r="F1518" s="8">
        <v>4.26</v>
      </c>
      <c r="G1518" s="4">
        <v>0</v>
      </c>
      <c r="H1518" s="8">
        <v>0</v>
      </c>
      <c r="I1518" s="4">
        <v>0</v>
      </c>
    </row>
    <row r="1519" spans="1:9" x14ac:dyDescent="0.2">
      <c r="A1519" s="2">
        <v>8</v>
      </c>
      <c r="B1519" s="1" t="s">
        <v>197</v>
      </c>
      <c r="C1519" s="4">
        <v>4</v>
      </c>
      <c r="D1519" s="8">
        <v>2.56</v>
      </c>
      <c r="E1519" s="4">
        <v>2</v>
      </c>
      <c r="F1519" s="8">
        <v>2.13</v>
      </c>
      <c r="G1519" s="4">
        <v>0</v>
      </c>
      <c r="H1519" s="8">
        <v>0</v>
      </c>
      <c r="I1519" s="4">
        <v>2</v>
      </c>
    </row>
    <row r="1520" spans="1:9" x14ac:dyDescent="0.2">
      <c r="A1520" s="2">
        <v>8</v>
      </c>
      <c r="B1520" s="1" t="s">
        <v>212</v>
      </c>
      <c r="C1520" s="4">
        <v>4</v>
      </c>
      <c r="D1520" s="8">
        <v>2.56</v>
      </c>
      <c r="E1520" s="4">
        <v>2</v>
      </c>
      <c r="F1520" s="8">
        <v>2.13</v>
      </c>
      <c r="G1520" s="4">
        <v>2</v>
      </c>
      <c r="H1520" s="8">
        <v>3.57</v>
      </c>
      <c r="I1520" s="4">
        <v>0</v>
      </c>
    </row>
    <row r="1521" spans="1:9" x14ac:dyDescent="0.2">
      <c r="A1521" s="2">
        <v>8</v>
      </c>
      <c r="B1521" s="1" t="s">
        <v>187</v>
      </c>
      <c r="C1521" s="4">
        <v>4</v>
      </c>
      <c r="D1521" s="8">
        <v>2.56</v>
      </c>
      <c r="E1521" s="4">
        <v>1</v>
      </c>
      <c r="F1521" s="8">
        <v>1.06</v>
      </c>
      <c r="G1521" s="4">
        <v>3</v>
      </c>
      <c r="H1521" s="8">
        <v>5.36</v>
      </c>
      <c r="I1521" s="4">
        <v>0</v>
      </c>
    </row>
    <row r="1522" spans="1:9" x14ac:dyDescent="0.2">
      <c r="A1522" s="2">
        <v>8</v>
      </c>
      <c r="B1522" s="1" t="s">
        <v>190</v>
      </c>
      <c r="C1522" s="4">
        <v>4</v>
      </c>
      <c r="D1522" s="8">
        <v>2.56</v>
      </c>
      <c r="E1522" s="4">
        <v>4</v>
      </c>
      <c r="F1522" s="8">
        <v>4.26</v>
      </c>
      <c r="G1522" s="4">
        <v>0</v>
      </c>
      <c r="H1522" s="8">
        <v>0</v>
      </c>
      <c r="I1522" s="4">
        <v>0</v>
      </c>
    </row>
    <row r="1523" spans="1:9" x14ac:dyDescent="0.2">
      <c r="A1523" s="2">
        <v>8</v>
      </c>
      <c r="B1523" s="1" t="s">
        <v>192</v>
      </c>
      <c r="C1523" s="4">
        <v>4</v>
      </c>
      <c r="D1523" s="8">
        <v>2.56</v>
      </c>
      <c r="E1523" s="4">
        <v>4</v>
      </c>
      <c r="F1523" s="8">
        <v>4.26</v>
      </c>
      <c r="G1523" s="4">
        <v>0</v>
      </c>
      <c r="H1523" s="8">
        <v>0</v>
      </c>
      <c r="I1523" s="4">
        <v>0</v>
      </c>
    </row>
    <row r="1524" spans="1:9" x14ac:dyDescent="0.2">
      <c r="A1524" s="2">
        <v>16</v>
      </c>
      <c r="B1524" s="1" t="s">
        <v>179</v>
      </c>
      <c r="C1524" s="4">
        <v>3</v>
      </c>
      <c r="D1524" s="8">
        <v>1.92</v>
      </c>
      <c r="E1524" s="4">
        <v>3</v>
      </c>
      <c r="F1524" s="8">
        <v>3.19</v>
      </c>
      <c r="G1524" s="4">
        <v>0</v>
      </c>
      <c r="H1524" s="8">
        <v>0</v>
      </c>
      <c r="I1524" s="4">
        <v>0</v>
      </c>
    </row>
    <row r="1525" spans="1:9" x14ac:dyDescent="0.2">
      <c r="A1525" s="2">
        <v>16</v>
      </c>
      <c r="B1525" s="1" t="s">
        <v>181</v>
      </c>
      <c r="C1525" s="4">
        <v>3</v>
      </c>
      <c r="D1525" s="8">
        <v>1.92</v>
      </c>
      <c r="E1525" s="4">
        <v>3</v>
      </c>
      <c r="F1525" s="8">
        <v>3.19</v>
      </c>
      <c r="G1525" s="4">
        <v>0</v>
      </c>
      <c r="H1525" s="8">
        <v>0</v>
      </c>
      <c r="I1525" s="4">
        <v>0</v>
      </c>
    </row>
    <row r="1526" spans="1:9" x14ac:dyDescent="0.2">
      <c r="A1526" s="2">
        <v>16</v>
      </c>
      <c r="B1526" s="1" t="s">
        <v>186</v>
      </c>
      <c r="C1526" s="4">
        <v>3</v>
      </c>
      <c r="D1526" s="8">
        <v>1.92</v>
      </c>
      <c r="E1526" s="4">
        <v>2</v>
      </c>
      <c r="F1526" s="8">
        <v>2.13</v>
      </c>
      <c r="G1526" s="4">
        <v>1</v>
      </c>
      <c r="H1526" s="8">
        <v>1.79</v>
      </c>
      <c r="I1526" s="4">
        <v>0</v>
      </c>
    </row>
    <row r="1527" spans="1:9" x14ac:dyDescent="0.2">
      <c r="A1527" s="2">
        <v>16</v>
      </c>
      <c r="B1527" s="1" t="s">
        <v>199</v>
      </c>
      <c r="C1527" s="4">
        <v>3</v>
      </c>
      <c r="D1527" s="8">
        <v>1.92</v>
      </c>
      <c r="E1527" s="4">
        <v>3</v>
      </c>
      <c r="F1527" s="8">
        <v>3.19</v>
      </c>
      <c r="G1527" s="4">
        <v>0</v>
      </c>
      <c r="H1527" s="8">
        <v>0</v>
      </c>
      <c r="I1527" s="4">
        <v>0</v>
      </c>
    </row>
    <row r="1528" spans="1:9" x14ac:dyDescent="0.2">
      <c r="A1528" s="2">
        <v>20</v>
      </c>
      <c r="B1528" s="1" t="s">
        <v>286</v>
      </c>
      <c r="C1528" s="4">
        <v>2</v>
      </c>
      <c r="D1528" s="8">
        <v>1.28</v>
      </c>
      <c r="E1528" s="4">
        <v>2</v>
      </c>
      <c r="F1528" s="8">
        <v>2.13</v>
      </c>
      <c r="G1528" s="4">
        <v>0</v>
      </c>
      <c r="H1528" s="8">
        <v>0</v>
      </c>
      <c r="I1528" s="4">
        <v>0</v>
      </c>
    </row>
    <row r="1529" spans="1:9" x14ac:dyDescent="0.2">
      <c r="A1529" s="2">
        <v>20</v>
      </c>
      <c r="B1529" s="1" t="s">
        <v>261</v>
      </c>
      <c r="C1529" s="4">
        <v>2</v>
      </c>
      <c r="D1529" s="8">
        <v>1.28</v>
      </c>
      <c r="E1529" s="4">
        <v>1</v>
      </c>
      <c r="F1529" s="8">
        <v>1.06</v>
      </c>
      <c r="G1529" s="4">
        <v>1</v>
      </c>
      <c r="H1529" s="8">
        <v>1.79</v>
      </c>
      <c r="I1529" s="4">
        <v>0</v>
      </c>
    </row>
    <row r="1530" spans="1:9" x14ac:dyDescent="0.2">
      <c r="A1530" s="2">
        <v>20</v>
      </c>
      <c r="B1530" s="1" t="s">
        <v>177</v>
      </c>
      <c r="C1530" s="4">
        <v>2</v>
      </c>
      <c r="D1530" s="8">
        <v>1.28</v>
      </c>
      <c r="E1530" s="4">
        <v>0</v>
      </c>
      <c r="F1530" s="8">
        <v>0</v>
      </c>
      <c r="G1530" s="4">
        <v>2</v>
      </c>
      <c r="H1530" s="8">
        <v>3.57</v>
      </c>
      <c r="I1530" s="4">
        <v>0</v>
      </c>
    </row>
    <row r="1531" spans="1:9" x14ac:dyDescent="0.2">
      <c r="A1531" s="2">
        <v>20</v>
      </c>
      <c r="B1531" s="1" t="s">
        <v>318</v>
      </c>
      <c r="C1531" s="4">
        <v>2</v>
      </c>
      <c r="D1531" s="8">
        <v>1.28</v>
      </c>
      <c r="E1531" s="4">
        <v>1</v>
      </c>
      <c r="F1531" s="8">
        <v>1.06</v>
      </c>
      <c r="G1531" s="4">
        <v>1</v>
      </c>
      <c r="H1531" s="8">
        <v>1.79</v>
      </c>
      <c r="I1531" s="4">
        <v>0</v>
      </c>
    </row>
    <row r="1532" spans="1:9" x14ac:dyDescent="0.2">
      <c r="A1532" s="2">
        <v>20</v>
      </c>
      <c r="B1532" s="1" t="s">
        <v>272</v>
      </c>
      <c r="C1532" s="4">
        <v>2</v>
      </c>
      <c r="D1532" s="8">
        <v>1.28</v>
      </c>
      <c r="E1532" s="4">
        <v>0</v>
      </c>
      <c r="F1532" s="8">
        <v>0</v>
      </c>
      <c r="G1532" s="4">
        <v>2</v>
      </c>
      <c r="H1532" s="8">
        <v>3.57</v>
      </c>
      <c r="I1532" s="4">
        <v>0</v>
      </c>
    </row>
    <row r="1533" spans="1:9" x14ac:dyDescent="0.2">
      <c r="A1533" s="2">
        <v>20</v>
      </c>
      <c r="B1533" s="1" t="s">
        <v>275</v>
      </c>
      <c r="C1533" s="4">
        <v>2</v>
      </c>
      <c r="D1533" s="8">
        <v>1.28</v>
      </c>
      <c r="E1533" s="4">
        <v>1</v>
      </c>
      <c r="F1533" s="8">
        <v>1.06</v>
      </c>
      <c r="G1533" s="4">
        <v>1</v>
      </c>
      <c r="H1533" s="8">
        <v>1.79</v>
      </c>
      <c r="I1533" s="4">
        <v>0</v>
      </c>
    </row>
    <row r="1534" spans="1:9" x14ac:dyDescent="0.2">
      <c r="A1534" s="2">
        <v>20</v>
      </c>
      <c r="B1534" s="1" t="s">
        <v>227</v>
      </c>
      <c r="C1534" s="4">
        <v>2</v>
      </c>
      <c r="D1534" s="8">
        <v>1.28</v>
      </c>
      <c r="E1534" s="4">
        <v>2</v>
      </c>
      <c r="F1534" s="8">
        <v>2.13</v>
      </c>
      <c r="G1534" s="4">
        <v>0</v>
      </c>
      <c r="H1534" s="8">
        <v>0</v>
      </c>
      <c r="I1534" s="4">
        <v>0</v>
      </c>
    </row>
    <row r="1535" spans="1:9" x14ac:dyDescent="0.2">
      <c r="A1535" s="2">
        <v>20</v>
      </c>
      <c r="B1535" s="1" t="s">
        <v>205</v>
      </c>
      <c r="C1535" s="4">
        <v>2</v>
      </c>
      <c r="D1535" s="8">
        <v>1.28</v>
      </c>
      <c r="E1535" s="4">
        <v>1</v>
      </c>
      <c r="F1535" s="8">
        <v>1.06</v>
      </c>
      <c r="G1535" s="4">
        <v>1</v>
      </c>
      <c r="H1535" s="8">
        <v>1.79</v>
      </c>
      <c r="I1535" s="4">
        <v>0</v>
      </c>
    </row>
    <row r="1536" spans="1:9" x14ac:dyDescent="0.2">
      <c r="A1536" s="2">
        <v>20</v>
      </c>
      <c r="B1536" s="1" t="s">
        <v>325</v>
      </c>
      <c r="C1536" s="4">
        <v>2</v>
      </c>
      <c r="D1536" s="8">
        <v>1.28</v>
      </c>
      <c r="E1536" s="4">
        <v>1</v>
      </c>
      <c r="F1536" s="8">
        <v>1.06</v>
      </c>
      <c r="G1536" s="4">
        <v>1</v>
      </c>
      <c r="H1536" s="8">
        <v>1.79</v>
      </c>
      <c r="I1536" s="4">
        <v>0</v>
      </c>
    </row>
    <row r="1537" spans="1:9" x14ac:dyDescent="0.2">
      <c r="A1537" s="2">
        <v>20</v>
      </c>
      <c r="B1537" s="1" t="s">
        <v>326</v>
      </c>
      <c r="C1537" s="4">
        <v>2</v>
      </c>
      <c r="D1537" s="8">
        <v>1.28</v>
      </c>
      <c r="E1537" s="4">
        <v>2</v>
      </c>
      <c r="F1537" s="8">
        <v>2.13</v>
      </c>
      <c r="G1537" s="4">
        <v>0</v>
      </c>
      <c r="H1537" s="8">
        <v>0</v>
      </c>
      <c r="I1537" s="4">
        <v>0</v>
      </c>
    </row>
    <row r="1538" spans="1:9" x14ac:dyDescent="0.2">
      <c r="A1538" s="2">
        <v>20</v>
      </c>
      <c r="B1538" s="1" t="s">
        <v>247</v>
      </c>
      <c r="C1538" s="4">
        <v>2</v>
      </c>
      <c r="D1538" s="8">
        <v>1.28</v>
      </c>
      <c r="E1538" s="4">
        <v>2</v>
      </c>
      <c r="F1538" s="8">
        <v>2.13</v>
      </c>
      <c r="G1538" s="4">
        <v>0</v>
      </c>
      <c r="H1538" s="8">
        <v>0</v>
      </c>
      <c r="I1538" s="4">
        <v>0</v>
      </c>
    </row>
    <row r="1539" spans="1:9" x14ac:dyDescent="0.2">
      <c r="A1539" s="2">
        <v>20</v>
      </c>
      <c r="B1539" s="1" t="s">
        <v>188</v>
      </c>
      <c r="C1539" s="4">
        <v>2</v>
      </c>
      <c r="D1539" s="8">
        <v>1.28</v>
      </c>
      <c r="E1539" s="4">
        <v>2</v>
      </c>
      <c r="F1539" s="8">
        <v>2.13</v>
      </c>
      <c r="G1539" s="4">
        <v>0</v>
      </c>
      <c r="H1539" s="8">
        <v>0</v>
      </c>
      <c r="I1539" s="4">
        <v>0</v>
      </c>
    </row>
    <row r="1540" spans="1:9" x14ac:dyDescent="0.2">
      <c r="A1540" s="2">
        <v>20</v>
      </c>
      <c r="B1540" s="1" t="s">
        <v>198</v>
      </c>
      <c r="C1540" s="4">
        <v>2</v>
      </c>
      <c r="D1540" s="8">
        <v>1.28</v>
      </c>
      <c r="E1540" s="4">
        <v>2</v>
      </c>
      <c r="F1540" s="8">
        <v>2.13</v>
      </c>
      <c r="G1540" s="4">
        <v>0</v>
      </c>
      <c r="H1540" s="8">
        <v>0</v>
      </c>
      <c r="I1540" s="4">
        <v>0</v>
      </c>
    </row>
    <row r="1541" spans="1:9" x14ac:dyDescent="0.2">
      <c r="A1541" s="2">
        <v>20</v>
      </c>
      <c r="B1541" s="1" t="s">
        <v>209</v>
      </c>
      <c r="C1541" s="4">
        <v>2</v>
      </c>
      <c r="D1541" s="8">
        <v>1.28</v>
      </c>
      <c r="E1541" s="4">
        <v>2</v>
      </c>
      <c r="F1541" s="8">
        <v>2.13</v>
      </c>
      <c r="G1541" s="4">
        <v>0</v>
      </c>
      <c r="H1541" s="8">
        <v>0</v>
      </c>
      <c r="I1541" s="4">
        <v>0</v>
      </c>
    </row>
    <row r="1542" spans="1:9" x14ac:dyDescent="0.2">
      <c r="A1542" s="2">
        <v>20</v>
      </c>
      <c r="B1542" s="1" t="s">
        <v>306</v>
      </c>
      <c r="C1542" s="4">
        <v>2</v>
      </c>
      <c r="D1542" s="8">
        <v>1.28</v>
      </c>
      <c r="E1542" s="4">
        <v>0</v>
      </c>
      <c r="F1542" s="8">
        <v>0</v>
      </c>
      <c r="G1542" s="4">
        <v>2</v>
      </c>
      <c r="H1542" s="8">
        <v>3.57</v>
      </c>
      <c r="I1542" s="4">
        <v>0</v>
      </c>
    </row>
    <row r="1543" spans="1:9" x14ac:dyDescent="0.2">
      <c r="A1543" s="1"/>
      <c r="C1543" s="4"/>
      <c r="D1543" s="8"/>
      <c r="E1543" s="4"/>
      <c r="F1543" s="8"/>
      <c r="G1543" s="4"/>
      <c r="H1543" s="8"/>
      <c r="I1543" s="4"/>
    </row>
    <row r="1544" spans="1:9" x14ac:dyDescent="0.2">
      <c r="A1544" s="1" t="s">
        <v>58</v>
      </c>
      <c r="C1544" s="4"/>
      <c r="D1544" s="8"/>
      <c r="E1544" s="4"/>
      <c r="F1544" s="8"/>
      <c r="G1544" s="4"/>
      <c r="H1544" s="8"/>
      <c r="I1544" s="4"/>
    </row>
    <row r="1545" spans="1:9" x14ac:dyDescent="0.2">
      <c r="A1545" s="2">
        <v>1</v>
      </c>
      <c r="B1545" s="1" t="s">
        <v>185</v>
      </c>
      <c r="C1545" s="4">
        <v>29</v>
      </c>
      <c r="D1545" s="8">
        <v>5.71</v>
      </c>
      <c r="E1545" s="4">
        <v>25</v>
      </c>
      <c r="F1545" s="8">
        <v>8.2200000000000006</v>
      </c>
      <c r="G1545" s="4">
        <v>4</v>
      </c>
      <c r="H1545" s="8">
        <v>2.0299999999999998</v>
      </c>
      <c r="I1545" s="4">
        <v>0</v>
      </c>
    </row>
    <row r="1546" spans="1:9" x14ac:dyDescent="0.2">
      <c r="A1546" s="2">
        <v>2</v>
      </c>
      <c r="B1546" s="1" t="s">
        <v>176</v>
      </c>
      <c r="C1546" s="4">
        <v>26</v>
      </c>
      <c r="D1546" s="8">
        <v>5.12</v>
      </c>
      <c r="E1546" s="4">
        <v>20</v>
      </c>
      <c r="F1546" s="8">
        <v>6.58</v>
      </c>
      <c r="G1546" s="4">
        <v>6</v>
      </c>
      <c r="H1546" s="8">
        <v>3.05</v>
      </c>
      <c r="I1546" s="4">
        <v>0</v>
      </c>
    </row>
    <row r="1547" spans="1:9" x14ac:dyDescent="0.2">
      <c r="A1547" s="2">
        <v>3</v>
      </c>
      <c r="B1547" s="1" t="s">
        <v>191</v>
      </c>
      <c r="C1547" s="4">
        <v>22</v>
      </c>
      <c r="D1547" s="8">
        <v>4.33</v>
      </c>
      <c r="E1547" s="4">
        <v>22</v>
      </c>
      <c r="F1547" s="8">
        <v>7.24</v>
      </c>
      <c r="G1547" s="4">
        <v>0</v>
      </c>
      <c r="H1547" s="8">
        <v>0</v>
      </c>
      <c r="I1547" s="4">
        <v>0</v>
      </c>
    </row>
    <row r="1548" spans="1:9" x14ac:dyDescent="0.2">
      <c r="A1548" s="2">
        <v>4</v>
      </c>
      <c r="B1548" s="1" t="s">
        <v>174</v>
      </c>
      <c r="C1548" s="4">
        <v>18</v>
      </c>
      <c r="D1548" s="8">
        <v>3.54</v>
      </c>
      <c r="E1548" s="4">
        <v>7</v>
      </c>
      <c r="F1548" s="8">
        <v>2.2999999999999998</v>
      </c>
      <c r="G1548" s="4">
        <v>11</v>
      </c>
      <c r="H1548" s="8">
        <v>5.58</v>
      </c>
      <c r="I1548" s="4">
        <v>0</v>
      </c>
    </row>
    <row r="1549" spans="1:9" x14ac:dyDescent="0.2">
      <c r="A1549" s="2">
        <v>5</v>
      </c>
      <c r="B1549" s="1" t="s">
        <v>187</v>
      </c>
      <c r="C1549" s="4">
        <v>15</v>
      </c>
      <c r="D1549" s="8">
        <v>2.95</v>
      </c>
      <c r="E1549" s="4">
        <v>11</v>
      </c>
      <c r="F1549" s="8">
        <v>3.62</v>
      </c>
      <c r="G1549" s="4">
        <v>4</v>
      </c>
      <c r="H1549" s="8">
        <v>2.0299999999999998</v>
      </c>
      <c r="I1549" s="4">
        <v>0</v>
      </c>
    </row>
    <row r="1550" spans="1:9" x14ac:dyDescent="0.2">
      <c r="A1550" s="2">
        <v>5</v>
      </c>
      <c r="B1550" s="1" t="s">
        <v>198</v>
      </c>
      <c r="C1550" s="4">
        <v>15</v>
      </c>
      <c r="D1550" s="8">
        <v>2.95</v>
      </c>
      <c r="E1550" s="4">
        <v>14</v>
      </c>
      <c r="F1550" s="8">
        <v>4.6100000000000003</v>
      </c>
      <c r="G1550" s="4">
        <v>1</v>
      </c>
      <c r="H1550" s="8">
        <v>0.51</v>
      </c>
      <c r="I1550" s="4">
        <v>0</v>
      </c>
    </row>
    <row r="1551" spans="1:9" x14ac:dyDescent="0.2">
      <c r="A1551" s="2">
        <v>7</v>
      </c>
      <c r="B1551" s="1" t="s">
        <v>175</v>
      </c>
      <c r="C1551" s="4">
        <v>11</v>
      </c>
      <c r="D1551" s="8">
        <v>2.17</v>
      </c>
      <c r="E1551" s="4">
        <v>3</v>
      </c>
      <c r="F1551" s="8">
        <v>0.99</v>
      </c>
      <c r="G1551" s="4">
        <v>8</v>
      </c>
      <c r="H1551" s="8">
        <v>4.0599999999999996</v>
      </c>
      <c r="I1551" s="4">
        <v>0</v>
      </c>
    </row>
    <row r="1552" spans="1:9" x14ac:dyDescent="0.2">
      <c r="A1552" s="2">
        <v>7</v>
      </c>
      <c r="B1552" s="1" t="s">
        <v>197</v>
      </c>
      <c r="C1552" s="4">
        <v>11</v>
      </c>
      <c r="D1552" s="8">
        <v>2.17</v>
      </c>
      <c r="E1552" s="4">
        <v>9</v>
      </c>
      <c r="F1552" s="8">
        <v>2.96</v>
      </c>
      <c r="G1552" s="4">
        <v>2</v>
      </c>
      <c r="H1552" s="8">
        <v>1.02</v>
      </c>
      <c r="I1552" s="4">
        <v>0</v>
      </c>
    </row>
    <row r="1553" spans="1:9" x14ac:dyDescent="0.2">
      <c r="A1553" s="2">
        <v>7</v>
      </c>
      <c r="B1553" s="1" t="s">
        <v>179</v>
      </c>
      <c r="C1553" s="4">
        <v>11</v>
      </c>
      <c r="D1553" s="8">
        <v>2.17</v>
      </c>
      <c r="E1553" s="4">
        <v>5</v>
      </c>
      <c r="F1553" s="8">
        <v>1.64</v>
      </c>
      <c r="G1553" s="4">
        <v>6</v>
      </c>
      <c r="H1553" s="8">
        <v>3.05</v>
      </c>
      <c r="I1553" s="4">
        <v>0</v>
      </c>
    </row>
    <row r="1554" spans="1:9" x14ac:dyDescent="0.2">
      <c r="A1554" s="2">
        <v>7</v>
      </c>
      <c r="B1554" s="1" t="s">
        <v>181</v>
      </c>
      <c r="C1554" s="4">
        <v>11</v>
      </c>
      <c r="D1554" s="8">
        <v>2.17</v>
      </c>
      <c r="E1554" s="4">
        <v>7</v>
      </c>
      <c r="F1554" s="8">
        <v>2.2999999999999998</v>
      </c>
      <c r="G1554" s="4">
        <v>4</v>
      </c>
      <c r="H1554" s="8">
        <v>2.0299999999999998</v>
      </c>
      <c r="I1554" s="4">
        <v>0</v>
      </c>
    </row>
    <row r="1555" spans="1:9" x14ac:dyDescent="0.2">
      <c r="A1555" s="2">
        <v>7</v>
      </c>
      <c r="B1555" s="1" t="s">
        <v>188</v>
      </c>
      <c r="C1555" s="4">
        <v>11</v>
      </c>
      <c r="D1555" s="8">
        <v>2.17</v>
      </c>
      <c r="E1555" s="4">
        <v>10</v>
      </c>
      <c r="F1555" s="8">
        <v>3.29</v>
      </c>
      <c r="G1555" s="4">
        <v>1</v>
      </c>
      <c r="H1555" s="8">
        <v>0.51</v>
      </c>
      <c r="I1555" s="4">
        <v>0</v>
      </c>
    </row>
    <row r="1556" spans="1:9" x14ac:dyDescent="0.2">
      <c r="A1556" s="2">
        <v>12</v>
      </c>
      <c r="B1556" s="1" t="s">
        <v>190</v>
      </c>
      <c r="C1556" s="4">
        <v>10</v>
      </c>
      <c r="D1556" s="8">
        <v>1.97</v>
      </c>
      <c r="E1556" s="4">
        <v>10</v>
      </c>
      <c r="F1556" s="8">
        <v>3.29</v>
      </c>
      <c r="G1556" s="4">
        <v>0</v>
      </c>
      <c r="H1556" s="8">
        <v>0</v>
      </c>
      <c r="I1556" s="4">
        <v>0</v>
      </c>
    </row>
    <row r="1557" spans="1:9" x14ac:dyDescent="0.2">
      <c r="A1557" s="2">
        <v>13</v>
      </c>
      <c r="B1557" s="1" t="s">
        <v>234</v>
      </c>
      <c r="C1557" s="4">
        <v>9</v>
      </c>
      <c r="D1557" s="8">
        <v>1.77</v>
      </c>
      <c r="E1557" s="4">
        <v>0</v>
      </c>
      <c r="F1557" s="8">
        <v>0</v>
      </c>
      <c r="G1557" s="4">
        <v>9</v>
      </c>
      <c r="H1557" s="8">
        <v>4.57</v>
      </c>
      <c r="I1557" s="4">
        <v>0</v>
      </c>
    </row>
    <row r="1558" spans="1:9" x14ac:dyDescent="0.2">
      <c r="A1558" s="2">
        <v>13</v>
      </c>
      <c r="B1558" s="1" t="s">
        <v>220</v>
      </c>
      <c r="C1558" s="4">
        <v>9</v>
      </c>
      <c r="D1558" s="8">
        <v>1.77</v>
      </c>
      <c r="E1558" s="4">
        <v>4</v>
      </c>
      <c r="F1558" s="8">
        <v>1.32</v>
      </c>
      <c r="G1558" s="4">
        <v>5</v>
      </c>
      <c r="H1558" s="8">
        <v>2.54</v>
      </c>
      <c r="I1558" s="4">
        <v>0</v>
      </c>
    </row>
    <row r="1559" spans="1:9" x14ac:dyDescent="0.2">
      <c r="A1559" s="2">
        <v>13</v>
      </c>
      <c r="B1559" s="1" t="s">
        <v>193</v>
      </c>
      <c r="C1559" s="4">
        <v>9</v>
      </c>
      <c r="D1559" s="8">
        <v>1.77</v>
      </c>
      <c r="E1559" s="4">
        <v>8</v>
      </c>
      <c r="F1559" s="8">
        <v>2.63</v>
      </c>
      <c r="G1559" s="4">
        <v>1</v>
      </c>
      <c r="H1559" s="8">
        <v>0.51</v>
      </c>
      <c r="I1559" s="4">
        <v>0</v>
      </c>
    </row>
    <row r="1560" spans="1:9" x14ac:dyDescent="0.2">
      <c r="A1560" s="2">
        <v>16</v>
      </c>
      <c r="B1560" s="1" t="s">
        <v>186</v>
      </c>
      <c r="C1560" s="4">
        <v>8</v>
      </c>
      <c r="D1560" s="8">
        <v>1.57</v>
      </c>
      <c r="E1560" s="4">
        <v>6</v>
      </c>
      <c r="F1560" s="8">
        <v>1.97</v>
      </c>
      <c r="G1560" s="4">
        <v>2</v>
      </c>
      <c r="H1560" s="8">
        <v>1.02</v>
      </c>
      <c r="I1560" s="4">
        <v>0</v>
      </c>
    </row>
    <row r="1561" spans="1:9" x14ac:dyDescent="0.2">
      <c r="A1561" s="2">
        <v>17</v>
      </c>
      <c r="B1561" s="1" t="s">
        <v>214</v>
      </c>
      <c r="C1561" s="4">
        <v>7</v>
      </c>
      <c r="D1561" s="8">
        <v>1.38</v>
      </c>
      <c r="E1561" s="4">
        <v>6</v>
      </c>
      <c r="F1561" s="8">
        <v>1.97</v>
      </c>
      <c r="G1561" s="4">
        <v>1</v>
      </c>
      <c r="H1561" s="8">
        <v>0.51</v>
      </c>
      <c r="I1561" s="4">
        <v>0</v>
      </c>
    </row>
    <row r="1562" spans="1:9" x14ac:dyDescent="0.2">
      <c r="A1562" s="2">
        <v>17</v>
      </c>
      <c r="B1562" s="1" t="s">
        <v>180</v>
      </c>
      <c r="C1562" s="4">
        <v>7</v>
      </c>
      <c r="D1562" s="8">
        <v>1.38</v>
      </c>
      <c r="E1562" s="4">
        <v>2</v>
      </c>
      <c r="F1562" s="8">
        <v>0.66</v>
      </c>
      <c r="G1562" s="4">
        <v>5</v>
      </c>
      <c r="H1562" s="8">
        <v>2.54</v>
      </c>
      <c r="I1562" s="4">
        <v>0</v>
      </c>
    </row>
    <row r="1563" spans="1:9" x14ac:dyDescent="0.2">
      <c r="A1563" s="2">
        <v>17</v>
      </c>
      <c r="B1563" s="1" t="s">
        <v>222</v>
      </c>
      <c r="C1563" s="4">
        <v>7</v>
      </c>
      <c r="D1563" s="8">
        <v>1.38</v>
      </c>
      <c r="E1563" s="4">
        <v>6</v>
      </c>
      <c r="F1563" s="8">
        <v>1.97</v>
      </c>
      <c r="G1563" s="4">
        <v>1</v>
      </c>
      <c r="H1563" s="8">
        <v>0.51</v>
      </c>
      <c r="I1563" s="4">
        <v>0</v>
      </c>
    </row>
    <row r="1564" spans="1:9" x14ac:dyDescent="0.2">
      <c r="A1564" s="2">
        <v>17</v>
      </c>
      <c r="B1564" s="1" t="s">
        <v>216</v>
      </c>
      <c r="C1564" s="4">
        <v>7</v>
      </c>
      <c r="D1564" s="8">
        <v>1.38</v>
      </c>
      <c r="E1564" s="4">
        <v>2</v>
      </c>
      <c r="F1564" s="8">
        <v>0.66</v>
      </c>
      <c r="G1564" s="4">
        <v>5</v>
      </c>
      <c r="H1564" s="8">
        <v>2.54</v>
      </c>
      <c r="I1564" s="4">
        <v>0</v>
      </c>
    </row>
    <row r="1565" spans="1:9" x14ac:dyDescent="0.2">
      <c r="A1565" s="2">
        <v>17</v>
      </c>
      <c r="B1565" s="1" t="s">
        <v>189</v>
      </c>
      <c r="C1565" s="4">
        <v>7</v>
      </c>
      <c r="D1565" s="8">
        <v>1.38</v>
      </c>
      <c r="E1565" s="4">
        <v>7</v>
      </c>
      <c r="F1565" s="8">
        <v>2.2999999999999998</v>
      </c>
      <c r="G1565" s="4">
        <v>0</v>
      </c>
      <c r="H1565" s="8">
        <v>0</v>
      </c>
      <c r="I1565" s="4">
        <v>0</v>
      </c>
    </row>
    <row r="1566" spans="1:9" x14ac:dyDescent="0.2">
      <c r="A1566" s="1"/>
      <c r="C1566" s="4"/>
      <c r="D1566" s="8"/>
      <c r="E1566" s="4"/>
      <c r="F1566" s="8"/>
      <c r="G1566" s="4"/>
      <c r="H1566" s="8"/>
      <c r="I1566" s="4"/>
    </row>
    <row r="1567" spans="1:9" x14ac:dyDescent="0.2">
      <c r="A1567" s="1" t="s">
        <v>59</v>
      </c>
      <c r="C1567" s="4"/>
      <c r="D1567" s="8"/>
      <c r="E1567" s="4"/>
      <c r="F1567" s="8"/>
      <c r="G1567" s="4"/>
      <c r="H1567" s="8"/>
      <c r="I1567" s="4"/>
    </row>
    <row r="1568" spans="1:9" x14ac:dyDescent="0.2">
      <c r="A1568" s="2">
        <v>1</v>
      </c>
      <c r="B1568" s="1" t="s">
        <v>174</v>
      </c>
      <c r="C1568" s="4">
        <v>7</v>
      </c>
      <c r="D1568" s="8">
        <v>7.45</v>
      </c>
      <c r="E1568" s="4">
        <v>2</v>
      </c>
      <c r="F1568" s="8">
        <v>3.23</v>
      </c>
      <c r="G1568" s="4">
        <v>5</v>
      </c>
      <c r="H1568" s="8">
        <v>18.52</v>
      </c>
      <c r="I1568" s="4">
        <v>0</v>
      </c>
    </row>
    <row r="1569" spans="1:9" x14ac:dyDescent="0.2">
      <c r="A1569" s="2">
        <v>2</v>
      </c>
      <c r="B1569" s="1" t="s">
        <v>191</v>
      </c>
      <c r="C1569" s="4">
        <v>5</v>
      </c>
      <c r="D1569" s="8">
        <v>5.32</v>
      </c>
      <c r="E1569" s="4">
        <v>5</v>
      </c>
      <c r="F1569" s="8">
        <v>8.06</v>
      </c>
      <c r="G1569" s="4">
        <v>0</v>
      </c>
      <c r="H1569" s="8">
        <v>0</v>
      </c>
      <c r="I1569" s="4">
        <v>0</v>
      </c>
    </row>
    <row r="1570" spans="1:9" x14ac:dyDescent="0.2">
      <c r="A1570" s="2">
        <v>2</v>
      </c>
      <c r="B1570" s="1" t="s">
        <v>192</v>
      </c>
      <c r="C1570" s="4">
        <v>5</v>
      </c>
      <c r="D1570" s="8">
        <v>5.32</v>
      </c>
      <c r="E1570" s="4">
        <v>5</v>
      </c>
      <c r="F1570" s="8">
        <v>8.06</v>
      </c>
      <c r="G1570" s="4">
        <v>0</v>
      </c>
      <c r="H1570" s="8">
        <v>0</v>
      </c>
      <c r="I1570" s="4">
        <v>0</v>
      </c>
    </row>
    <row r="1571" spans="1:9" x14ac:dyDescent="0.2">
      <c r="A1571" s="2">
        <v>4</v>
      </c>
      <c r="B1571" s="1" t="s">
        <v>177</v>
      </c>
      <c r="C1571" s="4">
        <v>4</v>
      </c>
      <c r="D1571" s="8">
        <v>4.26</v>
      </c>
      <c r="E1571" s="4">
        <v>0</v>
      </c>
      <c r="F1571" s="8">
        <v>0</v>
      </c>
      <c r="G1571" s="4">
        <v>4</v>
      </c>
      <c r="H1571" s="8">
        <v>14.81</v>
      </c>
      <c r="I1571" s="4">
        <v>0</v>
      </c>
    </row>
    <row r="1572" spans="1:9" x14ac:dyDescent="0.2">
      <c r="A1572" s="2">
        <v>4</v>
      </c>
      <c r="B1572" s="1" t="s">
        <v>180</v>
      </c>
      <c r="C1572" s="4">
        <v>4</v>
      </c>
      <c r="D1572" s="8">
        <v>4.26</v>
      </c>
      <c r="E1572" s="4">
        <v>4</v>
      </c>
      <c r="F1572" s="8">
        <v>6.45</v>
      </c>
      <c r="G1572" s="4">
        <v>0</v>
      </c>
      <c r="H1572" s="8">
        <v>0</v>
      </c>
      <c r="I1572" s="4">
        <v>0</v>
      </c>
    </row>
    <row r="1573" spans="1:9" x14ac:dyDescent="0.2">
      <c r="A1573" s="2">
        <v>4</v>
      </c>
      <c r="B1573" s="1" t="s">
        <v>190</v>
      </c>
      <c r="C1573" s="4">
        <v>4</v>
      </c>
      <c r="D1573" s="8">
        <v>4.26</v>
      </c>
      <c r="E1573" s="4">
        <v>4</v>
      </c>
      <c r="F1573" s="8">
        <v>6.45</v>
      </c>
      <c r="G1573" s="4">
        <v>0</v>
      </c>
      <c r="H1573" s="8">
        <v>0</v>
      </c>
      <c r="I1573" s="4">
        <v>0</v>
      </c>
    </row>
    <row r="1574" spans="1:9" x14ac:dyDescent="0.2">
      <c r="A1574" s="2">
        <v>7</v>
      </c>
      <c r="B1574" s="1" t="s">
        <v>181</v>
      </c>
      <c r="C1574" s="4">
        <v>3</v>
      </c>
      <c r="D1574" s="8">
        <v>3.19</v>
      </c>
      <c r="E1574" s="4">
        <v>2</v>
      </c>
      <c r="F1574" s="8">
        <v>3.23</v>
      </c>
      <c r="G1574" s="4">
        <v>1</v>
      </c>
      <c r="H1574" s="8">
        <v>3.7</v>
      </c>
      <c r="I1574" s="4">
        <v>0</v>
      </c>
    </row>
    <row r="1575" spans="1:9" x14ac:dyDescent="0.2">
      <c r="A1575" s="2">
        <v>7</v>
      </c>
      <c r="B1575" s="1" t="s">
        <v>186</v>
      </c>
      <c r="C1575" s="4">
        <v>3</v>
      </c>
      <c r="D1575" s="8">
        <v>3.19</v>
      </c>
      <c r="E1575" s="4">
        <v>3</v>
      </c>
      <c r="F1575" s="8">
        <v>4.84</v>
      </c>
      <c r="G1575" s="4">
        <v>0</v>
      </c>
      <c r="H1575" s="8">
        <v>0</v>
      </c>
      <c r="I1575" s="4">
        <v>0</v>
      </c>
    </row>
    <row r="1576" spans="1:9" x14ac:dyDescent="0.2">
      <c r="A1576" s="2">
        <v>7</v>
      </c>
      <c r="B1576" s="1" t="s">
        <v>198</v>
      </c>
      <c r="C1576" s="4">
        <v>3</v>
      </c>
      <c r="D1576" s="8">
        <v>3.19</v>
      </c>
      <c r="E1576" s="4">
        <v>3</v>
      </c>
      <c r="F1576" s="8">
        <v>4.84</v>
      </c>
      <c r="G1576" s="4">
        <v>0</v>
      </c>
      <c r="H1576" s="8">
        <v>0</v>
      </c>
      <c r="I1576" s="4">
        <v>0</v>
      </c>
    </row>
    <row r="1577" spans="1:9" x14ac:dyDescent="0.2">
      <c r="A1577" s="2">
        <v>7</v>
      </c>
      <c r="B1577" s="1" t="s">
        <v>209</v>
      </c>
      <c r="C1577" s="4">
        <v>3</v>
      </c>
      <c r="D1577" s="8">
        <v>3.19</v>
      </c>
      <c r="E1577" s="4">
        <v>3</v>
      </c>
      <c r="F1577" s="8">
        <v>4.84</v>
      </c>
      <c r="G1577" s="4">
        <v>0</v>
      </c>
      <c r="H1577" s="8">
        <v>0</v>
      </c>
      <c r="I1577" s="4">
        <v>0</v>
      </c>
    </row>
    <row r="1578" spans="1:9" x14ac:dyDescent="0.2">
      <c r="A1578" s="2">
        <v>11</v>
      </c>
      <c r="B1578" s="1" t="s">
        <v>261</v>
      </c>
      <c r="C1578" s="4">
        <v>2</v>
      </c>
      <c r="D1578" s="8">
        <v>2.13</v>
      </c>
      <c r="E1578" s="4">
        <v>1</v>
      </c>
      <c r="F1578" s="8">
        <v>1.61</v>
      </c>
      <c r="G1578" s="4">
        <v>1</v>
      </c>
      <c r="H1578" s="8">
        <v>3.7</v>
      </c>
      <c r="I1578" s="4">
        <v>0</v>
      </c>
    </row>
    <row r="1579" spans="1:9" x14ac:dyDescent="0.2">
      <c r="A1579" s="2">
        <v>11</v>
      </c>
      <c r="B1579" s="1" t="s">
        <v>196</v>
      </c>
      <c r="C1579" s="4">
        <v>2</v>
      </c>
      <c r="D1579" s="8">
        <v>2.13</v>
      </c>
      <c r="E1579" s="4">
        <v>1</v>
      </c>
      <c r="F1579" s="8">
        <v>1.61</v>
      </c>
      <c r="G1579" s="4">
        <v>1</v>
      </c>
      <c r="H1579" s="8">
        <v>3.7</v>
      </c>
      <c r="I1579" s="4">
        <v>0</v>
      </c>
    </row>
    <row r="1580" spans="1:9" x14ac:dyDescent="0.2">
      <c r="A1580" s="2">
        <v>11</v>
      </c>
      <c r="B1580" s="1" t="s">
        <v>179</v>
      </c>
      <c r="C1580" s="4">
        <v>2</v>
      </c>
      <c r="D1580" s="8">
        <v>2.13</v>
      </c>
      <c r="E1580" s="4">
        <v>0</v>
      </c>
      <c r="F1580" s="8">
        <v>0</v>
      </c>
      <c r="G1580" s="4">
        <v>1</v>
      </c>
      <c r="H1580" s="8">
        <v>3.7</v>
      </c>
      <c r="I1580" s="4">
        <v>1</v>
      </c>
    </row>
    <row r="1581" spans="1:9" x14ac:dyDescent="0.2">
      <c r="A1581" s="2">
        <v>11</v>
      </c>
      <c r="B1581" s="1" t="s">
        <v>205</v>
      </c>
      <c r="C1581" s="4">
        <v>2</v>
      </c>
      <c r="D1581" s="8">
        <v>2.13</v>
      </c>
      <c r="E1581" s="4">
        <v>2</v>
      </c>
      <c r="F1581" s="8">
        <v>3.23</v>
      </c>
      <c r="G1581" s="4">
        <v>0</v>
      </c>
      <c r="H1581" s="8">
        <v>0</v>
      </c>
      <c r="I1581" s="4">
        <v>0</v>
      </c>
    </row>
    <row r="1582" spans="1:9" x14ac:dyDescent="0.2">
      <c r="A1582" s="2">
        <v>11</v>
      </c>
      <c r="B1582" s="1" t="s">
        <v>242</v>
      </c>
      <c r="C1582" s="4">
        <v>2</v>
      </c>
      <c r="D1582" s="8">
        <v>2.13</v>
      </c>
      <c r="E1582" s="4">
        <v>2</v>
      </c>
      <c r="F1582" s="8">
        <v>3.23</v>
      </c>
      <c r="G1582" s="4">
        <v>0</v>
      </c>
      <c r="H1582" s="8">
        <v>0</v>
      </c>
      <c r="I1582" s="4">
        <v>0</v>
      </c>
    </row>
    <row r="1583" spans="1:9" x14ac:dyDescent="0.2">
      <c r="A1583" s="2">
        <v>11</v>
      </c>
      <c r="B1583" s="1" t="s">
        <v>188</v>
      </c>
      <c r="C1583" s="4">
        <v>2</v>
      </c>
      <c r="D1583" s="8">
        <v>2.13</v>
      </c>
      <c r="E1583" s="4">
        <v>2</v>
      </c>
      <c r="F1583" s="8">
        <v>3.23</v>
      </c>
      <c r="G1583" s="4">
        <v>0</v>
      </c>
      <c r="H1583" s="8">
        <v>0</v>
      </c>
      <c r="I1583" s="4">
        <v>0</v>
      </c>
    </row>
    <row r="1584" spans="1:9" x14ac:dyDescent="0.2">
      <c r="A1584" s="2">
        <v>11</v>
      </c>
      <c r="B1584" s="1" t="s">
        <v>271</v>
      </c>
      <c r="C1584" s="4">
        <v>2</v>
      </c>
      <c r="D1584" s="8">
        <v>2.13</v>
      </c>
      <c r="E1584" s="4">
        <v>0</v>
      </c>
      <c r="F1584" s="8">
        <v>0</v>
      </c>
      <c r="G1584" s="4">
        <v>0</v>
      </c>
      <c r="H1584" s="8">
        <v>0</v>
      </c>
      <c r="I1584" s="4">
        <v>0</v>
      </c>
    </row>
    <row r="1585" spans="1:9" x14ac:dyDescent="0.2">
      <c r="A1585" s="2">
        <v>18</v>
      </c>
      <c r="B1585" s="1" t="s">
        <v>287</v>
      </c>
      <c r="C1585" s="4">
        <v>1</v>
      </c>
      <c r="D1585" s="8">
        <v>1.06</v>
      </c>
      <c r="E1585" s="4">
        <v>0</v>
      </c>
      <c r="F1585" s="8">
        <v>0</v>
      </c>
      <c r="G1585" s="4">
        <v>1</v>
      </c>
      <c r="H1585" s="8">
        <v>3.7</v>
      </c>
      <c r="I1585" s="4">
        <v>0</v>
      </c>
    </row>
    <row r="1586" spans="1:9" x14ac:dyDescent="0.2">
      <c r="A1586" s="2">
        <v>18</v>
      </c>
      <c r="B1586" s="1" t="s">
        <v>175</v>
      </c>
      <c r="C1586" s="4">
        <v>1</v>
      </c>
      <c r="D1586" s="8">
        <v>1.06</v>
      </c>
      <c r="E1586" s="4">
        <v>0</v>
      </c>
      <c r="F1586" s="8">
        <v>0</v>
      </c>
      <c r="G1586" s="4">
        <v>1</v>
      </c>
      <c r="H1586" s="8">
        <v>3.7</v>
      </c>
      <c r="I1586" s="4">
        <v>0</v>
      </c>
    </row>
    <row r="1587" spans="1:9" x14ac:dyDescent="0.2">
      <c r="A1587" s="2">
        <v>18</v>
      </c>
      <c r="B1587" s="1" t="s">
        <v>176</v>
      </c>
      <c r="C1587" s="4">
        <v>1</v>
      </c>
      <c r="D1587" s="8">
        <v>1.06</v>
      </c>
      <c r="E1587" s="4">
        <v>0</v>
      </c>
      <c r="F1587" s="8">
        <v>0</v>
      </c>
      <c r="G1587" s="4">
        <v>1</v>
      </c>
      <c r="H1587" s="8">
        <v>3.7</v>
      </c>
      <c r="I1587" s="4">
        <v>0</v>
      </c>
    </row>
    <row r="1588" spans="1:9" x14ac:dyDescent="0.2">
      <c r="A1588" s="2">
        <v>18</v>
      </c>
      <c r="B1588" s="1" t="s">
        <v>210</v>
      </c>
      <c r="C1588" s="4">
        <v>1</v>
      </c>
      <c r="D1588" s="8">
        <v>1.06</v>
      </c>
      <c r="E1588" s="4">
        <v>1</v>
      </c>
      <c r="F1588" s="8">
        <v>1.61</v>
      </c>
      <c r="G1588" s="4">
        <v>0</v>
      </c>
      <c r="H1588" s="8">
        <v>0</v>
      </c>
      <c r="I1588" s="4">
        <v>0</v>
      </c>
    </row>
    <row r="1589" spans="1:9" x14ac:dyDescent="0.2">
      <c r="A1589" s="2">
        <v>18</v>
      </c>
      <c r="B1589" s="1" t="s">
        <v>224</v>
      </c>
      <c r="C1589" s="4">
        <v>1</v>
      </c>
      <c r="D1589" s="8">
        <v>1.06</v>
      </c>
      <c r="E1589" s="4">
        <v>1</v>
      </c>
      <c r="F1589" s="8">
        <v>1.61</v>
      </c>
      <c r="G1589" s="4">
        <v>0</v>
      </c>
      <c r="H1589" s="8">
        <v>0</v>
      </c>
      <c r="I1589" s="4">
        <v>0</v>
      </c>
    </row>
    <row r="1590" spans="1:9" x14ac:dyDescent="0.2">
      <c r="A1590" s="2">
        <v>18</v>
      </c>
      <c r="B1590" s="1" t="s">
        <v>201</v>
      </c>
      <c r="C1590" s="4">
        <v>1</v>
      </c>
      <c r="D1590" s="8">
        <v>1.06</v>
      </c>
      <c r="E1590" s="4">
        <v>1</v>
      </c>
      <c r="F1590" s="8">
        <v>1.61</v>
      </c>
      <c r="G1590" s="4">
        <v>0</v>
      </c>
      <c r="H1590" s="8">
        <v>0</v>
      </c>
      <c r="I1590" s="4">
        <v>0</v>
      </c>
    </row>
    <row r="1591" spans="1:9" x14ac:dyDescent="0.2">
      <c r="A1591" s="2">
        <v>18</v>
      </c>
      <c r="B1591" s="1" t="s">
        <v>178</v>
      </c>
      <c r="C1591" s="4">
        <v>1</v>
      </c>
      <c r="D1591" s="8">
        <v>1.06</v>
      </c>
      <c r="E1591" s="4">
        <v>1</v>
      </c>
      <c r="F1591" s="8">
        <v>1.61</v>
      </c>
      <c r="G1591" s="4">
        <v>0</v>
      </c>
      <c r="H1591" s="8">
        <v>0</v>
      </c>
      <c r="I1591" s="4">
        <v>0</v>
      </c>
    </row>
    <row r="1592" spans="1:9" x14ac:dyDescent="0.2">
      <c r="A1592" s="2">
        <v>18</v>
      </c>
      <c r="B1592" s="1" t="s">
        <v>313</v>
      </c>
      <c r="C1592" s="4">
        <v>1</v>
      </c>
      <c r="D1592" s="8">
        <v>1.06</v>
      </c>
      <c r="E1592" s="4">
        <v>0</v>
      </c>
      <c r="F1592" s="8">
        <v>0</v>
      </c>
      <c r="G1592" s="4">
        <v>1</v>
      </c>
      <c r="H1592" s="8">
        <v>3.7</v>
      </c>
      <c r="I1592" s="4">
        <v>0</v>
      </c>
    </row>
    <row r="1593" spans="1:9" x14ac:dyDescent="0.2">
      <c r="A1593" s="2">
        <v>18</v>
      </c>
      <c r="B1593" s="1" t="s">
        <v>262</v>
      </c>
      <c r="C1593" s="4">
        <v>1</v>
      </c>
      <c r="D1593" s="8">
        <v>1.06</v>
      </c>
      <c r="E1593" s="4">
        <v>0</v>
      </c>
      <c r="F1593" s="8">
        <v>0</v>
      </c>
      <c r="G1593" s="4">
        <v>1</v>
      </c>
      <c r="H1593" s="8">
        <v>3.7</v>
      </c>
      <c r="I1593" s="4">
        <v>0</v>
      </c>
    </row>
    <row r="1594" spans="1:9" x14ac:dyDescent="0.2">
      <c r="A1594" s="2">
        <v>18</v>
      </c>
      <c r="B1594" s="1" t="s">
        <v>320</v>
      </c>
      <c r="C1594" s="4">
        <v>1</v>
      </c>
      <c r="D1594" s="8">
        <v>1.06</v>
      </c>
      <c r="E1594" s="4">
        <v>1</v>
      </c>
      <c r="F1594" s="8">
        <v>1.61</v>
      </c>
      <c r="G1594" s="4">
        <v>0</v>
      </c>
      <c r="H1594" s="8">
        <v>0</v>
      </c>
      <c r="I1594" s="4">
        <v>0</v>
      </c>
    </row>
    <row r="1595" spans="1:9" x14ac:dyDescent="0.2">
      <c r="A1595" s="2">
        <v>18</v>
      </c>
      <c r="B1595" s="1" t="s">
        <v>327</v>
      </c>
      <c r="C1595" s="4">
        <v>1</v>
      </c>
      <c r="D1595" s="8">
        <v>1.06</v>
      </c>
      <c r="E1595" s="4">
        <v>0</v>
      </c>
      <c r="F1595" s="8">
        <v>0</v>
      </c>
      <c r="G1595" s="4">
        <v>1</v>
      </c>
      <c r="H1595" s="8">
        <v>3.7</v>
      </c>
      <c r="I1595" s="4">
        <v>0</v>
      </c>
    </row>
    <row r="1596" spans="1:9" x14ac:dyDescent="0.2">
      <c r="A1596" s="2">
        <v>18</v>
      </c>
      <c r="B1596" s="1" t="s">
        <v>328</v>
      </c>
      <c r="C1596" s="4">
        <v>1</v>
      </c>
      <c r="D1596" s="8">
        <v>1.06</v>
      </c>
      <c r="E1596" s="4">
        <v>1</v>
      </c>
      <c r="F1596" s="8">
        <v>1.61</v>
      </c>
      <c r="G1596" s="4">
        <v>0</v>
      </c>
      <c r="H1596" s="8">
        <v>0</v>
      </c>
      <c r="I1596" s="4">
        <v>0</v>
      </c>
    </row>
    <row r="1597" spans="1:9" x14ac:dyDescent="0.2">
      <c r="A1597" s="2">
        <v>18</v>
      </c>
      <c r="B1597" s="1" t="s">
        <v>329</v>
      </c>
      <c r="C1597" s="4">
        <v>1</v>
      </c>
      <c r="D1597" s="8">
        <v>1.06</v>
      </c>
      <c r="E1597" s="4">
        <v>0</v>
      </c>
      <c r="F1597" s="8">
        <v>0</v>
      </c>
      <c r="G1597" s="4">
        <v>1</v>
      </c>
      <c r="H1597" s="8">
        <v>3.7</v>
      </c>
      <c r="I1597" s="4">
        <v>0</v>
      </c>
    </row>
    <row r="1598" spans="1:9" x14ac:dyDescent="0.2">
      <c r="A1598" s="2">
        <v>18</v>
      </c>
      <c r="B1598" s="1" t="s">
        <v>254</v>
      </c>
      <c r="C1598" s="4">
        <v>1</v>
      </c>
      <c r="D1598" s="8">
        <v>1.06</v>
      </c>
      <c r="E1598" s="4">
        <v>0</v>
      </c>
      <c r="F1598" s="8">
        <v>0</v>
      </c>
      <c r="G1598" s="4">
        <v>1</v>
      </c>
      <c r="H1598" s="8">
        <v>3.7</v>
      </c>
      <c r="I1598" s="4">
        <v>0</v>
      </c>
    </row>
    <row r="1599" spans="1:9" x14ac:dyDescent="0.2">
      <c r="A1599" s="2">
        <v>18</v>
      </c>
      <c r="B1599" s="1" t="s">
        <v>232</v>
      </c>
      <c r="C1599" s="4">
        <v>1</v>
      </c>
      <c r="D1599" s="8">
        <v>1.06</v>
      </c>
      <c r="E1599" s="4">
        <v>0</v>
      </c>
      <c r="F1599" s="8">
        <v>0</v>
      </c>
      <c r="G1599" s="4">
        <v>0</v>
      </c>
      <c r="H1599" s="8">
        <v>0</v>
      </c>
      <c r="I1599" s="4">
        <v>0</v>
      </c>
    </row>
    <row r="1600" spans="1:9" x14ac:dyDescent="0.2">
      <c r="A1600" s="2">
        <v>18</v>
      </c>
      <c r="B1600" s="1" t="s">
        <v>276</v>
      </c>
      <c r="C1600" s="4">
        <v>1</v>
      </c>
      <c r="D1600" s="8">
        <v>1.06</v>
      </c>
      <c r="E1600" s="4">
        <v>1</v>
      </c>
      <c r="F1600" s="8">
        <v>1.61</v>
      </c>
      <c r="G1600" s="4">
        <v>0</v>
      </c>
      <c r="H1600" s="8">
        <v>0</v>
      </c>
      <c r="I1600" s="4">
        <v>0</v>
      </c>
    </row>
    <row r="1601" spans="1:9" x14ac:dyDescent="0.2">
      <c r="A1601" s="2">
        <v>18</v>
      </c>
      <c r="B1601" s="1" t="s">
        <v>211</v>
      </c>
      <c r="C1601" s="4">
        <v>1</v>
      </c>
      <c r="D1601" s="8">
        <v>1.06</v>
      </c>
      <c r="E1601" s="4">
        <v>1</v>
      </c>
      <c r="F1601" s="8">
        <v>1.61</v>
      </c>
      <c r="G1601" s="4">
        <v>0</v>
      </c>
      <c r="H1601" s="8">
        <v>0</v>
      </c>
      <c r="I1601" s="4">
        <v>0</v>
      </c>
    </row>
    <row r="1602" spans="1:9" x14ac:dyDescent="0.2">
      <c r="A1602" s="2">
        <v>18</v>
      </c>
      <c r="B1602" s="1" t="s">
        <v>227</v>
      </c>
      <c r="C1602" s="4">
        <v>1</v>
      </c>
      <c r="D1602" s="8">
        <v>1.06</v>
      </c>
      <c r="E1602" s="4">
        <v>1</v>
      </c>
      <c r="F1602" s="8">
        <v>1.61</v>
      </c>
      <c r="G1602" s="4">
        <v>0</v>
      </c>
      <c r="H1602" s="8">
        <v>0</v>
      </c>
      <c r="I1602" s="4">
        <v>0</v>
      </c>
    </row>
    <row r="1603" spans="1:9" x14ac:dyDescent="0.2">
      <c r="A1603" s="2">
        <v>18</v>
      </c>
      <c r="B1603" s="1" t="s">
        <v>296</v>
      </c>
      <c r="C1603" s="4">
        <v>1</v>
      </c>
      <c r="D1603" s="8">
        <v>1.06</v>
      </c>
      <c r="E1603" s="4">
        <v>1</v>
      </c>
      <c r="F1603" s="8">
        <v>1.61</v>
      </c>
      <c r="G1603" s="4">
        <v>0</v>
      </c>
      <c r="H1603" s="8">
        <v>0</v>
      </c>
      <c r="I1603" s="4">
        <v>0</v>
      </c>
    </row>
    <row r="1604" spans="1:9" x14ac:dyDescent="0.2">
      <c r="A1604" s="2">
        <v>18</v>
      </c>
      <c r="B1604" s="1" t="s">
        <v>222</v>
      </c>
      <c r="C1604" s="4">
        <v>1</v>
      </c>
      <c r="D1604" s="8">
        <v>1.06</v>
      </c>
      <c r="E1604" s="4">
        <v>1</v>
      </c>
      <c r="F1604" s="8">
        <v>1.61</v>
      </c>
      <c r="G1604" s="4">
        <v>0</v>
      </c>
      <c r="H1604" s="8">
        <v>0</v>
      </c>
      <c r="I1604" s="4">
        <v>0</v>
      </c>
    </row>
    <row r="1605" spans="1:9" x14ac:dyDescent="0.2">
      <c r="A1605" s="2">
        <v>18</v>
      </c>
      <c r="B1605" s="1" t="s">
        <v>216</v>
      </c>
      <c r="C1605" s="4">
        <v>1</v>
      </c>
      <c r="D1605" s="8">
        <v>1.06</v>
      </c>
      <c r="E1605" s="4">
        <v>0</v>
      </c>
      <c r="F1605" s="8">
        <v>0</v>
      </c>
      <c r="G1605" s="4">
        <v>1</v>
      </c>
      <c r="H1605" s="8">
        <v>3.7</v>
      </c>
      <c r="I1605" s="4">
        <v>0</v>
      </c>
    </row>
    <row r="1606" spans="1:9" x14ac:dyDescent="0.2">
      <c r="A1606" s="2">
        <v>18</v>
      </c>
      <c r="B1606" s="1" t="s">
        <v>183</v>
      </c>
      <c r="C1606" s="4">
        <v>1</v>
      </c>
      <c r="D1606" s="8">
        <v>1.06</v>
      </c>
      <c r="E1606" s="4">
        <v>0</v>
      </c>
      <c r="F1606" s="8">
        <v>0</v>
      </c>
      <c r="G1606" s="4">
        <v>1</v>
      </c>
      <c r="H1606" s="8">
        <v>3.7</v>
      </c>
      <c r="I1606" s="4">
        <v>0</v>
      </c>
    </row>
    <row r="1607" spans="1:9" x14ac:dyDescent="0.2">
      <c r="A1607" s="2">
        <v>18</v>
      </c>
      <c r="B1607" s="1" t="s">
        <v>195</v>
      </c>
      <c r="C1607" s="4">
        <v>1</v>
      </c>
      <c r="D1607" s="8">
        <v>1.06</v>
      </c>
      <c r="E1607" s="4">
        <v>1</v>
      </c>
      <c r="F1607" s="8">
        <v>1.61</v>
      </c>
      <c r="G1607" s="4">
        <v>0</v>
      </c>
      <c r="H1607" s="8">
        <v>0</v>
      </c>
      <c r="I1607" s="4">
        <v>0</v>
      </c>
    </row>
    <row r="1608" spans="1:9" x14ac:dyDescent="0.2">
      <c r="A1608" s="2">
        <v>18</v>
      </c>
      <c r="B1608" s="1" t="s">
        <v>244</v>
      </c>
      <c r="C1608" s="4">
        <v>1</v>
      </c>
      <c r="D1608" s="8">
        <v>1.06</v>
      </c>
      <c r="E1608" s="4">
        <v>0</v>
      </c>
      <c r="F1608" s="8">
        <v>0</v>
      </c>
      <c r="G1608" s="4">
        <v>1</v>
      </c>
      <c r="H1608" s="8">
        <v>3.7</v>
      </c>
      <c r="I1608" s="4">
        <v>0</v>
      </c>
    </row>
    <row r="1609" spans="1:9" x14ac:dyDescent="0.2">
      <c r="A1609" s="2">
        <v>18</v>
      </c>
      <c r="B1609" s="1" t="s">
        <v>330</v>
      </c>
      <c r="C1609" s="4">
        <v>1</v>
      </c>
      <c r="D1609" s="8">
        <v>1.06</v>
      </c>
      <c r="E1609" s="4">
        <v>1</v>
      </c>
      <c r="F1609" s="8">
        <v>1.61</v>
      </c>
      <c r="G1609" s="4">
        <v>0</v>
      </c>
      <c r="H1609" s="8">
        <v>0</v>
      </c>
      <c r="I1609" s="4">
        <v>0</v>
      </c>
    </row>
    <row r="1610" spans="1:9" x14ac:dyDescent="0.2">
      <c r="A1610" s="2">
        <v>18</v>
      </c>
      <c r="B1610" s="1" t="s">
        <v>326</v>
      </c>
      <c r="C1610" s="4">
        <v>1</v>
      </c>
      <c r="D1610" s="8">
        <v>1.06</v>
      </c>
      <c r="E1610" s="4">
        <v>1</v>
      </c>
      <c r="F1610" s="8">
        <v>1.61</v>
      </c>
      <c r="G1610" s="4">
        <v>0</v>
      </c>
      <c r="H1610" s="8">
        <v>0</v>
      </c>
      <c r="I1610" s="4">
        <v>0</v>
      </c>
    </row>
    <row r="1611" spans="1:9" x14ac:dyDescent="0.2">
      <c r="A1611" s="2">
        <v>18</v>
      </c>
      <c r="B1611" s="1" t="s">
        <v>247</v>
      </c>
      <c r="C1611" s="4">
        <v>1</v>
      </c>
      <c r="D1611" s="8">
        <v>1.06</v>
      </c>
      <c r="E1611" s="4">
        <v>1</v>
      </c>
      <c r="F1611" s="8">
        <v>1.61</v>
      </c>
      <c r="G1611" s="4">
        <v>0</v>
      </c>
      <c r="H1611" s="8">
        <v>0</v>
      </c>
      <c r="I1611" s="4">
        <v>0</v>
      </c>
    </row>
    <row r="1612" spans="1:9" x14ac:dyDescent="0.2">
      <c r="A1612" s="2">
        <v>18</v>
      </c>
      <c r="B1612" s="1" t="s">
        <v>220</v>
      </c>
      <c r="C1612" s="4">
        <v>1</v>
      </c>
      <c r="D1612" s="8">
        <v>1.06</v>
      </c>
      <c r="E1612" s="4">
        <v>1</v>
      </c>
      <c r="F1612" s="8">
        <v>1.61</v>
      </c>
      <c r="G1612" s="4">
        <v>0</v>
      </c>
      <c r="H1612" s="8">
        <v>0</v>
      </c>
      <c r="I1612" s="4">
        <v>0</v>
      </c>
    </row>
    <row r="1613" spans="1:9" x14ac:dyDescent="0.2">
      <c r="A1613" s="2">
        <v>18</v>
      </c>
      <c r="B1613" s="1" t="s">
        <v>207</v>
      </c>
      <c r="C1613" s="4">
        <v>1</v>
      </c>
      <c r="D1613" s="8">
        <v>1.06</v>
      </c>
      <c r="E1613" s="4">
        <v>0</v>
      </c>
      <c r="F1613" s="8">
        <v>0</v>
      </c>
      <c r="G1613" s="4">
        <v>1</v>
      </c>
      <c r="H1613" s="8">
        <v>3.7</v>
      </c>
      <c r="I1613" s="4">
        <v>0</v>
      </c>
    </row>
    <row r="1614" spans="1:9" x14ac:dyDescent="0.2">
      <c r="A1614" s="2">
        <v>18</v>
      </c>
      <c r="B1614" s="1" t="s">
        <v>199</v>
      </c>
      <c r="C1614" s="4">
        <v>1</v>
      </c>
      <c r="D1614" s="8">
        <v>1.06</v>
      </c>
      <c r="E1614" s="4">
        <v>1</v>
      </c>
      <c r="F1614" s="8">
        <v>1.61</v>
      </c>
      <c r="G1614" s="4">
        <v>0</v>
      </c>
      <c r="H1614" s="8">
        <v>0</v>
      </c>
      <c r="I1614" s="4">
        <v>0</v>
      </c>
    </row>
    <row r="1615" spans="1:9" x14ac:dyDescent="0.2">
      <c r="A1615" s="2">
        <v>18</v>
      </c>
      <c r="B1615" s="1" t="s">
        <v>283</v>
      </c>
      <c r="C1615" s="4">
        <v>1</v>
      </c>
      <c r="D1615" s="8">
        <v>1.06</v>
      </c>
      <c r="E1615" s="4">
        <v>1</v>
      </c>
      <c r="F1615" s="8">
        <v>1.61</v>
      </c>
      <c r="G1615" s="4">
        <v>0</v>
      </c>
      <c r="H1615" s="8">
        <v>0</v>
      </c>
      <c r="I1615" s="4">
        <v>0</v>
      </c>
    </row>
    <row r="1616" spans="1:9" x14ac:dyDescent="0.2">
      <c r="A1616" s="2">
        <v>18</v>
      </c>
      <c r="B1616" s="1" t="s">
        <v>223</v>
      </c>
      <c r="C1616" s="4">
        <v>1</v>
      </c>
      <c r="D1616" s="8">
        <v>1.06</v>
      </c>
      <c r="E1616" s="4">
        <v>0</v>
      </c>
      <c r="F1616" s="8">
        <v>0</v>
      </c>
      <c r="G1616" s="4">
        <v>0</v>
      </c>
      <c r="H1616" s="8">
        <v>0</v>
      </c>
      <c r="I1616" s="4">
        <v>0</v>
      </c>
    </row>
    <row r="1617" spans="1:9" x14ac:dyDescent="0.2">
      <c r="A1617" s="2">
        <v>18</v>
      </c>
      <c r="B1617" s="1" t="s">
        <v>278</v>
      </c>
      <c r="C1617" s="4">
        <v>1</v>
      </c>
      <c r="D1617" s="8">
        <v>1.06</v>
      </c>
      <c r="E1617" s="4">
        <v>1</v>
      </c>
      <c r="F1617" s="8">
        <v>1.61</v>
      </c>
      <c r="G1617" s="4">
        <v>0</v>
      </c>
      <c r="H1617" s="8">
        <v>0</v>
      </c>
      <c r="I1617" s="4">
        <v>0</v>
      </c>
    </row>
    <row r="1618" spans="1:9" x14ac:dyDescent="0.2">
      <c r="A1618" s="2">
        <v>18</v>
      </c>
      <c r="B1618" s="1" t="s">
        <v>193</v>
      </c>
      <c r="C1618" s="4">
        <v>1</v>
      </c>
      <c r="D1618" s="8">
        <v>1.06</v>
      </c>
      <c r="E1618" s="4">
        <v>1</v>
      </c>
      <c r="F1618" s="8">
        <v>1.61</v>
      </c>
      <c r="G1618" s="4">
        <v>0</v>
      </c>
      <c r="H1618" s="8">
        <v>0</v>
      </c>
      <c r="I1618" s="4">
        <v>0</v>
      </c>
    </row>
    <row r="1619" spans="1:9" x14ac:dyDescent="0.2">
      <c r="A1619" s="2">
        <v>18</v>
      </c>
      <c r="B1619" s="1" t="s">
        <v>264</v>
      </c>
      <c r="C1619" s="4">
        <v>1</v>
      </c>
      <c r="D1619" s="8">
        <v>1.06</v>
      </c>
      <c r="E1619" s="4">
        <v>0</v>
      </c>
      <c r="F1619" s="8">
        <v>0</v>
      </c>
      <c r="G1619" s="4">
        <v>1</v>
      </c>
      <c r="H1619" s="8">
        <v>3.7</v>
      </c>
      <c r="I1619" s="4">
        <v>0</v>
      </c>
    </row>
    <row r="1620" spans="1:9" x14ac:dyDescent="0.2">
      <c r="A1620" s="2">
        <v>18</v>
      </c>
      <c r="B1620" s="1" t="s">
        <v>200</v>
      </c>
      <c r="C1620" s="4">
        <v>1</v>
      </c>
      <c r="D1620" s="8">
        <v>1.06</v>
      </c>
      <c r="E1620" s="4">
        <v>1</v>
      </c>
      <c r="F1620" s="8">
        <v>1.61</v>
      </c>
      <c r="G1620" s="4">
        <v>0</v>
      </c>
      <c r="H1620" s="8">
        <v>0</v>
      </c>
      <c r="I1620" s="4">
        <v>0</v>
      </c>
    </row>
    <row r="1621" spans="1:9" x14ac:dyDescent="0.2">
      <c r="A1621" s="2">
        <v>18</v>
      </c>
      <c r="B1621" s="1" t="s">
        <v>331</v>
      </c>
      <c r="C1621" s="4">
        <v>1</v>
      </c>
      <c r="D1621" s="8">
        <v>1.06</v>
      </c>
      <c r="E1621" s="4">
        <v>1</v>
      </c>
      <c r="F1621" s="8">
        <v>1.61</v>
      </c>
      <c r="G1621" s="4">
        <v>0</v>
      </c>
      <c r="H1621" s="8">
        <v>0</v>
      </c>
      <c r="I1621" s="4">
        <v>0</v>
      </c>
    </row>
    <row r="1622" spans="1:9" x14ac:dyDescent="0.2">
      <c r="A1622" s="2">
        <v>18</v>
      </c>
      <c r="B1622" s="1" t="s">
        <v>251</v>
      </c>
      <c r="C1622" s="4">
        <v>1</v>
      </c>
      <c r="D1622" s="8">
        <v>1.06</v>
      </c>
      <c r="E1622" s="4">
        <v>0</v>
      </c>
      <c r="F1622" s="8">
        <v>0</v>
      </c>
      <c r="G1622" s="4">
        <v>1</v>
      </c>
      <c r="H1622" s="8">
        <v>3.7</v>
      </c>
      <c r="I1622" s="4">
        <v>0</v>
      </c>
    </row>
    <row r="1623" spans="1:9" x14ac:dyDescent="0.2">
      <c r="A1623" s="2">
        <v>18</v>
      </c>
      <c r="B1623" s="1" t="s">
        <v>332</v>
      </c>
      <c r="C1623" s="4">
        <v>1</v>
      </c>
      <c r="D1623" s="8">
        <v>1.06</v>
      </c>
      <c r="E1623" s="4">
        <v>1</v>
      </c>
      <c r="F1623" s="8">
        <v>1.61</v>
      </c>
      <c r="G1623" s="4">
        <v>0</v>
      </c>
      <c r="H1623" s="8">
        <v>0</v>
      </c>
      <c r="I1623" s="4">
        <v>0</v>
      </c>
    </row>
    <row r="1624" spans="1:9" x14ac:dyDescent="0.2">
      <c r="A1624" s="1"/>
      <c r="C1624" s="4"/>
      <c r="D1624" s="8"/>
      <c r="E1624" s="4"/>
      <c r="F1624" s="8"/>
      <c r="G1624" s="4"/>
      <c r="H1624" s="8"/>
      <c r="I1624" s="4"/>
    </row>
    <row r="1625" spans="1:9" x14ac:dyDescent="0.2">
      <c r="A1625" s="1" t="s">
        <v>60</v>
      </c>
      <c r="C1625" s="4"/>
      <c r="D1625" s="8"/>
      <c r="E1625" s="4"/>
      <c r="F1625" s="8"/>
      <c r="G1625" s="4"/>
      <c r="H1625" s="8"/>
      <c r="I1625" s="4"/>
    </row>
    <row r="1626" spans="1:9" x14ac:dyDescent="0.2">
      <c r="A1626" s="2">
        <v>1</v>
      </c>
      <c r="B1626" s="1" t="s">
        <v>176</v>
      </c>
      <c r="C1626" s="4">
        <v>7</v>
      </c>
      <c r="D1626" s="8">
        <v>11.67</v>
      </c>
      <c r="E1626" s="4">
        <v>6</v>
      </c>
      <c r="F1626" s="8">
        <v>14.63</v>
      </c>
      <c r="G1626" s="4">
        <v>1</v>
      </c>
      <c r="H1626" s="8">
        <v>6.25</v>
      </c>
      <c r="I1626" s="4">
        <v>0</v>
      </c>
    </row>
    <row r="1627" spans="1:9" x14ac:dyDescent="0.2">
      <c r="A1627" s="2">
        <v>2</v>
      </c>
      <c r="B1627" s="1" t="s">
        <v>174</v>
      </c>
      <c r="C1627" s="4">
        <v>5</v>
      </c>
      <c r="D1627" s="8">
        <v>8.33</v>
      </c>
      <c r="E1627" s="4">
        <v>3</v>
      </c>
      <c r="F1627" s="8">
        <v>7.32</v>
      </c>
      <c r="G1627" s="4">
        <v>2</v>
      </c>
      <c r="H1627" s="8">
        <v>12.5</v>
      </c>
      <c r="I1627" s="4">
        <v>0</v>
      </c>
    </row>
    <row r="1628" spans="1:9" x14ac:dyDescent="0.2">
      <c r="A1628" s="2">
        <v>3</v>
      </c>
      <c r="B1628" s="1" t="s">
        <v>190</v>
      </c>
      <c r="C1628" s="4">
        <v>4</v>
      </c>
      <c r="D1628" s="8">
        <v>6.67</v>
      </c>
      <c r="E1628" s="4">
        <v>4</v>
      </c>
      <c r="F1628" s="8">
        <v>9.76</v>
      </c>
      <c r="G1628" s="4">
        <v>0</v>
      </c>
      <c r="H1628" s="8">
        <v>0</v>
      </c>
      <c r="I1628" s="4">
        <v>0</v>
      </c>
    </row>
    <row r="1629" spans="1:9" x14ac:dyDescent="0.2">
      <c r="A1629" s="2">
        <v>4</v>
      </c>
      <c r="B1629" s="1" t="s">
        <v>178</v>
      </c>
      <c r="C1629" s="4">
        <v>3</v>
      </c>
      <c r="D1629" s="8">
        <v>5</v>
      </c>
      <c r="E1629" s="4">
        <v>3</v>
      </c>
      <c r="F1629" s="8">
        <v>7.32</v>
      </c>
      <c r="G1629" s="4">
        <v>0</v>
      </c>
      <c r="H1629" s="8">
        <v>0</v>
      </c>
      <c r="I1629" s="4">
        <v>0</v>
      </c>
    </row>
    <row r="1630" spans="1:9" x14ac:dyDescent="0.2">
      <c r="A1630" s="2">
        <v>4</v>
      </c>
      <c r="B1630" s="1" t="s">
        <v>198</v>
      </c>
      <c r="C1630" s="4">
        <v>3</v>
      </c>
      <c r="D1630" s="8">
        <v>5</v>
      </c>
      <c r="E1630" s="4">
        <v>3</v>
      </c>
      <c r="F1630" s="8">
        <v>7.32</v>
      </c>
      <c r="G1630" s="4">
        <v>0</v>
      </c>
      <c r="H1630" s="8">
        <v>0</v>
      </c>
      <c r="I1630" s="4">
        <v>0</v>
      </c>
    </row>
    <row r="1631" spans="1:9" x14ac:dyDescent="0.2">
      <c r="A1631" s="2">
        <v>4</v>
      </c>
      <c r="B1631" s="1" t="s">
        <v>191</v>
      </c>
      <c r="C1631" s="4">
        <v>3</v>
      </c>
      <c r="D1631" s="8">
        <v>5</v>
      </c>
      <c r="E1631" s="4">
        <v>2</v>
      </c>
      <c r="F1631" s="8">
        <v>4.88</v>
      </c>
      <c r="G1631" s="4">
        <v>1</v>
      </c>
      <c r="H1631" s="8">
        <v>6.25</v>
      </c>
      <c r="I1631" s="4">
        <v>0</v>
      </c>
    </row>
    <row r="1632" spans="1:9" x14ac:dyDescent="0.2">
      <c r="A1632" s="2">
        <v>7</v>
      </c>
      <c r="B1632" s="1" t="s">
        <v>334</v>
      </c>
      <c r="C1632" s="4">
        <v>2</v>
      </c>
      <c r="D1632" s="8">
        <v>3.33</v>
      </c>
      <c r="E1632" s="4">
        <v>0</v>
      </c>
      <c r="F1632" s="8">
        <v>0</v>
      </c>
      <c r="G1632" s="4">
        <v>2</v>
      </c>
      <c r="H1632" s="8">
        <v>12.5</v>
      </c>
      <c r="I1632" s="4">
        <v>0</v>
      </c>
    </row>
    <row r="1633" spans="1:9" x14ac:dyDescent="0.2">
      <c r="A1633" s="2">
        <v>7</v>
      </c>
      <c r="B1633" s="1" t="s">
        <v>214</v>
      </c>
      <c r="C1633" s="4">
        <v>2</v>
      </c>
      <c r="D1633" s="8">
        <v>3.33</v>
      </c>
      <c r="E1633" s="4">
        <v>2</v>
      </c>
      <c r="F1633" s="8">
        <v>4.88</v>
      </c>
      <c r="G1633" s="4">
        <v>0</v>
      </c>
      <c r="H1633" s="8">
        <v>0</v>
      </c>
      <c r="I1633" s="4">
        <v>0</v>
      </c>
    </row>
    <row r="1634" spans="1:9" x14ac:dyDescent="0.2">
      <c r="A1634" s="2">
        <v>7</v>
      </c>
      <c r="B1634" s="1" t="s">
        <v>197</v>
      </c>
      <c r="C1634" s="4">
        <v>2</v>
      </c>
      <c r="D1634" s="8">
        <v>3.33</v>
      </c>
      <c r="E1634" s="4">
        <v>2</v>
      </c>
      <c r="F1634" s="8">
        <v>4.88</v>
      </c>
      <c r="G1634" s="4">
        <v>0</v>
      </c>
      <c r="H1634" s="8">
        <v>0</v>
      </c>
      <c r="I1634" s="4">
        <v>0</v>
      </c>
    </row>
    <row r="1635" spans="1:9" x14ac:dyDescent="0.2">
      <c r="A1635" s="2">
        <v>7</v>
      </c>
      <c r="B1635" s="1" t="s">
        <v>216</v>
      </c>
      <c r="C1635" s="4">
        <v>2</v>
      </c>
      <c r="D1635" s="8">
        <v>3.33</v>
      </c>
      <c r="E1635" s="4">
        <v>2</v>
      </c>
      <c r="F1635" s="8">
        <v>4.88</v>
      </c>
      <c r="G1635" s="4">
        <v>0</v>
      </c>
      <c r="H1635" s="8">
        <v>0</v>
      </c>
      <c r="I1635" s="4">
        <v>0</v>
      </c>
    </row>
    <row r="1636" spans="1:9" x14ac:dyDescent="0.2">
      <c r="A1636" s="2">
        <v>7</v>
      </c>
      <c r="B1636" s="1" t="s">
        <v>247</v>
      </c>
      <c r="C1636" s="4">
        <v>2</v>
      </c>
      <c r="D1636" s="8">
        <v>3.33</v>
      </c>
      <c r="E1636" s="4">
        <v>1</v>
      </c>
      <c r="F1636" s="8">
        <v>2.44</v>
      </c>
      <c r="G1636" s="4">
        <v>0</v>
      </c>
      <c r="H1636" s="8">
        <v>0</v>
      </c>
      <c r="I1636" s="4">
        <v>0</v>
      </c>
    </row>
    <row r="1637" spans="1:9" x14ac:dyDescent="0.2">
      <c r="A1637" s="2">
        <v>7</v>
      </c>
      <c r="B1637" s="1" t="s">
        <v>200</v>
      </c>
      <c r="C1637" s="4">
        <v>2</v>
      </c>
      <c r="D1637" s="8">
        <v>3.33</v>
      </c>
      <c r="E1637" s="4">
        <v>1</v>
      </c>
      <c r="F1637" s="8">
        <v>2.44</v>
      </c>
      <c r="G1637" s="4">
        <v>1</v>
      </c>
      <c r="H1637" s="8">
        <v>6.25</v>
      </c>
      <c r="I1637" s="4">
        <v>0</v>
      </c>
    </row>
    <row r="1638" spans="1:9" x14ac:dyDescent="0.2">
      <c r="A1638" s="2">
        <v>13</v>
      </c>
      <c r="B1638" s="1" t="s">
        <v>333</v>
      </c>
      <c r="C1638" s="4">
        <v>1</v>
      </c>
      <c r="D1638" s="8">
        <v>1.67</v>
      </c>
      <c r="E1638" s="4">
        <v>0</v>
      </c>
      <c r="F1638" s="8">
        <v>0</v>
      </c>
      <c r="G1638" s="4">
        <v>1</v>
      </c>
      <c r="H1638" s="8">
        <v>6.25</v>
      </c>
      <c r="I1638" s="4">
        <v>0</v>
      </c>
    </row>
    <row r="1639" spans="1:9" x14ac:dyDescent="0.2">
      <c r="A1639" s="2">
        <v>13</v>
      </c>
      <c r="B1639" s="1" t="s">
        <v>260</v>
      </c>
      <c r="C1639" s="4">
        <v>1</v>
      </c>
      <c r="D1639" s="8">
        <v>1.67</v>
      </c>
      <c r="E1639" s="4">
        <v>1</v>
      </c>
      <c r="F1639" s="8">
        <v>2.44</v>
      </c>
      <c r="G1639" s="4">
        <v>0</v>
      </c>
      <c r="H1639" s="8">
        <v>0</v>
      </c>
      <c r="I1639" s="4">
        <v>0</v>
      </c>
    </row>
    <row r="1640" spans="1:9" x14ac:dyDescent="0.2">
      <c r="A1640" s="2">
        <v>13</v>
      </c>
      <c r="B1640" s="1" t="s">
        <v>175</v>
      </c>
      <c r="C1640" s="4">
        <v>1</v>
      </c>
      <c r="D1640" s="8">
        <v>1.67</v>
      </c>
      <c r="E1640" s="4">
        <v>0</v>
      </c>
      <c r="F1640" s="8">
        <v>0</v>
      </c>
      <c r="G1640" s="4">
        <v>1</v>
      </c>
      <c r="H1640" s="8">
        <v>6.25</v>
      </c>
      <c r="I1640" s="4">
        <v>0</v>
      </c>
    </row>
    <row r="1641" spans="1:9" x14ac:dyDescent="0.2">
      <c r="A1641" s="2">
        <v>13</v>
      </c>
      <c r="B1641" s="1" t="s">
        <v>210</v>
      </c>
      <c r="C1641" s="4">
        <v>1</v>
      </c>
      <c r="D1641" s="8">
        <v>1.67</v>
      </c>
      <c r="E1641" s="4">
        <v>1</v>
      </c>
      <c r="F1641" s="8">
        <v>2.44</v>
      </c>
      <c r="G1641" s="4">
        <v>0</v>
      </c>
      <c r="H1641" s="8">
        <v>0</v>
      </c>
      <c r="I1641" s="4">
        <v>0</v>
      </c>
    </row>
    <row r="1642" spans="1:9" x14ac:dyDescent="0.2">
      <c r="A1642" s="2">
        <v>13</v>
      </c>
      <c r="B1642" s="1" t="s">
        <v>261</v>
      </c>
      <c r="C1642" s="4">
        <v>1</v>
      </c>
      <c r="D1642" s="8">
        <v>1.67</v>
      </c>
      <c r="E1642" s="4">
        <v>1</v>
      </c>
      <c r="F1642" s="8">
        <v>2.44</v>
      </c>
      <c r="G1642" s="4">
        <v>0</v>
      </c>
      <c r="H1642" s="8">
        <v>0</v>
      </c>
      <c r="I1642" s="4">
        <v>0</v>
      </c>
    </row>
    <row r="1643" spans="1:9" x14ac:dyDescent="0.2">
      <c r="A1643" s="2">
        <v>13</v>
      </c>
      <c r="B1643" s="1" t="s">
        <v>177</v>
      </c>
      <c r="C1643" s="4">
        <v>1</v>
      </c>
      <c r="D1643" s="8">
        <v>1.67</v>
      </c>
      <c r="E1643" s="4">
        <v>0</v>
      </c>
      <c r="F1643" s="8">
        <v>0</v>
      </c>
      <c r="G1643" s="4">
        <v>1</v>
      </c>
      <c r="H1643" s="8">
        <v>6.25</v>
      </c>
      <c r="I1643" s="4">
        <v>0</v>
      </c>
    </row>
    <row r="1644" spans="1:9" x14ac:dyDescent="0.2">
      <c r="A1644" s="2">
        <v>13</v>
      </c>
      <c r="B1644" s="1" t="s">
        <v>262</v>
      </c>
      <c r="C1644" s="4">
        <v>1</v>
      </c>
      <c r="D1644" s="8">
        <v>1.67</v>
      </c>
      <c r="E1644" s="4">
        <v>0</v>
      </c>
      <c r="F1644" s="8">
        <v>0</v>
      </c>
      <c r="G1644" s="4">
        <v>1</v>
      </c>
      <c r="H1644" s="8">
        <v>6.25</v>
      </c>
      <c r="I1644" s="4">
        <v>0</v>
      </c>
    </row>
    <row r="1645" spans="1:9" x14ac:dyDescent="0.2">
      <c r="A1645" s="2">
        <v>13</v>
      </c>
      <c r="B1645" s="1" t="s">
        <v>294</v>
      </c>
      <c r="C1645" s="4">
        <v>1</v>
      </c>
      <c r="D1645" s="8">
        <v>1.67</v>
      </c>
      <c r="E1645" s="4">
        <v>1</v>
      </c>
      <c r="F1645" s="8">
        <v>2.44</v>
      </c>
      <c r="G1645" s="4">
        <v>0</v>
      </c>
      <c r="H1645" s="8">
        <v>0</v>
      </c>
      <c r="I1645" s="4">
        <v>0</v>
      </c>
    </row>
    <row r="1646" spans="1:9" x14ac:dyDescent="0.2">
      <c r="A1646" s="2">
        <v>13</v>
      </c>
      <c r="B1646" s="1" t="s">
        <v>285</v>
      </c>
      <c r="C1646" s="4">
        <v>1</v>
      </c>
      <c r="D1646" s="8">
        <v>1.67</v>
      </c>
      <c r="E1646" s="4">
        <v>1</v>
      </c>
      <c r="F1646" s="8">
        <v>2.44</v>
      </c>
      <c r="G1646" s="4">
        <v>0</v>
      </c>
      <c r="H1646" s="8">
        <v>0</v>
      </c>
      <c r="I1646" s="4">
        <v>0</v>
      </c>
    </row>
    <row r="1647" spans="1:9" x14ac:dyDescent="0.2">
      <c r="A1647" s="2">
        <v>13</v>
      </c>
      <c r="B1647" s="1" t="s">
        <v>274</v>
      </c>
      <c r="C1647" s="4">
        <v>1</v>
      </c>
      <c r="D1647" s="8">
        <v>1.67</v>
      </c>
      <c r="E1647" s="4">
        <v>0</v>
      </c>
      <c r="F1647" s="8">
        <v>0</v>
      </c>
      <c r="G1647" s="4">
        <v>1</v>
      </c>
      <c r="H1647" s="8">
        <v>6.25</v>
      </c>
      <c r="I1647" s="4">
        <v>0</v>
      </c>
    </row>
    <row r="1648" spans="1:9" x14ac:dyDescent="0.2">
      <c r="A1648" s="2">
        <v>13</v>
      </c>
      <c r="B1648" s="1" t="s">
        <v>335</v>
      </c>
      <c r="C1648" s="4">
        <v>1</v>
      </c>
      <c r="D1648" s="8">
        <v>1.67</v>
      </c>
      <c r="E1648" s="4">
        <v>0</v>
      </c>
      <c r="F1648" s="8">
        <v>0</v>
      </c>
      <c r="G1648" s="4">
        <v>1</v>
      </c>
      <c r="H1648" s="8">
        <v>6.25</v>
      </c>
      <c r="I1648" s="4">
        <v>0</v>
      </c>
    </row>
    <row r="1649" spans="1:9" x14ac:dyDescent="0.2">
      <c r="A1649" s="2">
        <v>13</v>
      </c>
      <c r="B1649" s="1" t="s">
        <v>336</v>
      </c>
      <c r="C1649" s="4">
        <v>1</v>
      </c>
      <c r="D1649" s="8">
        <v>1.67</v>
      </c>
      <c r="E1649" s="4">
        <v>1</v>
      </c>
      <c r="F1649" s="8">
        <v>2.44</v>
      </c>
      <c r="G1649" s="4">
        <v>0</v>
      </c>
      <c r="H1649" s="8">
        <v>0</v>
      </c>
      <c r="I1649" s="4">
        <v>0</v>
      </c>
    </row>
    <row r="1650" spans="1:9" x14ac:dyDescent="0.2">
      <c r="A1650" s="2">
        <v>13</v>
      </c>
      <c r="B1650" s="1" t="s">
        <v>300</v>
      </c>
      <c r="C1650" s="4">
        <v>1</v>
      </c>
      <c r="D1650" s="8">
        <v>1.67</v>
      </c>
      <c r="E1650" s="4">
        <v>1</v>
      </c>
      <c r="F1650" s="8">
        <v>2.44</v>
      </c>
      <c r="G1650" s="4">
        <v>0</v>
      </c>
      <c r="H1650" s="8">
        <v>0</v>
      </c>
      <c r="I1650" s="4">
        <v>0</v>
      </c>
    </row>
    <row r="1651" spans="1:9" x14ac:dyDescent="0.2">
      <c r="A1651" s="2">
        <v>13</v>
      </c>
      <c r="B1651" s="1" t="s">
        <v>240</v>
      </c>
      <c r="C1651" s="4">
        <v>1</v>
      </c>
      <c r="D1651" s="8">
        <v>1.67</v>
      </c>
      <c r="E1651" s="4">
        <v>1</v>
      </c>
      <c r="F1651" s="8">
        <v>2.44</v>
      </c>
      <c r="G1651" s="4">
        <v>0</v>
      </c>
      <c r="H1651" s="8">
        <v>0</v>
      </c>
      <c r="I1651" s="4">
        <v>0</v>
      </c>
    </row>
    <row r="1652" spans="1:9" x14ac:dyDescent="0.2">
      <c r="A1652" s="2">
        <v>13</v>
      </c>
      <c r="B1652" s="1" t="s">
        <v>337</v>
      </c>
      <c r="C1652" s="4">
        <v>1</v>
      </c>
      <c r="D1652" s="8">
        <v>1.67</v>
      </c>
      <c r="E1652" s="4">
        <v>0</v>
      </c>
      <c r="F1652" s="8">
        <v>0</v>
      </c>
      <c r="G1652" s="4">
        <v>1</v>
      </c>
      <c r="H1652" s="8">
        <v>6.25</v>
      </c>
      <c r="I1652" s="4">
        <v>0</v>
      </c>
    </row>
    <row r="1653" spans="1:9" x14ac:dyDescent="0.2">
      <c r="A1653" s="2">
        <v>13</v>
      </c>
      <c r="B1653" s="1" t="s">
        <v>227</v>
      </c>
      <c r="C1653" s="4">
        <v>1</v>
      </c>
      <c r="D1653" s="8">
        <v>1.67</v>
      </c>
      <c r="E1653" s="4">
        <v>0</v>
      </c>
      <c r="F1653" s="8">
        <v>0</v>
      </c>
      <c r="G1653" s="4">
        <v>0</v>
      </c>
      <c r="H1653" s="8">
        <v>0</v>
      </c>
      <c r="I1653" s="4">
        <v>0</v>
      </c>
    </row>
    <row r="1654" spans="1:9" x14ac:dyDescent="0.2">
      <c r="A1654" s="2">
        <v>13</v>
      </c>
      <c r="B1654" s="1" t="s">
        <v>180</v>
      </c>
      <c r="C1654" s="4">
        <v>1</v>
      </c>
      <c r="D1654" s="8">
        <v>1.67</v>
      </c>
      <c r="E1654" s="4">
        <v>0</v>
      </c>
      <c r="F1654" s="8">
        <v>0</v>
      </c>
      <c r="G1654" s="4">
        <v>1</v>
      </c>
      <c r="H1654" s="8">
        <v>6.25</v>
      </c>
      <c r="I1654" s="4">
        <v>0</v>
      </c>
    </row>
    <row r="1655" spans="1:9" x14ac:dyDescent="0.2">
      <c r="A1655" s="2">
        <v>13</v>
      </c>
      <c r="B1655" s="1" t="s">
        <v>222</v>
      </c>
      <c r="C1655" s="4">
        <v>1</v>
      </c>
      <c r="D1655" s="8">
        <v>1.67</v>
      </c>
      <c r="E1655" s="4">
        <v>1</v>
      </c>
      <c r="F1655" s="8">
        <v>2.44</v>
      </c>
      <c r="G1655" s="4">
        <v>0</v>
      </c>
      <c r="H1655" s="8">
        <v>0</v>
      </c>
      <c r="I1655" s="4">
        <v>0</v>
      </c>
    </row>
    <row r="1656" spans="1:9" x14ac:dyDescent="0.2">
      <c r="A1656" s="2">
        <v>13</v>
      </c>
      <c r="B1656" s="1" t="s">
        <v>194</v>
      </c>
      <c r="C1656" s="4">
        <v>1</v>
      </c>
      <c r="D1656" s="8">
        <v>1.67</v>
      </c>
      <c r="E1656" s="4">
        <v>1</v>
      </c>
      <c r="F1656" s="8">
        <v>2.44</v>
      </c>
      <c r="G1656" s="4">
        <v>0</v>
      </c>
      <c r="H1656" s="8">
        <v>0</v>
      </c>
      <c r="I1656" s="4">
        <v>0</v>
      </c>
    </row>
    <row r="1657" spans="1:9" x14ac:dyDescent="0.2">
      <c r="A1657" s="2">
        <v>13</v>
      </c>
      <c r="B1657" s="1" t="s">
        <v>282</v>
      </c>
      <c r="C1657" s="4">
        <v>1</v>
      </c>
      <c r="D1657" s="8">
        <v>1.67</v>
      </c>
      <c r="E1657" s="4">
        <v>0</v>
      </c>
      <c r="F1657" s="8">
        <v>0</v>
      </c>
      <c r="G1657" s="4">
        <v>1</v>
      </c>
      <c r="H1657" s="8">
        <v>6.25</v>
      </c>
      <c r="I1657" s="4">
        <v>0</v>
      </c>
    </row>
    <row r="1658" spans="1:9" x14ac:dyDescent="0.2">
      <c r="A1658" s="2">
        <v>13</v>
      </c>
      <c r="B1658" s="1" t="s">
        <v>185</v>
      </c>
      <c r="C1658" s="4">
        <v>1</v>
      </c>
      <c r="D1658" s="8">
        <v>1.67</v>
      </c>
      <c r="E1658" s="4">
        <v>1</v>
      </c>
      <c r="F1658" s="8">
        <v>2.44</v>
      </c>
      <c r="G1658" s="4">
        <v>0</v>
      </c>
      <c r="H1658" s="8">
        <v>0</v>
      </c>
      <c r="I1658" s="4">
        <v>0</v>
      </c>
    </row>
    <row r="1659" spans="1:9" x14ac:dyDescent="0.2">
      <c r="A1659" s="2">
        <v>13</v>
      </c>
      <c r="B1659" s="1" t="s">
        <v>207</v>
      </c>
      <c r="C1659" s="4">
        <v>1</v>
      </c>
      <c r="D1659" s="8">
        <v>1.67</v>
      </c>
      <c r="E1659" s="4">
        <v>0</v>
      </c>
      <c r="F1659" s="8">
        <v>0</v>
      </c>
      <c r="G1659" s="4">
        <v>0</v>
      </c>
      <c r="H1659" s="8">
        <v>0</v>
      </c>
      <c r="I1659" s="4">
        <v>0</v>
      </c>
    </row>
    <row r="1660" spans="1:9" x14ac:dyDescent="0.2">
      <c r="A1660" s="2">
        <v>13</v>
      </c>
      <c r="B1660" s="1" t="s">
        <v>278</v>
      </c>
      <c r="C1660" s="4">
        <v>1</v>
      </c>
      <c r="D1660" s="8">
        <v>1.67</v>
      </c>
      <c r="E1660" s="4">
        <v>1</v>
      </c>
      <c r="F1660" s="8">
        <v>2.44</v>
      </c>
      <c r="G1660" s="4">
        <v>0</v>
      </c>
      <c r="H1660" s="8">
        <v>0</v>
      </c>
      <c r="I1660" s="4">
        <v>0</v>
      </c>
    </row>
    <row r="1661" spans="1:9" x14ac:dyDescent="0.2">
      <c r="A1661" s="1"/>
      <c r="C1661" s="4"/>
      <c r="D1661" s="8"/>
      <c r="E1661" s="4"/>
      <c r="F1661" s="8"/>
      <c r="G1661" s="4"/>
      <c r="H1661" s="8"/>
      <c r="I1661" s="4"/>
    </row>
    <row r="1662" spans="1:9" x14ac:dyDescent="0.2">
      <c r="A1662" s="1" t="s">
        <v>61</v>
      </c>
      <c r="C1662" s="4"/>
      <c r="D1662" s="8"/>
      <c r="E1662" s="4"/>
      <c r="F1662" s="8"/>
      <c r="G1662" s="4"/>
      <c r="H1662" s="8"/>
      <c r="I1662" s="4"/>
    </row>
    <row r="1663" spans="1:9" x14ac:dyDescent="0.2">
      <c r="A1663" s="2">
        <v>1</v>
      </c>
      <c r="B1663" s="1" t="s">
        <v>176</v>
      </c>
      <c r="C1663" s="4">
        <v>9</v>
      </c>
      <c r="D1663" s="8">
        <v>4.3899999999999997</v>
      </c>
      <c r="E1663" s="4">
        <v>5</v>
      </c>
      <c r="F1663" s="8">
        <v>4.5</v>
      </c>
      <c r="G1663" s="4">
        <v>4</v>
      </c>
      <c r="H1663" s="8">
        <v>4.4000000000000004</v>
      </c>
      <c r="I1663" s="4">
        <v>0</v>
      </c>
    </row>
    <row r="1664" spans="1:9" x14ac:dyDescent="0.2">
      <c r="A1664" s="2">
        <v>1</v>
      </c>
      <c r="B1664" s="1" t="s">
        <v>261</v>
      </c>
      <c r="C1664" s="4">
        <v>9</v>
      </c>
      <c r="D1664" s="8">
        <v>4.3899999999999997</v>
      </c>
      <c r="E1664" s="4">
        <v>6</v>
      </c>
      <c r="F1664" s="8">
        <v>5.41</v>
      </c>
      <c r="G1664" s="4">
        <v>3</v>
      </c>
      <c r="H1664" s="8">
        <v>3.3</v>
      </c>
      <c r="I1664" s="4">
        <v>0</v>
      </c>
    </row>
    <row r="1665" spans="1:9" x14ac:dyDescent="0.2">
      <c r="A1665" s="2">
        <v>1</v>
      </c>
      <c r="B1665" s="1" t="s">
        <v>200</v>
      </c>
      <c r="C1665" s="4">
        <v>9</v>
      </c>
      <c r="D1665" s="8">
        <v>4.3899999999999997</v>
      </c>
      <c r="E1665" s="4">
        <v>6</v>
      </c>
      <c r="F1665" s="8">
        <v>5.41</v>
      </c>
      <c r="G1665" s="4">
        <v>3</v>
      </c>
      <c r="H1665" s="8">
        <v>3.3</v>
      </c>
      <c r="I1665" s="4">
        <v>0</v>
      </c>
    </row>
    <row r="1666" spans="1:9" x14ac:dyDescent="0.2">
      <c r="A1666" s="2">
        <v>4</v>
      </c>
      <c r="B1666" s="1" t="s">
        <v>178</v>
      </c>
      <c r="C1666" s="4">
        <v>8</v>
      </c>
      <c r="D1666" s="8">
        <v>3.9</v>
      </c>
      <c r="E1666" s="4">
        <v>5</v>
      </c>
      <c r="F1666" s="8">
        <v>4.5</v>
      </c>
      <c r="G1666" s="4">
        <v>3</v>
      </c>
      <c r="H1666" s="8">
        <v>3.3</v>
      </c>
      <c r="I1666" s="4">
        <v>0</v>
      </c>
    </row>
    <row r="1667" spans="1:9" x14ac:dyDescent="0.2">
      <c r="A1667" s="2">
        <v>4</v>
      </c>
      <c r="B1667" s="1" t="s">
        <v>191</v>
      </c>
      <c r="C1667" s="4">
        <v>8</v>
      </c>
      <c r="D1667" s="8">
        <v>3.9</v>
      </c>
      <c r="E1667" s="4">
        <v>6</v>
      </c>
      <c r="F1667" s="8">
        <v>5.41</v>
      </c>
      <c r="G1667" s="4">
        <v>2</v>
      </c>
      <c r="H1667" s="8">
        <v>2.2000000000000002</v>
      </c>
      <c r="I1667" s="4">
        <v>0</v>
      </c>
    </row>
    <row r="1668" spans="1:9" x14ac:dyDescent="0.2">
      <c r="A1668" s="2">
        <v>6</v>
      </c>
      <c r="B1668" s="1" t="s">
        <v>220</v>
      </c>
      <c r="C1668" s="4">
        <v>7</v>
      </c>
      <c r="D1668" s="8">
        <v>3.41</v>
      </c>
      <c r="E1668" s="4">
        <v>6</v>
      </c>
      <c r="F1668" s="8">
        <v>5.41</v>
      </c>
      <c r="G1668" s="4">
        <v>1</v>
      </c>
      <c r="H1668" s="8">
        <v>1.1000000000000001</v>
      </c>
      <c r="I1668" s="4">
        <v>0</v>
      </c>
    </row>
    <row r="1669" spans="1:9" x14ac:dyDescent="0.2">
      <c r="A1669" s="2">
        <v>7</v>
      </c>
      <c r="B1669" s="1" t="s">
        <v>175</v>
      </c>
      <c r="C1669" s="4">
        <v>6</v>
      </c>
      <c r="D1669" s="8">
        <v>2.93</v>
      </c>
      <c r="E1669" s="4">
        <v>1</v>
      </c>
      <c r="F1669" s="8">
        <v>0.9</v>
      </c>
      <c r="G1669" s="4">
        <v>5</v>
      </c>
      <c r="H1669" s="8">
        <v>5.49</v>
      </c>
      <c r="I1669" s="4">
        <v>0</v>
      </c>
    </row>
    <row r="1670" spans="1:9" x14ac:dyDescent="0.2">
      <c r="A1670" s="2">
        <v>8</v>
      </c>
      <c r="B1670" s="1" t="s">
        <v>201</v>
      </c>
      <c r="C1670" s="4">
        <v>5</v>
      </c>
      <c r="D1670" s="8">
        <v>2.44</v>
      </c>
      <c r="E1670" s="4">
        <v>2</v>
      </c>
      <c r="F1670" s="8">
        <v>1.8</v>
      </c>
      <c r="G1670" s="4">
        <v>3</v>
      </c>
      <c r="H1670" s="8">
        <v>3.3</v>
      </c>
      <c r="I1670" s="4">
        <v>0</v>
      </c>
    </row>
    <row r="1671" spans="1:9" x14ac:dyDescent="0.2">
      <c r="A1671" s="2">
        <v>8</v>
      </c>
      <c r="B1671" s="1" t="s">
        <v>177</v>
      </c>
      <c r="C1671" s="4">
        <v>5</v>
      </c>
      <c r="D1671" s="8">
        <v>2.44</v>
      </c>
      <c r="E1671" s="4">
        <v>3</v>
      </c>
      <c r="F1671" s="8">
        <v>2.7</v>
      </c>
      <c r="G1671" s="4">
        <v>2</v>
      </c>
      <c r="H1671" s="8">
        <v>2.2000000000000002</v>
      </c>
      <c r="I1671" s="4">
        <v>0</v>
      </c>
    </row>
    <row r="1672" spans="1:9" x14ac:dyDescent="0.2">
      <c r="A1672" s="2">
        <v>8</v>
      </c>
      <c r="B1672" s="1" t="s">
        <v>196</v>
      </c>
      <c r="C1672" s="4">
        <v>5</v>
      </c>
      <c r="D1672" s="8">
        <v>2.44</v>
      </c>
      <c r="E1672" s="4">
        <v>1</v>
      </c>
      <c r="F1672" s="8">
        <v>0.9</v>
      </c>
      <c r="G1672" s="4">
        <v>4</v>
      </c>
      <c r="H1672" s="8">
        <v>4.4000000000000004</v>
      </c>
      <c r="I1672" s="4">
        <v>0</v>
      </c>
    </row>
    <row r="1673" spans="1:9" x14ac:dyDescent="0.2">
      <c r="A1673" s="2">
        <v>8</v>
      </c>
      <c r="B1673" s="1" t="s">
        <v>188</v>
      </c>
      <c r="C1673" s="4">
        <v>5</v>
      </c>
      <c r="D1673" s="8">
        <v>2.44</v>
      </c>
      <c r="E1673" s="4">
        <v>5</v>
      </c>
      <c r="F1673" s="8">
        <v>4.5</v>
      </c>
      <c r="G1673" s="4">
        <v>0</v>
      </c>
      <c r="H1673" s="8">
        <v>0</v>
      </c>
      <c r="I1673" s="4">
        <v>0</v>
      </c>
    </row>
    <row r="1674" spans="1:9" x14ac:dyDescent="0.2">
      <c r="A1674" s="2">
        <v>8</v>
      </c>
      <c r="B1674" s="1" t="s">
        <v>190</v>
      </c>
      <c r="C1674" s="4">
        <v>5</v>
      </c>
      <c r="D1674" s="8">
        <v>2.44</v>
      </c>
      <c r="E1674" s="4">
        <v>4</v>
      </c>
      <c r="F1674" s="8">
        <v>3.6</v>
      </c>
      <c r="G1674" s="4">
        <v>1</v>
      </c>
      <c r="H1674" s="8">
        <v>1.1000000000000001</v>
      </c>
      <c r="I1674" s="4">
        <v>0</v>
      </c>
    </row>
    <row r="1675" spans="1:9" x14ac:dyDescent="0.2">
      <c r="A1675" s="2">
        <v>8</v>
      </c>
      <c r="B1675" s="1" t="s">
        <v>193</v>
      </c>
      <c r="C1675" s="4">
        <v>5</v>
      </c>
      <c r="D1675" s="8">
        <v>2.44</v>
      </c>
      <c r="E1675" s="4">
        <v>5</v>
      </c>
      <c r="F1675" s="8">
        <v>4.5</v>
      </c>
      <c r="G1675" s="4">
        <v>0</v>
      </c>
      <c r="H1675" s="8">
        <v>0</v>
      </c>
      <c r="I1675" s="4">
        <v>0</v>
      </c>
    </row>
    <row r="1676" spans="1:9" x14ac:dyDescent="0.2">
      <c r="A1676" s="2">
        <v>14</v>
      </c>
      <c r="B1676" s="1" t="s">
        <v>174</v>
      </c>
      <c r="C1676" s="4">
        <v>4</v>
      </c>
      <c r="D1676" s="8">
        <v>1.95</v>
      </c>
      <c r="E1676" s="4">
        <v>0</v>
      </c>
      <c r="F1676" s="8">
        <v>0</v>
      </c>
      <c r="G1676" s="4">
        <v>4</v>
      </c>
      <c r="H1676" s="8">
        <v>4.4000000000000004</v>
      </c>
      <c r="I1676" s="4">
        <v>0</v>
      </c>
    </row>
    <row r="1677" spans="1:9" x14ac:dyDescent="0.2">
      <c r="A1677" s="2">
        <v>14</v>
      </c>
      <c r="B1677" s="1" t="s">
        <v>236</v>
      </c>
      <c r="C1677" s="4">
        <v>4</v>
      </c>
      <c r="D1677" s="8">
        <v>1.95</v>
      </c>
      <c r="E1677" s="4">
        <v>3</v>
      </c>
      <c r="F1677" s="8">
        <v>2.7</v>
      </c>
      <c r="G1677" s="4">
        <v>1</v>
      </c>
      <c r="H1677" s="8">
        <v>1.1000000000000001</v>
      </c>
      <c r="I1677" s="4">
        <v>0</v>
      </c>
    </row>
    <row r="1678" spans="1:9" x14ac:dyDescent="0.2">
      <c r="A1678" s="2">
        <v>14</v>
      </c>
      <c r="B1678" s="1" t="s">
        <v>197</v>
      </c>
      <c r="C1678" s="4">
        <v>4</v>
      </c>
      <c r="D1678" s="8">
        <v>1.95</v>
      </c>
      <c r="E1678" s="4">
        <v>3</v>
      </c>
      <c r="F1678" s="8">
        <v>2.7</v>
      </c>
      <c r="G1678" s="4">
        <v>1</v>
      </c>
      <c r="H1678" s="8">
        <v>1.1000000000000001</v>
      </c>
      <c r="I1678" s="4">
        <v>0</v>
      </c>
    </row>
    <row r="1679" spans="1:9" x14ac:dyDescent="0.2">
      <c r="A1679" s="2">
        <v>14</v>
      </c>
      <c r="B1679" s="1" t="s">
        <v>180</v>
      </c>
      <c r="C1679" s="4">
        <v>4</v>
      </c>
      <c r="D1679" s="8">
        <v>1.95</v>
      </c>
      <c r="E1679" s="4">
        <v>1</v>
      </c>
      <c r="F1679" s="8">
        <v>0.9</v>
      </c>
      <c r="G1679" s="4">
        <v>3</v>
      </c>
      <c r="H1679" s="8">
        <v>3.3</v>
      </c>
      <c r="I1679" s="4">
        <v>0</v>
      </c>
    </row>
    <row r="1680" spans="1:9" x14ac:dyDescent="0.2">
      <c r="A1680" s="2">
        <v>14</v>
      </c>
      <c r="B1680" s="1" t="s">
        <v>199</v>
      </c>
      <c r="C1680" s="4">
        <v>4</v>
      </c>
      <c r="D1680" s="8">
        <v>1.95</v>
      </c>
      <c r="E1680" s="4">
        <v>1</v>
      </c>
      <c r="F1680" s="8">
        <v>0.9</v>
      </c>
      <c r="G1680" s="4">
        <v>3</v>
      </c>
      <c r="H1680" s="8">
        <v>3.3</v>
      </c>
      <c r="I1680" s="4">
        <v>0</v>
      </c>
    </row>
    <row r="1681" spans="1:9" x14ac:dyDescent="0.2">
      <c r="A1681" s="2">
        <v>14</v>
      </c>
      <c r="B1681" s="1" t="s">
        <v>192</v>
      </c>
      <c r="C1681" s="4">
        <v>4</v>
      </c>
      <c r="D1681" s="8">
        <v>1.95</v>
      </c>
      <c r="E1681" s="4">
        <v>2</v>
      </c>
      <c r="F1681" s="8">
        <v>1.8</v>
      </c>
      <c r="G1681" s="4">
        <v>2</v>
      </c>
      <c r="H1681" s="8">
        <v>2.2000000000000002</v>
      </c>
      <c r="I1681" s="4">
        <v>0</v>
      </c>
    </row>
    <row r="1682" spans="1:9" x14ac:dyDescent="0.2">
      <c r="A1682" s="2">
        <v>20</v>
      </c>
      <c r="B1682" s="1" t="s">
        <v>210</v>
      </c>
      <c r="C1682" s="4">
        <v>3</v>
      </c>
      <c r="D1682" s="8">
        <v>1.46</v>
      </c>
      <c r="E1682" s="4">
        <v>2</v>
      </c>
      <c r="F1682" s="8">
        <v>1.8</v>
      </c>
      <c r="G1682" s="4">
        <v>1</v>
      </c>
      <c r="H1682" s="8">
        <v>1.1000000000000001</v>
      </c>
      <c r="I1682" s="4">
        <v>0</v>
      </c>
    </row>
    <row r="1683" spans="1:9" x14ac:dyDescent="0.2">
      <c r="A1683" s="2">
        <v>20</v>
      </c>
      <c r="B1683" s="1" t="s">
        <v>272</v>
      </c>
      <c r="C1683" s="4">
        <v>3</v>
      </c>
      <c r="D1683" s="8">
        <v>1.46</v>
      </c>
      <c r="E1683" s="4">
        <v>1</v>
      </c>
      <c r="F1683" s="8">
        <v>0.9</v>
      </c>
      <c r="G1683" s="4">
        <v>2</v>
      </c>
      <c r="H1683" s="8">
        <v>2.2000000000000002</v>
      </c>
      <c r="I1683" s="4">
        <v>0</v>
      </c>
    </row>
    <row r="1684" spans="1:9" x14ac:dyDescent="0.2">
      <c r="A1684" s="2">
        <v>20</v>
      </c>
      <c r="B1684" s="1" t="s">
        <v>189</v>
      </c>
      <c r="C1684" s="4">
        <v>3</v>
      </c>
      <c r="D1684" s="8">
        <v>1.46</v>
      </c>
      <c r="E1684" s="4">
        <v>3</v>
      </c>
      <c r="F1684" s="8">
        <v>2.7</v>
      </c>
      <c r="G1684" s="4">
        <v>0</v>
      </c>
      <c r="H1684" s="8">
        <v>0</v>
      </c>
      <c r="I1684" s="4">
        <v>0</v>
      </c>
    </row>
    <row r="1685" spans="1:9" x14ac:dyDescent="0.2">
      <c r="A1685" s="2">
        <v>20</v>
      </c>
      <c r="B1685" s="1" t="s">
        <v>283</v>
      </c>
      <c r="C1685" s="4">
        <v>3</v>
      </c>
      <c r="D1685" s="8">
        <v>1.46</v>
      </c>
      <c r="E1685" s="4">
        <v>3</v>
      </c>
      <c r="F1685" s="8">
        <v>2.7</v>
      </c>
      <c r="G1685" s="4">
        <v>0</v>
      </c>
      <c r="H1685" s="8">
        <v>0</v>
      </c>
      <c r="I1685" s="4">
        <v>0</v>
      </c>
    </row>
    <row r="1686" spans="1:9" x14ac:dyDescent="0.2">
      <c r="A1686" s="2">
        <v>20</v>
      </c>
      <c r="B1686" s="1" t="s">
        <v>228</v>
      </c>
      <c r="C1686" s="4">
        <v>3</v>
      </c>
      <c r="D1686" s="8">
        <v>1.46</v>
      </c>
      <c r="E1686" s="4">
        <v>2</v>
      </c>
      <c r="F1686" s="8">
        <v>1.8</v>
      </c>
      <c r="G1686" s="4">
        <v>1</v>
      </c>
      <c r="H1686" s="8">
        <v>1.1000000000000001</v>
      </c>
      <c r="I1686" s="4">
        <v>0</v>
      </c>
    </row>
    <row r="1687" spans="1:9" x14ac:dyDescent="0.2">
      <c r="A1687" s="1"/>
      <c r="C1687" s="4"/>
      <c r="D1687" s="8"/>
      <c r="E1687" s="4"/>
      <c r="F1687" s="8"/>
      <c r="G1687" s="4"/>
      <c r="H1687" s="8"/>
      <c r="I1687" s="4"/>
    </row>
    <row r="1688" spans="1:9" x14ac:dyDescent="0.2">
      <c r="A1688" s="1" t="s">
        <v>62</v>
      </c>
      <c r="C1688" s="4"/>
      <c r="D1688" s="8"/>
      <c r="E1688" s="4"/>
      <c r="F1688" s="8"/>
      <c r="G1688" s="4"/>
      <c r="H1688" s="8"/>
      <c r="I1688" s="4"/>
    </row>
    <row r="1689" spans="1:9" x14ac:dyDescent="0.2">
      <c r="A1689" s="2">
        <v>1</v>
      </c>
      <c r="B1689" s="1" t="s">
        <v>236</v>
      </c>
      <c r="C1689" s="4">
        <v>5</v>
      </c>
      <c r="D1689" s="8">
        <v>6.25</v>
      </c>
      <c r="E1689" s="4">
        <v>5</v>
      </c>
      <c r="F1689" s="8">
        <v>9.6199999999999992</v>
      </c>
      <c r="G1689" s="4">
        <v>0</v>
      </c>
      <c r="H1689" s="8">
        <v>0</v>
      </c>
      <c r="I1689" s="4">
        <v>0</v>
      </c>
    </row>
    <row r="1690" spans="1:9" x14ac:dyDescent="0.2">
      <c r="A1690" s="2">
        <v>2</v>
      </c>
      <c r="B1690" s="1" t="s">
        <v>176</v>
      </c>
      <c r="C1690" s="4">
        <v>4</v>
      </c>
      <c r="D1690" s="8">
        <v>5</v>
      </c>
      <c r="E1690" s="4">
        <v>2</v>
      </c>
      <c r="F1690" s="8">
        <v>3.85</v>
      </c>
      <c r="G1690" s="4">
        <v>2</v>
      </c>
      <c r="H1690" s="8">
        <v>8</v>
      </c>
      <c r="I1690" s="4">
        <v>0</v>
      </c>
    </row>
    <row r="1691" spans="1:9" x14ac:dyDescent="0.2">
      <c r="A1691" s="2">
        <v>2</v>
      </c>
      <c r="B1691" s="1" t="s">
        <v>192</v>
      </c>
      <c r="C1691" s="4">
        <v>4</v>
      </c>
      <c r="D1691" s="8">
        <v>5</v>
      </c>
      <c r="E1691" s="4">
        <v>3</v>
      </c>
      <c r="F1691" s="8">
        <v>5.77</v>
      </c>
      <c r="G1691" s="4">
        <v>1</v>
      </c>
      <c r="H1691" s="8">
        <v>4</v>
      </c>
      <c r="I1691" s="4">
        <v>0</v>
      </c>
    </row>
    <row r="1692" spans="1:9" x14ac:dyDescent="0.2">
      <c r="A1692" s="2">
        <v>4</v>
      </c>
      <c r="B1692" s="1" t="s">
        <v>210</v>
      </c>
      <c r="C1692" s="4">
        <v>3</v>
      </c>
      <c r="D1692" s="8">
        <v>3.75</v>
      </c>
      <c r="E1692" s="4">
        <v>3</v>
      </c>
      <c r="F1692" s="8">
        <v>5.77</v>
      </c>
      <c r="G1692" s="4">
        <v>0</v>
      </c>
      <c r="H1692" s="8">
        <v>0</v>
      </c>
      <c r="I1692" s="4">
        <v>0</v>
      </c>
    </row>
    <row r="1693" spans="1:9" x14ac:dyDescent="0.2">
      <c r="A1693" s="2">
        <v>4</v>
      </c>
      <c r="B1693" s="1" t="s">
        <v>344</v>
      </c>
      <c r="C1693" s="4">
        <v>3</v>
      </c>
      <c r="D1693" s="8">
        <v>3.75</v>
      </c>
      <c r="E1693" s="4">
        <v>0</v>
      </c>
      <c r="F1693" s="8">
        <v>0</v>
      </c>
      <c r="G1693" s="4">
        <v>3</v>
      </c>
      <c r="H1693" s="8">
        <v>12</v>
      </c>
      <c r="I1693" s="4">
        <v>0</v>
      </c>
    </row>
    <row r="1694" spans="1:9" x14ac:dyDescent="0.2">
      <c r="A1694" s="2">
        <v>4</v>
      </c>
      <c r="B1694" s="1" t="s">
        <v>179</v>
      </c>
      <c r="C1694" s="4">
        <v>3</v>
      </c>
      <c r="D1694" s="8">
        <v>3.75</v>
      </c>
      <c r="E1694" s="4">
        <v>3</v>
      </c>
      <c r="F1694" s="8">
        <v>5.77</v>
      </c>
      <c r="G1694" s="4">
        <v>0</v>
      </c>
      <c r="H1694" s="8">
        <v>0</v>
      </c>
      <c r="I1694" s="4">
        <v>0</v>
      </c>
    </row>
    <row r="1695" spans="1:9" x14ac:dyDescent="0.2">
      <c r="A1695" s="2">
        <v>4</v>
      </c>
      <c r="B1695" s="1" t="s">
        <v>180</v>
      </c>
      <c r="C1695" s="4">
        <v>3</v>
      </c>
      <c r="D1695" s="8">
        <v>3.75</v>
      </c>
      <c r="E1695" s="4">
        <v>2</v>
      </c>
      <c r="F1695" s="8">
        <v>3.85</v>
      </c>
      <c r="G1695" s="4">
        <v>1</v>
      </c>
      <c r="H1695" s="8">
        <v>4</v>
      </c>
      <c r="I1695" s="4">
        <v>0</v>
      </c>
    </row>
    <row r="1696" spans="1:9" x14ac:dyDescent="0.2">
      <c r="A1696" s="2">
        <v>8</v>
      </c>
      <c r="B1696" s="1" t="s">
        <v>201</v>
      </c>
      <c r="C1696" s="4">
        <v>2</v>
      </c>
      <c r="D1696" s="8">
        <v>2.5</v>
      </c>
      <c r="E1696" s="4">
        <v>2</v>
      </c>
      <c r="F1696" s="8">
        <v>3.85</v>
      </c>
      <c r="G1696" s="4">
        <v>0</v>
      </c>
      <c r="H1696" s="8">
        <v>0</v>
      </c>
      <c r="I1696" s="4">
        <v>0</v>
      </c>
    </row>
    <row r="1697" spans="1:9" x14ac:dyDescent="0.2">
      <c r="A1697" s="2">
        <v>8</v>
      </c>
      <c r="B1697" s="1" t="s">
        <v>178</v>
      </c>
      <c r="C1697" s="4">
        <v>2</v>
      </c>
      <c r="D1697" s="8">
        <v>2.5</v>
      </c>
      <c r="E1697" s="4">
        <v>2</v>
      </c>
      <c r="F1697" s="8">
        <v>3.85</v>
      </c>
      <c r="G1697" s="4">
        <v>0</v>
      </c>
      <c r="H1697" s="8">
        <v>0</v>
      </c>
      <c r="I1697" s="4">
        <v>0</v>
      </c>
    </row>
    <row r="1698" spans="1:9" x14ac:dyDescent="0.2">
      <c r="A1698" s="2">
        <v>8</v>
      </c>
      <c r="B1698" s="1" t="s">
        <v>281</v>
      </c>
      <c r="C1698" s="4">
        <v>2</v>
      </c>
      <c r="D1698" s="8">
        <v>2.5</v>
      </c>
      <c r="E1698" s="4">
        <v>1</v>
      </c>
      <c r="F1698" s="8">
        <v>1.92</v>
      </c>
      <c r="G1698" s="4">
        <v>1</v>
      </c>
      <c r="H1698" s="8">
        <v>4</v>
      </c>
      <c r="I1698" s="4">
        <v>0</v>
      </c>
    </row>
    <row r="1699" spans="1:9" x14ac:dyDescent="0.2">
      <c r="A1699" s="2">
        <v>8</v>
      </c>
      <c r="B1699" s="1" t="s">
        <v>181</v>
      </c>
      <c r="C1699" s="4">
        <v>2</v>
      </c>
      <c r="D1699" s="8">
        <v>2.5</v>
      </c>
      <c r="E1699" s="4">
        <v>1</v>
      </c>
      <c r="F1699" s="8">
        <v>1.92</v>
      </c>
      <c r="G1699" s="4">
        <v>1</v>
      </c>
      <c r="H1699" s="8">
        <v>4</v>
      </c>
      <c r="I1699" s="4">
        <v>0</v>
      </c>
    </row>
    <row r="1700" spans="1:9" x14ac:dyDescent="0.2">
      <c r="A1700" s="2">
        <v>8</v>
      </c>
      <c r="B1700" s="1" t="s">
        <v>186</v>
      </c>
      <c r="C1700" s="4">
        <v>2</v>
      </c>
      <c r="D1700" s="8">
        <v>2.5</v>
      </c>
      <c r="E1700" s="4">
        <v>0</v>
      </c>
      <c r="F1700" s="8">
        <v>0</v>
      </c>
      <c r="G1700" s="4">
        <v>2</v>
      </c>
      <c r="H1700" s="8">
        <v>8</v>
      </c>
      <c r="I1700" s="4">
        <v>0</v>
      </c>
    </row>
    <row r="1701" spans="1:9" x14ac:dyDescent="0.2">
      <c r="A1701" s="2">
        <v>8</v>
      </c>
      <c r="B1701" s="1" t="s">
        <v>187</v>
      </c>
      <c r="C1701" s="4">
        <v>2</v>
      </c>
      <c r="D1701" s="8">
        <v>2.5</v>
      </c>
      <c r="E1701" s="4">
        <v>2</v>
      </c>
      <c r="F1701" s="8">
        <v>3.85</v>
      </c>
      <c r="G1701" s="4">
        <v>0</v>
      </c>
      <c r="H1701" s="8">
        <v>0</v>
      </c>
      <c r="I1701" s="4">
        <v>0</v>
      </c>
    </row>
    <row r="1702" spans="1:9" x14ac:dyDescent="0.2">
      <c r="A1702" s="2">
        <v>8</v>
      </c>
      <c r="B1702" s="1" t="s">
        <v>207</v>
      </c>
      <c r="C1702" s="4">
        <v>2</v>
      </c>
      <c r="D1702" s="8">
        <v>2.5</v>
      </c>
      <c r="E1702" s="4">
        <v>1</v>
      </c>
      <c r="F1702" s="8">
        <v>1.92</v>
      </c>
      <c r="G1702" s="4">
        <v>1</v>
      </c>
      <c r="H1702" s="8">
        <v>4</v>
      </c>
      <c r="I1702" s="4">
        <v>0</v>
      </c>
    </row>
    <row r="1703" spans="1:9" x14ac:dyDescent="0.2">
      <c r="A1703" s="2">
        <v>8</v>
      </c>
      <c r="B1703" s="1" t="s">
        <v>223</v>
      </c>
      <c r="C1703" s="4">
        <v>2</v>
      </c>
      <c r="D1703" s="8">
        <v>2.5</v>
      </c>
      <c r="E1703" s="4">
        <v>0</v>
      </c>
      <c r="F1703" s="8">
        <v>0</v>
      </c>
      <c r="G1703" s="4">
        <v>0</v>
      </c>
      <c r="H1703" s="8">
        <v>0</v>
      </c>
      <c r="I1703" s="4">
        <v>0</v>
      </c>
    </row>
    <row r="1704" spans="1:9" x14ac:dyDescent="0.2">
      <c r="A1704" s="2">
        <v>8</v>
      </c>
      <c r="B1704" s="1" t="s">
        <v>193</v>
      </c>
      <c r="C1704" s="4">
        <v>2</v>
      </c>
      <c r="D1704" s="8">
        <v>2.5</v>
      </c>
      <c r="E1704" s="4">
        <v>2</v>
      </c>
      <c r="F1704" s="8">
        <v>3.85</v>
      </c>
      <c r="G1704" s="4">
        <v>0</v>
      </c>
      <c r="H1704" s="8">
        <v>0</v>
      </c>
      <c r="I1704" s="4">
        <v>0</v>
      </c>
    </row>
    <row r="1705" spans="1:9" x14ac:dyDescent="0.2">
      <c r="A1705" s="2">
        <v>8</v>
      </c>
      <c r="B1705" s="1" t="s">
        <v>200</v>
      </c>
      <c r="C1705" s="4">
        <v>2</v>
      </c>
      <c r="D1705" s="8">
        <v>2.5</v>
      </c>
      <c r="E1705" s="4">
        <v>2</v>
      </c>
      <c r="F1705" s="8">
        <v>3.85</v>
      </c>
      <c r="G1705" s="4">
        <v>0</v>
      </c>
      <c r="H1705" s="8">
        <v>0</v>
      </c>
      <c r="I1705" s="4">
        <v>0</v>
      </c>
    </row>
    <row r="1706" spans="1:9" x14ac:dyDescent="0.2">
      <c r="A1706" s="2">
        <v>18</v>
      </c>
      <c r="B1706" s="1" t="s">
        <v>218</v>
      </c>
      <c r="C1706" s="4">
        <v>1</v>
      </c>
      <c r="D1706" s="8">
        <v>1.25</v>
      </c>
      <c r="E1706" s="4">
        <v>1</v>
      </c>
      <c r="F1706" s="8">
        <v>1.92</v>
      </c>
      <c r="G1706" s="4">
        <v>0</v>
      </c>
      <c r="H1706" s="8">
        <v>0</v>
      </c>
      <c r="I1706" s="4">
        <v>0</v>
      </c>
    </row>
    <row r="1707" spans="1:9" x14ac:dyDescent="0.2">
      <c r="A1707" s="2">
        <v>18</v>
      </c>
      <c r="B1707" s="1" t="s">
        <v>286</v>
      </c>
      <c r="C1707" s="4">
        <v>1</v>
      </c>
      <c r="D1707" s="8">
        <v>1.25</v>
      </c>
      <c r="E1707" s="4">
        <v>0</v>
      </c>
      <c r="F1707" s="8">
        <v>0</v>
      </c>
      <c r="G1707" s="4">
        <v>1</v>
      </c>
      <c r="H1707" s="8">
        <v>4</v>
      </c>
      <c r="I1707" s="4">
        <v>0</v>
      </c>
    </row>
    <row r="1708" spans="1:9" x14ac:dyDescent="0.2">
      <c r="A1708" s="2">
        <v>18</v>
      </c>
      <c r="B1708" s="1" t="s">
        <v>262</v>
      </c>
      <c r="C1708" s="4">
        <v>1</v>
      </c>
      <c r="D1708" s="8">
        <v>1.25</v>
      </c>
      <c r="E1708" s="4">
        <v>1</v>
      </c>
      <c r="F1708" s="8">
        <v>1.92</v>
      </c>
      <c r="G1708" s="4">
        <v>0</v>
      </c>
      <c r="H1708" s="8">
        <v>0</v>
      </c>
      <c r="I1708" s="4">
        <v>0</v>
      </c>
    </row>
    <row r="1709" spans="1:9" x14ac:dyDescent="0.2">
      <c r="A1709" s="2">
        <v>18</v>
      </c>
      <c r="B1709" s="1" t="s">
        <v>298</v>
      </c>
      <c r="C1709" s="4">
        <v>1</v>
      </c>
      <c r="D1709" s="8">
        <v>1.25</v>
      </c>
      <c r="E1709" s="4">
        <v>1</v>
      </c>
      <c r="F1709" s="8">
        <v>1.92</v>
      </c>
      <c r="G1709" s="4">
        <v>0</v>
      </c>
      <c r="H1709" s="8">
        <v>0</v>
      </c>
      <c r="I1709" s="4">
        <v>0</v>
      </c>
    </row>
    <row r="1710" spans="1:9" x14ac:dyDescent="0.2">
      <c r="A1710" s="2">
        <v>18</v>
      </c>
      <c r="B1710" s="1" t="s">
        <v>338</v>
      </c>
      <c r="C1710" s="4">
        <v>1</v>
      </c>
      <c r="D1710" s="8">
        <v>1.25</v>
      </c>
      <c r="E1710" s="4">
        <v>0</v>
      </c>
      <c r="F1710" s="8">
        <v>0</v>
      </c>
      <c r="G1710" s="4">
        <v>1</v>
      </c>
      <c r="H1710" s="8">
        <v>4</v>
      </c>
      <c r="I1710" s="4">
        <v>0</v>
      </c>
    </row>
    <row r="1711" spans="1:9" x14ac:dyDescent="0.2">
      <c r="A1711" s="2">
        <v>18</v>
      </c>
      <c r="B1711" s="1" t="s">
        <v>294</v>
      </c>
      <c r="C1711" s="4">
        <v>1</v>
      </c>
      <c r="D1711" s="8">
        <v>1.25</v>
      </c>
      <c r="E1711" s="4">
        <v>1</v>
      </c>
      <c r="F1711" s="8">
        <v>1.92</v>
      </c>
      <c r="G1711" s="4">
        <v>0</v>
      </c>
      <c r="H1711" s="8">
        <v>0</v>
      </c>
      <c r="I1711" s="4">
        <v>0</v>
      </c>
    </row>
    <row r="1712" spans="1:9" x14ac:dyDescent="0.2">
      <c r="A1712" s="2">
        <v>18</v>
      </c>
      <c r="B1712" s="1" t="s">
        <v>339</v>
      </c>
      <c r="C1712" s="4">
        <v>1</v>
      </c>
      <c r="D1712" s="8">
        <v>1.25</v>
      </c>
      <c r="E1712" s="4">
        <v>0</v>
      </c>
      <c r="F1712" s="8">
        <v>0</v>
      </c>
      <c r="G1712" s="4">
        <v>1</v>
      </c>
      <c r="H1712" s="8">
        <v>4</v>
      </c>
      <c r="I1712" s="4">
        <v>0</v>
      </c>
    </row>
    <row r="1713" spans="1:9" x14ac:dyDescent="0.2">
      <c r="A1713" s="2">
        <v>18</v>
      </c>
      <c r="B1713" s="1" t="s">
        <v>327</v>
      </c>
      <c r="C1713" s="4">
        <v>1</v>
      </c>
      <c r="D1713" s="8">
        <v>1.25</v>
      </c>
      <c r="E1713" s="4">
        <v>1</v>
      </c>
      <c r="F1713" s="8">
        <v>1.92</v>
      </c>
      <c r="G1713" s="4">
        <v>0</v>
      </c>
      <c r="H1713" s="8">
        <v>0</v>
      </c>
      <c r="I1713" s="4">
        <v>0</v>
      </c>
    </row>
    <row r="1714" spans="1:9" x14ac:dyDescent="0.2">
      <c r="A1714" s="2">
        <v>18</v>
      </c>
      <c r="B1714" s="1" t="s">
        <v>237</v>
      </c>
      <c r="C1714" s="4">
        <v>1</v>
      </c>
      <c r="D1714" s="8">
        <v>1.25</v>
      </c>
      <c r="E1714" s="4">
        <v>0</v>
      </c>
      <c r="F1714" s="8">
        <v>0</v>
      </c>
      <c r="G1714" s="4">
        <v>1</v>
      </c>
      <c r="H1714" s="8">
        <v>4</v>
      </c>
      <c r="I1714" s="4">
        <v>0</v>
      </c>
    </row>
    <row r="1715" spans="1:9" x14ac:dyDescent="0.2">
      <c r="A1715" s="2">
        <v>18</v>
      </c>
      <c r="B1715" s="1" t="s">
        <v>340</v>
      </c>
      <c r="C1715" s="4">
        <v>1</v>
      </c>
      <c r="D1715" s="8">
        <v>1.25</v>
      </c>
      <c r="E1715" s="4">
        <v>0</v>
      </c>
      <c r="F1715" s="8">
        <v>0</v>
      </c>
      <c r="G1715" s="4">
        <v>1</v>
      </c>
      <c r="H1715" s="8">
        <v>4</v>
      </c>
      <c r="I1715" s="4">
        <v>0</v>
      </c>
    </row>
    <row r="1716" spans="1:9" x14ac:dyDescent="0.2">
      <c r="A1716" s="2">
        <v>18</v>
      </c>
      <c r="B1716" s="1" t="s">
        <v>202</v>
      </c>
      <c r="C1716" s="4">
        <v>1</v>
      </c>
      <c r="D1716" s="8">
        <v>1.25</v>
      </c>
      <c r="E1716" s="4">
        <v>1</v>
      </c>
      <c r="F1716" s="8">
        <v>1.92</v>
      </c>
      <c r="G1716" s="4">
        <v>0</v>
      </c>
      <c r="H1716" s="8">
        <v>0</v>
      </c>
      <c r="I1716" s="4">
        <v>0</v>
      </c>
    </row>
    <row r="1717" spans="1:9" x14ac:dyDescent="0.2">
      <c r="A1717" s="2">
        <v>18</v>
      </c>
      <c r="B1717" s="1" t="s">
        <v>277</v>
      </c>
      <c r="C1717" s="4">
        <v>1</v>
      </c>
      <c r="D1717" s="8">
        <v>1.25</v>
      </c>
      <c r="E1717" s="4">
        <v>1</v>
      </c>
      <c r="F1717" s="8">
        <v>1.92</v>
      </c>
      <c r="G1717" s="4">
        <v>0</v>
      </c>
      <c r="H1717" s="8">
        <v>0</v>
      </c>
      <c r="I1717" s="4">
        <v>0</v>
      </c>
    </row>
    <row r="1718" spans="1:9" x14ac:dyDescent="0.2">
      <c r="A1718" s="2">
        <v>18</v>
      </c>
      <c r="B1718" s="1" t="s">
        <v>341</v>
      </c>
      <c r="C1718" s="4">
        <v>1</v>
      </c>
      <c r="D1718" s="8">
        <v>1.25</v>
      </c>
      <c r="E1718" s="4">
        <v>0</v>
      </c>
      <c r="F1718" s="8">
        <v>0</v>
      </c>
      <c r="G1718" s="4">
        <v>1</v>
      </c>
      <c r="H1718" s="8">
        <v>4</v>
      </c>
      <c r="I1718" s="4">
        <v>0</v>
      </c>
    </row>
    <row r="1719" spans="1:9" x14ac:dyDescent="0.2">
      <c r="A1719" s="2">
        <v>18</v>
      </c>
      <c r="B1719" s="1" t="s">
        <v>221</v>
      </c>
      <c r="C1719" s="4">
        <v>1</v>
      </c>
      <c r="D1719" s="8">
        <v>1.25</v>
      </c>
      <c r="E1719" s="4">
        <v>1</v>
      </c>
      <c r="F1719" s="8">
        <v>1.92</v>
      </c>
      <c r="G1719" s="4">
        <v>0</v>
      </c>
      <c r="H1719" s="8">
        <v>0</v>
      </c>
      <c r="I1719" s="4">
        <v>0</v>
      </c>
    </row>
    <row r="1720" spans="1:9" x14ac:dyDescent="0.2">
      <c r="A1720" s="2">
        <v>18</v>
      </c>
      <c r="B1720" s="1" t="s">
        <v>304</v>
      </c>
      <c r="C1720" s="4">
        <v>1</v>
      </c>
      <c r="D1720" s="8">
        <v>1.25</v>
      </c>
      <c r="E1720" s="4">
        <v>0</v>
      </c>
      <c r="F1720" s="8">
        <v>0</v>
      </c>
      <c r="G1720" s="4">
        <v>0</v>
      </c>
      <c r="H1720" s="8">
        <v>0</v>
      </c>
      <c r="I1720" s="4">
        <v>0</v>
      </c>
    </row>
    <row r="1721" spans="1:9" x14ac:dyDescent="0.2">
      <c r="A1721" s="2">
        <v>18</v>
      </c>
      <c r="B1721" s="1" t="s">
        <v>240</v>
      </c>
      <c r="C1721" s="4">
        <v>1</v>
      </c>
      <c r="D1721" s="8">
        <v>1.25</v>
      </c>
      <c r="E1721" s="4">
        <v>0</v>
      </c>
      <c r="F1721" s="8">
        <v>0</v>
      </c>
      <c r="G1721" s="4">
        <v>1</v>
      </c>
      <c r="H1721" s="8">
        <v>4</v>
      </c>
      <c r="I1721" s="4">
        <v>0</v>
      </c>
    </row>
    <row r="1722" spans="1:9" x14ac:dyDescent="0.2">
      <c r="A1722" s="2">
        <v>18</v>
      </c>
      <c r="B1722" s="1" t="s">
        <v>342</v>
      </c>
      <c r="C1722" s="4">
        <v>1</v>
      </c>
      <c r="D1722" s="8">
        <v>1.25</v>
      </c>
      <c r="E1722" s="4">
        <v>1</v>
      </c>
      <c r="F1722" s="8">
        <v>1.92</v>
      </c>
      <c r="G1722" s="4">
        <v>0</v>
      </c>
      <c r="H1722" s="8">
        <v>0</v>
      </c>
      <c r="I1722" s="4">
        <v>0</v>
      </c>
    </row>
    <row r="1723" spans="1:9" x14ac:dyDescent="0.2">
      <c r="A1723" s="2">
        <v>18</v>
      </c>
      <c r="B1723" s="1" t="s">
        <v>343</v>
      </c>
      <c r="C1723" s="4">
        <v>1</v>
      </c>
      <c r="D1723" s="8">
        <v>1.25</v>
      </c>
      <c r="E1723" s="4">
        <v>0</v>
      </c>
      <c r="F1723" s="8">
        <v>0</v>
      </c>
      <c r="G1723" s="4">
        <v>1</v>
      </c>
      <c r="H1723" s="8">
        <v>4</v>
      </c>
      <c r="I1723" s="4">
        <v>0</v>
      </c>
    </row>
    <row r="1724" spans="1:9" x14ac:dyDescent="0.2">
      <c r="A1724" s="2">
        <v>18</v>
      </c>
      <c r="B1724" s="1" t="s">
        <v>211</v>
      </c>
      <c r="C1724" s="4">
        <v>1</v>
      </c>
      <c r="D1724" s="8">
        <v>1.25</v>
      </c>
      <c r="E1724" s="4">
        <v>0</v>
      </c>
      <c r="F1724" s="8">
        <v>0</v>
      </c>
      <c r="G1724" s="4">
        <v>1</v>
      </c>
      <c r="H1724" s="8">
        <v>4</v>
      </c>
      <c r="I1724" s="4">
        <v>0</v>
      </c>
    </row>
    <row r="1725" spans="1:9" x14ac:dyDescent="0.2">
      <c r="A1725" s="2">
        <v>18</v>
      </c>
      <c r="B1725" s="1" t="s">
        <v>295</v>
      </c>
      <c r="C1725" s="4">
        <v>1</v>
      </c>
      <c r="D1725" s="8">
        <v>1.25</v>
      </c>
      <c r="E1725" s="4">
        <v>0</v>
      </c>
      <c r="F1725" s="8">
        <v>0</v>
      </c>
      <c r="G1725" s="4">
        <v>1</v>
      </c>
      <c r="H1725" s="8">
        <v>4</v>
      </c>
      <c r="I1725" s="4">
        <v>0</v>
      </c>
    </row>
    <row r="1726" spans="1:9" x14ac:dyDescent="0.2">
      <c r="A1726" s="2">
        <v>18</v>
      </c>
      <c r="B1726" s="1" t="s">
        <v>196</v>
      </c>
      <c r="C1726" s="4">
        <v>1</v>
      </c>
      <c r="D1726" s="8">
        <v>1.25</v>
      </c>
      <c r="E1726" s="4">
        <v>1</v>
      </c>
      <c r="F1726" s="8">
        <v>1.92</v>
      </c>
      <c r="G1726" s="4">
        <v>0</v>
      </c>
      <c r="H1726" s="8">
        <v>0</v>
      </c>
      <c r="I1726" s="4">
        <v>0</v>
      </c>
    </row>
    <row r="1727" spans="1:9" x14ac:dyDescent="0.2">
      <c r="A1727" s="2">
        <v>18</v>
      </c>
      <c r="B1727" s="1" t="s">
        <v>345</v>
      </c>
      <c r="C1727" s="4">
        <v>1</v>
      </c>
      <c r="D1727" s="8">
        <v>1.25</v>
      </c>
      <c r="E1727" s="4">
        <v>0</v>
      </c>
      <c r="F1727" s="8">
        <v>0</v>
      </c>
      <c r="G1727" s="4">
        <v>1</v>
      </c>
      <c r="H1727" s="8">
        <v>4</v>
      </c>
      <c r="I1727" s="4">
        <v>0</v>
      </c>
    </row>
    <row r="1728" spans="1:9" x14ac:dyDescent="0.2">
      <c r="A1728" s="2">
        <v>18</v>
      </c>
      <c r="B1728" s="1" t="s">
        <v>205</v>
      </c>
      <c r="C1728" s="4">
        <v>1</v>
      </c>
      <c r="D1728" s="8">
        <v>1.25</v>
      </c>
      <c r="E1728" s="4">
        <v>0</v>
      </c>
      <c r="F1728" s="8">
        <v>0</v>
      </c>
      <c r="G1728" s="4">
        <v>1</v>
      </c>
      <c r="H1728" s="8">
        <v>4</v>
      </c>
      <c r="I1728" s="4">
        <v>0</v>
      </c>
    </row>
    <row r="1729" spans="1:9" x14ac:dyDescent="0.2">
      <c r="A1729" s="2">
        <v>18</v>
      </c>
      <c r="B1729" s="1" t="s">
        <v>219</v>
      </c>
      <c r="C1729" s="4">
        <v>1</v>
      </c>
      <c r="D1729" s="8">
        <v>1.25</v>
      </c>
      <c r="E1729" s="4">
        <v>1</v>
      </c>
      <c r="F1729" s="8">
        <v>1.92</v>
      </c>
      <c r="G1729" s="4">
        <v>0</v>
      </c>
      <c r="H1729" s="8">
        <v>0</v>
      </c>
      <c r="I1729" s="4">
        <v>0</v>
      </c>
    </row>
    <row r="1730" spans="1:9" x14ac:dyDescent="0.2">
      <c r="A1730" s="2">
        <v>18</v>
      </c>
      <c r="B1730" s="1" t="s">
        <v>215</v>
      </c>
      <c r="C1730" s="4">
        <v>1</v>
      </c>
      <c r="D1730" s="8">
        <v>1.25</v>
      </c>
      <c r="E1730" s="4">
        <v>1</v>
      </c>
      <c r="F1730" s="8">
        <v>1.92</v>
      </c>
      <c r="G1730" s="4">
        <v>0</v>
      </c>
      <c r="H1730" s="8">
        <v>0</v>
      </c>
      <c r="I1730" s="4">
        <v>0</v>
      </c>
    </row>
    <row r="1731" spans="1:9" x14ac:dyDescent="0.2">
      <c r="A1731" s="2">
        <v>18</v>
      </c>
      <c r="B1731" s="1" t="s">
        <v>256</v>
      </c>
      <c r="C1731" s="4">
        <v>1</v>
      </c>
      <c r="D1731" s="8">
        <v>1.25</v>
      </c>
      <c r="E1731" s="4">
        <v>0</v>
      </c>
      <c r="F1731" s="8">
        <v>0</v>
      </c>
      <c r="G1731" s="4">
        <v>1</v>
      </c>
      <c r="H1731" s="8">
        <v>4</v>
      </c>
      <c r="I1731" s="4">
        <v>0</v>
      </c>
    </row>
    <row r="1732" spans="1:9" x14ac:dyDescent="0.2">
      <c r="A1732" s="2">
        <v>18</v>
      </c>
      <c r="B1732" s="1" t="s">
        <v>245</v>
      </c>
      <c r="C1732" s="4">
        <v>1</v>
      </c>
      <c r="D1732" s="8">
        <v>1.25</v>
      </c>
      <c r="E1732" s="4">
        <v>1</v>
      </c>
      <c r="F1732" s="8">
        <v>1.92</v>
      </c>
      <c r="G1732" s="4">
        <v>0</v>
      </c>
      <c r="H1732" s="8">
        <v>0</v>
      </c>
      <c r="I1732" s="4">
        <v>0</v>
      </c>
    </row>
    <row r="1733" spans="1:9" x14ac:dyDescent="0.2">
      <c r="A1733" s="2">
        <v>18</v>
      </c>
      <c r="B1733" s="1" t="s">
        <v>184</v>
      </c>
      <c r="C1733" s="4">
        <v>1</v>
      </c>
      <c r="D1733" s="8">
        <v>1.25</v>
      </c>
      <c r="E1733" s="4">
        <v>1</v>
      </c>
      <c r="F1733" s="8">
        <v>1.92</v>
      </c>
      <c r="G1733" s="4">
        <v>0</v>
      </c>
      <c r="H1733" s="8">
        <v>0</v>
      </c>
      <c r="I1733" s="4">
        <v>0</v>
      </c>
    </row>
    <row r="1734" spans="1:9" x14ac:dyDescent="0.2">
      <c r="A1734" s="2">
        <v>18</v>
      </c>
      <c r="B1734" s="1" t="s">
        <v>326</v>
      </c>
      <c r="C1734" s="4">
        <v>1</v>
      </c>
      <c r="D1734" s="8">
        <v>1.25</v>
      </c>
      <c r="E1734" s="4">
        <v>1</v>
      </c>
      <c r="F1734" s="8">
        <v>1.92</v>
      </c>
      <c r="G1734" s="4">
        <v>0</v>
      </c>
      <c r="H1734" s="8">
        <v>0</v>
      </c>
      <c r="I1734" s="4">
        <v>0</v>
      </c>
    </row>
    <row r="1735" spans="1:9" x14ac:dyDescent="0.2">
      <c r="A1735" s="2">
        <v>18</v>
      </c>
      <c r="B1735" s="1" t="s">
        <v>220</v>
      </c>
      <c r="C1735" s="4">
        <v>1</v>
      </c>
      <c r="D1735" s="8">
        <v>1.25</v>
      </c>
      <c r="E1735" s="4">
        <v>1</v>
      </c>
      <c r="F1735" s="8">
        <v>1.92</v>
      </c>
      <c r="G1735" s="4">
        <v>0</v>
      </c>
      <c r="H1735" s="8">
        <v>0</v>
      </c>
      <c r="I1735" s="4">
        <v>0</v>
      </c>
    </row>
    <row r="1736" spans="1:9" x14ac:dyDescent="0.2">
      <c r="A1736" s="2">
        <v>18</v>
      </c>
      <c r="B1736" s="1" t="s">
        <v>188</v>
      </c>
      <c r="C1736" s="4">
        <v>1</v>
      </c>
      <c r="D1736" s="8">
        <v>1.25</v>
      </c>
      <c r="E1736" s="4">
        <v>1</v>
      </c>
      <c r="F1736" s="8">
        <v>1.92</v>
      </c>
      <c r="G1736" s="4">
        <v>0</v>
      </c>
      <c r="H1736" s="8">
        <v>0</v>
      </c>
      <c r="I1736" s="4">
        <v>0</v>
      </c>
    </row>
    <row r="1737" spans="1:9" x14ac:dyDescent="0.2">
      <c r="A1737" s="2">
        <v>18</v>
      </c>
      <c r="B1737" s="1" t="s">
        <v>190</v>
      </c>
      <c r="C1737" s="4">
        <v>1</v>
      </c>
      <c r="D1737" s="8">
        <v>1.25</v>
      </c>
      <c r="E1737" s="4">
        <v>1</v>
      </c>
      <c r="F1737" s="8">
        <v>1.92</v>
      </c>
      <c r="G1737" s="4">
        <v>0</v>
      </c>
      <c r="H1737" s="8">
        <v>0</v>
      </c>
      <c r="I1737" s="4">
        <v>0</v>
      </c>
    </row>
    <row r="1738" spans="1:9" x14ac:dyDescent="0.2">
      <c r="A1738" s="2">
        <v>18</v>
      </c>
      <c r="B1738" s="1" t="s">
        <v>191</v>
      </c>
      <c r="C1738" s="4">
        <v>1</v>
      </c>
      <c r="D1738" s="8">
        <v>1.25</v>
      </c>
      <c r="E1738" s="4">
        <v>1</v>
      </c>
      <c r="F1738" s="8">
        <v>1.92</v>
      </c>
      <c r="G1738" s="4">
        <v>0</v>
      </c>
      <c r="H1738" s="8">
        <v>0</v>
      </c>
      <c r="I1738" s="4">
        <v>0</v>
      </c>
    </row>
    <row r="1739" spans="1:9" x14ac:dyDescent="0.2">
      <c r="A1739" s="2">
        <v>18</v>
      </c>
      <c r="B1739" s="1" t="s">
        <v>283</v>
      </c>
      <c r="C1739" s="4">
        <v>1</v>
      </c>
      <c r="D1739" s="8">
        <v>1.25</v>
      </c>
      <c r="E1739" s="4">
        <v>1</v>
      </c>
      <c r="F1739" s="8">
        <v>1.92</v>
      </c>
      <c r="G1739" s="4">
        <v>0</v>
      </c>
      <c r="H1739" s="8">
        <v>0</v>
      </c>
      <c r="I1739" s="4">
        <v>0</v>
      </c>
    </row>
    <row r="1740" spans="1:9" x14ac:dyDescent="0.2">
      <c r="A1740" s="2">
        <v>18</v>
      </c>
      <c r="B1740" s="1" t="s">
        <v>270</v>
      </c>
      <c r="C1740" s="4">
        <v>1</v>
      </c>
      <c r="D1740" s="8">
        <v>1.25</v>
      </c>
      <c r="E1740" s="4">
        <v>1</v>
      </c>
      <c r="F1740" s="8">
        <v>1.92</v>
      </c>
      <c r="G1740" s="4">
        <v>0</v>
      </c>
      <c r="H1740" s="8">
        <v>0</v>
      </c>
      <c r="I1740" s="4">
        <v>0</v>
      </c>
    </row>
    <row r="1741" spans="1:9" x14ac:dyDescent="0.2">
      <c r="A1741" s="1"/>
      <c r="C1741" s="4"/>
      <c r="D1741" s="8"/>
      <c r="E1741" s="4"/>
      <c r="F1741" s="8"/>
      <c r="G1741" s="4"/>
      <c r="H1741" s="8"/>
      <c r="I1741" s="4"/>
    </row>
    <row r="1742" spans="1:9" x14ac:dyDescent="0.2">
      <c r="A1742" s="1" t="s">
        <v>63</v>
      </c>
      <c r="C1742" s="4"/>
      <c r="D1742" s="8"/>
      <c r="E1742" s="4"/>
      <c r="F1742" s="8"/>
      <c r="G1742" s="4"/>
      <c r="H1742" s="8"/>
      <c r="I1742" s="4"/>
    </row>
    <row r="1743" spans="1:9" x14ac:dyDescent="0.2">
      <c r="A1743" s="2">
        <v>1</v>
      </c>
      <c r="B1743" s="1" t="s">
        <v>176</v>
      </c>
      <c r="C1743" s="4">
        <v>5</v>
      </c>
      <c r="D1743" s="8">
        <v>3.94</v>
      </c>
      <c r="E1743" s="4">
        <v>4</v>
      </c>
      <c r="F1743" s="8">
        <v>4.4400000000000004</v>
      </c>
      <c r="G1743" s="4">
        <v>1</v>
      </c>
      <c r="H1743" s="8">
        <v>3.33</v>
      </c>
      <c r="I1743" s="4">
        <v>0</v>
      </c>
    </row>
    <row r="1744" spans="1:9" x14ac:dyDescent="0.2">
      <c r="A1744" s="2">
        <v>1</v>
      </c>
      <c r="B1744" s="1" t="s">
        <v>210</v>
      </c>
      <c r="C1744" s="4">
        <v>5</v>
      </c>
      <c r="D1744" s="8">
        <v>3.94</v>
      </c>
      <c r="E1744" s="4">
        <v>5</v>
      </c>
      <c r="F1744" s="8">
        <v>5.56</v>
      </c>
      <c r="G1744" s="4">
        <v>0</v>
      </c>
      <c r="H1744" s="8">
        <v>0</v>
      </c>
      <c r="I1744" s="4">
        <v>0</v>
      </c>
    </row>
    <row r="1745" spans="1:9" x14ac:dyDescent="0.2">
      <c r="A1745" s="2">
        <v>1</v>
      </c>
      <c r="B1745" s="1" t="s">
        <v>214</v>
      </c>
      <c r="C1745" s="4">
        <v>5</v>
      </c>
      <c r="D1745" s="8">
        <v>3.94</v>
      </c>
      <c r="E1745" s="4">
        <v>4</v>
      </c>
      <c r="F1745" s="8">
        <v>4.4400000000000004</v>
      </c>
      <c r="G1745" s="4">
        <v>1</v>
      </c>
      <c r="H1745" s="8">
        <v>3.33</v>
      </c>
      <c r="I1745" s="4">
        <v>0</v>
      </c>
    </row>
    <row r="1746" spans="1:9" x14ac:dyDescent="0.2">
      <c r="A1746" s="2">
        <v>4</v>
      </c>
      <c r="B1746" s="1" t="s">
        <v>174</v>
      </c>
      <c r="C1746" s="4">
        <v>4</v>
      </c>
      <c r="D1746" s="8">
        <v>3.15</v>
      </c>
      <c r="E1746" s="4">
        <v>0</v>
      </c>
      <c r="F1746" s="8">
        <v>0</v>
      </c>
      <c r="G1746" s="4">
        <v>4</v>
      </c>
      <c r="H1746" s="8">
        <v>13.33</v>
      </c>
      <c r="I1746" s="4">
        <v>0</v>
      </c>
    </row>
    <row r="1747" spans="1:9" x14ac:dyDescent="0.2">
      <c r="A1747" s="2">
        <v>4</v>
      </c>
      <c r="B1747" s="1" t="s">
        <v>177</v>
      </c>
      <c r="C1747" s="4">
        <v>4</v>
      </c>
      <c r="D1747" s="8">
        <v>3.15</v>
      </c>
      <c r="E1747" s="4">
        <v>3</v>
      </c>
      <c r="F1747" s="8">
        <v>3.33</v>
      </c>
      <c r="G1747" s="4">
        <v>1</v>
      </c>
      <c r="H1747" s="8">
        <v>3.33</v>
      </c>
      <c r="I1747" s="4">
        <v>0</v>
      </c>
    </row>
    <row r="1748" spans="1:9" x14ac:dyDescent="0.2">
      <c r="A1748" s="2">
        <v>4</v>
      </c>
      <c r="B1748" s="1" t="s">
        <v>180</v>
      </c>
      <c r="C1748" s="4">
        <v>4</v>
      </c>
      <c r="D1748" s="8">
        <v>3.15</v>
      </c>
      <c r="E1748" s="4">
        <v>3</v>
      </c>
      <c r="F1748" s="8">
        <v>3.33</v>
      </c>
      <c r="G1748" s="4">
        <v>1</v>
      </c>
      <c r="H1748" s="8">
        <v>3.33</v>
      </c>
      <c r="I1748" s="4">
        <v>0</v>
      </c>
    </row>
    <row r="1749" spans="1:9" x14ac:dyDescent="0.2">
      <c r="A1749" s="2">
        <v>4</v>
      </c>
      <c r="B1749" s="1" t="s">
        <v>186</v>
      </c>
      <c r="C1749" s="4">
        <v>4</v>
      </c>
      <c r="D1749" s="8">
        <v>3.15</v>
      </c>
      <c r="E1749" s="4">
        <v>4</v>
      </c>
      <c r="F1749" s="8">
        <v>4.4400000000000004</v>
      </c>
      <c r="G1749" s="4">
        <v>0</v>
      </c>
      <c r="H1749" s="8">
        <v>0</v>
      </c>
      <c r="I1749" s="4">
        <v>0</v>
      </c>
    </row>
    <row r="1750" spans="1:9" x14ac:dyDescent="0.2">
      <c r="A1750" s="2">
        <v>4</v>
      </c>
      <c r="B1750" s="1" t="s">
        <v>190</v>
      </c>
      <c r="C1750" s="4">
        <v>4</v>
      </c>
      <c r="D1750" s="8">
        <v>3.15</v>
      </c>
      <c r="E1750" s="4">
        <v>4</v>
      </c>
      <c r="F1750" s="8">
        <v>4.4400000000000004</v>
      </c>
      <c r="G1750" s="4">
        <v>0</v>
      </c>
      <c r="H1750" s="8">
        <v>0</v>
      </c>
      <c r="I1750" s="4">
        <v>0</v>
      </c>
    </row>
    <row r="1751" spans="1:9" x14ac:dyDescent="0.2">
      <c r="A1751" s="2">
        <v>4</v>
      </c>
      <c r="B1751" s="1" t="s">
        <v>191</v>
      </c>
      <c r="C1751" s="4">
        <v>4</v>
      </c>
      <c r="D1751" s="8">
        <v>3.15</v>
      </c>
      <c r="E1751" s="4">
        <v>4</v>
      </c>
      <c r="F1751" s="8">
        <v>4.4400000000000004</v>
      </c>
      <c r="G1751" s="4">
        <v>0</v>
      </c>
      <c r="H1751" s="8">
        <v>0</v>
      </c>
      <c r="I1751" s="4">
        <v>0</v>
      </c>
    </row>
    <row r="1752" spans="1:9" x14ac:dyDescent="0.2">
      <c r="A1752" s="2">
        <v>10</v>
      </c>
      <c r="B1752" s="1" t="s">
        <v>178</v>
      </c>
      <c r="C1752" s="4">
        <v>3</v>
      </c>
      <c r="D1752" s="8">
        <v>2.36</v>
      </c>
      <c r="E1752" s="4">
        <v>2</v>
      </c>
      <c r="F1752" s="8">
        <v>2.2200000000000002</v>
      </c>
      <c r="G1752" s="4">
        <v>1</v>
      </c>
      <c r="H1752" s="8">
        <v>3.33</v>
      </c>
      <c r="I1752" s="4">
        <v>0</v>
      </c>
    </row>
    <row r="1753" spans="1:9" x14ac:dyDescent="0.2">
      <c r="A1753" s="2">
        <v>10</v>
      </c>
      <c r="B1753" s="1" t="s">
        <v>346</v>
      </c>
      <c r="C1753" s="4">
        <v>3</v>
      </c>
      <c r="D1753" s="8">
        <v>2.36</v>
      </c>
      <c r="E1753" s="4">
        <v>3</v>
      </c>
      <c r="F1753" s="8">
        <v>3.33</v>
      </c>
      <c r="G1753" s="4">
        <v>0</v>
      </c>
      <c r="H1753" s="8">
        <v>0</v>
      </c>
      <c r="I1753" s="4">
        <v>0</v>
      </c>
    </row>
    <row r="1754" spans="1:9" x14ac:dyDescent="0.2">
      <c r="A1754" s="2">
        <v>10</v>
      </c>
      <c r="B1754" s="1" t="s">
        <v>316</v>
      </c>
      <c r="C1754" s="4">
        <v>3</v>
      </c>
      <c r="D1754" s="8">
        <v>2.36</v>
      </c>
      <c r="E1754" s="4">
        <v>0</v>
      </c>
      <c r="F1754" s="8">
        <v>0</v>
      </c>
      <c r="G1754" s="4">
        <v>0</v>
      </c>
      <c r="H1754" s="8">
        <v>0</v>
      </c>
      <c r="I1754" s="4">
        <v>0</v>
      </c>
    </row>
    <row r="1755" spans="1:9" x14ac:dyDescent="0.2">
      <c r="A1755" s="2">
        <v>10</v>
      </c>
      <c r="B1755" s="1" t="s">
        <v>233</v>
      </c>
      <c r="C1755" s="4">
        <v>3</v>
      </c>
      <c r="D1755" s="8">
        <v>2.36</v>
      </c>
      <c r="E1755" s="4">
        <v>3</v>
      </c>
      <c r="F1755" s="8">
        <v>3.33</v>
      </c>
      <c r="G1755" s="4">
        <v>0</v>
      </c>
      <c r="H1755" s="8">
        <v>0</v>
      </c>
      <c r="I1755" s="4">
        <v>0</v>
      </c>
    </row>
    <row r="1756" spans="1:9" x14ac:dyDescent="0.2">
      <c r="A1756" s="2">
        <v>10</v>
      </c>
      <c r="B1756" s="1" t="s">
        <v>197</v>
      </c>
      <c r="C1756" s="4">
        <v>3</v>
      </c>
      <c r="D1756" s="8">
        <v>2.36</v>
      </c>
      <c r="E1756" s="4">
        <v>3</v>
      </c>
      <c r="F1756" s="8">
        <v>3.33</v>
      </c>
      <c r="G1756" s="4">
        <v>0</v>
      </c>
      <c r="H1756" s="8">
        <v>0</v>
      </c>
      <c r="I1756" s="4">
        <v>0</v>
      </c>
    </row>
    <row r="1757" spans="1:9" x14ac:dyDescent="0.2">
      <c r="A1757" s="2">
        <v>15</v>
      </c>
      <c r="B1757" s="1" t="s">
        <v>175</v>
      </c>
      <c r="C1757" s="4">
        <v>2</v>
      </c>
      <c r="D1757" s="8">
        <v>1.57</v>
      </c>
      <c r="E1757" s="4">
        <v>1</v>
      </c>
      <c r="F1757" s="8">
        <v>1.1100000000000001</v>
      </c>
      <c r="G1757" s="4">
        <v>1</v>
      </c>
      <c r="H1757" s="8">
        <v>3.33</v>
      </c>
      <c r="I1757" s="4">
        <v>0</v>
      </c>
    </row>
    <row r="1758" spans="1:9" x14ac:dyDescent="0.2">
      <c r="A1758" s="2">
        <v>15</v>
      </c>
      <c r="B1758" s="1" t="s">
        <v>266</v>
      </c>
      <c r="C1758" s="4">
        <v>2</v>
      </c>
      <c r="D1758" s="8">
        <v>1.57</v>
      </c>
      <c r="E1758" s="4">
        <v>2</v>
      </c>
      <c r="F1758" s="8">
        <v>2.2200000000000002</v>
      </c>
      <c r="G1758" s="4">
        <v>0</v>
      </c>
      <c r="H1758" s="8">
        <v>0</v>
      </c>
      <c r="I1758" s="4">
        <v>0</v>
      </c>
    </row>
    <row r="1759" spans="1:9" x14ac:dyDescent="0.2">
      <c r="A1759" s="2">
        <v>15</v>
      </c>
      <c r="B1759" s="1" t="s">
        <v>279</v>
      </c>
      <c r="C1759" s="4">
        <v>2</v>
      </c>
      <c r="D1759" s="8">
        <v>1.57</v>
      </c>
      <c r="E1759" s="4">
        <v>2</v>
      </c>
      <c r="F1759" s="8">
        <v>2.2200000000000002</v>
      </c>
      <c r="G1759" s="4">
        <v>0</v>
      </c>
      <c r="H1759" s="8">
        <v>0</v>
      </c>
      <c r="I1759" s="4">
        <v>0</v>
      </c>
    </row>
    <row r="1760" spans="1:9" x14ac:dyDescent="0.2">
      <c r="A1760" s="2">
        <v>15</v>
      </c>
      <c r="B1760" s="1" t="s">
        <v>342</v>
      </c>
      <c r="C1760" s="4">
        <v>2</v>
      </c>
      <c r="D1760" s="8">
        <v>1.57</v>
      </c>
      <c r="E1760" s="4">
        <v>1</v>
      </c>
      <c r="F1760" s="8">
        <v>1.1100000000000001</v>
      </c>
      <c r="G1760" s="4">
        <v>1</v>
      </c>
      <c r="H1760" s="8">
        <v>3.33</v>
      </c>
      <c r="I1760" s="4">
        <v>0</v>
      </c>
    </row>
    <row r="1761" spans="1:9" x14ac:dyDescent="0.2">
      <c r="A1761" s="2">
        <v>15</v>
      </c>
      <c r="B1761" s="1" t="s">
        <v>211</v>
      </c>
      <c r="C1761" s="4">
        <v>2</v>
      </c>
      <c r="D1761" s="8">
        <v>1.57</v>
      </c>
      <c r="E1761" s="4">
        <v>1</v>
      </c>
      <c r="F1761" s="8">
        <v>1.1100000000000001</v>
      </c>
      <c r="G1761" s="4">
        <v>1</v>
      </c>
      <c r="H1761" s="8">
        <v>3.33</v>
      </c>
      <c r="I1761" s="4">
        <v>0</v>
      </c>
    </row>
    <row r="1762" spans="1:9" x14ac:dyDescent="0.2">
      <c r="A1762" s="2">
        <v>15</v>
      </c>
      <c r="B1762" s="1" t="s">
        <v>206</v>
      </c>
      <c r="C1762" s="4">
        <v>2</v>
      </c>
      <c r="D1762" s="8">
        <v>1.57</v>
      </c>
      <c r="E1762" s="4">
        <v>0</v>
      </c>
      <c r="F1762" s="8">
        <v>0</v>
      </c>
      <c r="G1762" s="4">
        <v>2</v>
      </c>
      <c r="H1762" s="8">
        <v>6.67</v>
      </c>
      <c r="I1762" s="4">
        <v>0</v>
      </c>
    </row>
    <row r="1763" spans="1:9" x14ac:dyDescent="0.2">
      <c r="A1763" s="2">
        <v>15</v>
      </c>
      <c r="B1763" s="1" t="s">
        <v>295</v>
      </c>
      <c r="C1763" s="4">
        <v>2</v>
      </c>
      <c r="D1763" s="8">
        <v>1.57</v>
      </c>
      <c r="E1763" s="4">
        <v>2</v>
      </c>
      <c r="F1763" s="8">
        <v>2.2200000000000002</v>
      </c>
      <c r="G1763" s="4">
        <v>0</v>
      </c>
      <c r="H1763" s="8">
        <v>0</v>
      </c>
      <c r="I1763" s="4">
        <v>0</v>
      </c>
    </row>
    <row r="1764" spans="1:9" x14ac:dyDescent="0.2">
      <c r="A1764" s="2">
        <v>15</v>
      </c>
      <c r="B1764" s="1" t="s">
        <v>205</v>
      </c>
      <c r="C1764" s="4">
        <v>2</v>
      </c>
      <c r="D1764" s="8">
        <v>1.57</v>
      </c>
      <c r="E1764" s="4">
        <v>2</v>
      </c>
      <c r="F1764" s="8">
        <v>2.2200000000000002</v>
      </c>
      <c r="G1764" s="4">
        <v>0</v>
      </c>
      <c r="H1764" s="8">
        <v>0</v>
      </c>
      <c r="I1764" s="4">
        <v>0</v>
      </c>
    </row>
    <row r="1765" spans="1:9" x14ac:dyDescent="0.2">
      <c r="A1765" s="2">
        <v>15</v>
      </c>
      <c r="B1765" s="1" t="s">
        <v>219</v>
      </c>
      <c r="C1765" s="4">
        <v>2</v>
      </c>
      <c r="D1765" s="8">
        <v>1.57</v>
      </c>
      <c r="E1765" s="4">
        <v>2</v>
      </c>
      <c r="F1765" s="8">
        <v>2.2200000000000002</v>
      </c>
      <c r="G1765" s="4">
        <v>0</v>
      </c>
      <c r="H1765" s="8">
        <v>0</v>
      </c>
      <c r="I1765" s="4">
        <v>0</v>
      </c>
    </row>
    <row r="1766" spans="1:9" x14ac:dyDescent="0.2">
      <c r="A1766" s="2">
        <v>15</v>
      </c>
      <c r="B1766" s="1" t="s">
        <v>194</v>
      </c>
      <c r="C1766" s="4">
        <v>2</v>
      </c>
      <c r="D1766" s="8">
        <v>1.57</v>
      </c>
      <c r="E1766" s="4">
        <v>1</v>
      </c>
      <c r="F1766" s="8">
        <v>1.1100000000000001</v>
      </c>
      <c r="G1766" s="4">
        <v>1</v>
      </c>
      <c r="H1766" s="8">
        <v>3.33</v>
      </c>
      <c r="I1766" s="4">
        <v>0</v>
      </c>
    </row>
    <row r="1767" spans="1:9" x14ac:dyDescent="0.2">
      <c r="A1767" s="2">
        <v>15</v>
      </c>
      <c r="B1767" s="1" t="s">
        <v>216</v>
      </c>
      <c r="C1767" s="4">
        <v>2</v>
      </c>
      <c r="D1767" s="8">
        <v>1.57</v>
      </c>
      <c r="E1767" s="4">
        <v>0</v>
      </c>
      <c r="F1767" s="8">
        <v>0</v>
      </c>
      <c r="G1767" s="4">
        <v>2</v>
      </c>
      <c r="H1767" s="8">
        <v>6.67</v>
      </c>
      <c r="I1767" s="4">
        <v>0</v>
      </c>
    </row>
    <row r="1768" spans="1:9" x14ac:dyDescent="0.2">
      <c r="A1768" s="2">
        <v>15</v>
      </c>
      <c r="B1768" s="1" t="s">
        <v>181</v>
      </c>
      <c r="C1768" s="4">
        <v>2</v>
      </c>
      <c r="D1768" s="8">
        <v>1.57</v>
      </c>
      <c r="E1768" s="4">
        <v>2</v>
      </c>
      <c r="F1768" s="8">
        <v>2.2200000000000002</v>
      </c>
      <c r="G1768" s="4">
        <v>0</v>
      </c>
      <c r="H1768" s="8">
        <v>0</v>
      </c>
      <c r="I1768" s="4">
        <v>0</v>
      </c>
    </row>
    <row r="1769" spans="1:9" x14ac:dyDescent="0.2">
      <c r="A1769" s="2">
        <v>15</v>
      </c>
      <c r="B1769" s="1" t="s">
        <v>182</v>
      </c>
      <c r="C1769" s="4">
        <v>2</v>
      </c>
      <c r="D1769" s="8">
        <v>1.57</v>
      </c>
      <c r="E1769" s="4">
        <v>2</v>
      </c>
      <c r="F1769" s="8">
        <v>2.2200000000000002</v>
      </c>
      <c r="G1769" s="4">
        <v>0</v>
      </c>
      <c r="H1769" s="8">
        <v>0</v>
      </c>
      <c r="I1769" s="4">
        <v>0</v>
      </c>
    </row>
    <row r="1770" spans="1:9" x14ac:dyDescent="0.2">
      <c r="A1770" s="2">
        <v>15</v>
      </c>
      <c r="B1770" s="1" t="s">
        <v>228</v>
      </c>
      <c r="C1770" s="4">
        <v>2</v>
      </c>
      <c r="D1770" s="8">
        <v>1.57</v>
      </c>
      <c r="E1770" s="4">
        <v>2</v>
      </c>
      <c r="F1770" s="8">
        <v>2.2200000000000002</v>
      </c>
      <c r="G1770" s="4">
        <v>0</v>
      </c>
      <c r="H1770" s="8">
        <v>0</v>
      </c>
      <c r="I1770" s="4">
        <v>0</v>
      </c>
    </row>
    <row r="1771" spans="1:9" x14ac:dyDescent="0.2">
      <c r="A1771" s="2">
        <v>15</v>
      </c>
      <c r="B1771" s="1" t="s">
        <v>223</v>
      </c>
      <c r="C1771" s="4">
        <v>2</v>
      </c>
      <c r="D1771" s="8">
        <v>1.57</v>
      </c>
      <c r="E1771" s="4">
        <v>0</v>
      </c>
      <c r="F1771" s="8">
        <v>0</v>
      </c>
      <c r="G1771" s="4">
        <v>1</v>
      </c>
      <c r="H1771" s="8">
        <v>3.33</v>
      </c>
      <c r="I1771" s="4">
        <v>0</v>
      </c>
    </row>
    <row r="1772" spans="1:9" x14ac:dyDescent="0.2">
      <c r="A1772" s="2">
        <v>15</v>
      </c>
      <c r="B1772" s="1" t="s">
        <v>217</v>
      </c>
      <c r="C1772" s="4">
        <v>2</v>
      </c>
      <c r="D1772" s="8">
        <v>1.57</v>
      </c>
      <c r="E1772" s="4">
        <v>0</v>
      </c>
      <c r="F1772" s="8">
        <v>0</v>
      </c>
      <c r="G1772" s="4">
        <v>0</v>
      </c>
      <c r="H1772" s="8">
        <v>0</v>
      </c>
      <c r="I1772" s="4">
        <v>0</v>
      </c>
    </row>
    <row r="1773" spans="1:9" x14ac:dyDescent="0.2">
      <c r="A1773" s="1"/>
      <c r="C1773" s="4"/>
      <c r="D1773" s="8"/>
      <c r="E1773" s="4"/>
      <c r="F1773" s="8"/>
      <c r="G1773" s="4"/>
      <c r="H1773" s="8"/>
      <c r="I1773" s="4"/>
    </row>
    <row r="1774" spans="1:9" x14ac:dyDescent="0.2">
      <c r="A1774" s="1" t="s">
        <v>64</v>
      </c>
      <c r="C1774" s="4"/>
      <c r="D1774" s="8"/>
      <c r="E1774" s="4"/>
      <c r="F1774" s="8"/>
      <c r="G1774" s="4"/>
      <c r="H1774" s="8"/>
      <c r="I1774" s="4"/>
    </row>
    <row r="1775" spans="1:9" x14ac:dyDescent="0.2">
      <c r="A1775" s="2">
        <v>1</v>
      </c>
      <c r="B1775" s="1" t="s">
        <v>191</v>
      </c>
      <c r="C1775" s="4">
        <v>21</v>
      </c>
      <c r="D1775" s="8">
        <v>6.38</v>
      </c>
      <c r="E1775" s="4">
        <v>18</v>
      </c>
      <c r="F1775" s="8">
        <v>8.2200000000000006</v>
      </c>
      <c r="G1775" s="4">
        <v>3</v>
      </c>
      <c r="H1775" s="8">
        <v>2.94</v>
      </c>
      <c r="I1775" s="4">
        <v>0</v>
      </c>
    </row>
    <row r="1776" spans="1:9" x14ac:dyDescent="0.2">
      <c r="A1776" s="2">
        <v>2</v>
      </c>
      <c r="B1776" s="1" t="s">
        <v>192</v>
      </c>
      <c r="C1776" s="4">
        <v>12</v>
      </c>
      <c r="D1776" s="8">
        <v>3.65</v>
      </c>
      <c r="E1776" s="4">
        <v>11</v>
      </c>
      <c r="F1776" s="8">
        <v>5.0199999999999996</v>
      </c>
      <c r="G1776" s="4">
        <v>1</v>
      </c>
      <c r="H1776" s="8">
        <v>0.98</v>
      </c>
      <c r="I1776" s="4">
        <v>0</v>
      </c>
    </row>
    <row r="1777" spans="1:9" x14ac:dyDescent="0.2">
      <c r="A1777" s="2">
        <v>3</v>
      </c>
      <c r="B1777" s="1" t="s">
        <v>175</v>
      </c>
      <c r="C1777" s="4">
        <v>11</v>
      </c>
      <c r="D1777" s="8">
        <v>3.34</v>
      </c>
      <c r="E1777" s="4">
        <v>5</v>
      </c>
      <c r="F1777" s="8">
        <v>2.2799999999999998</v>
      </c>
      <c r="G1777" s="4">
        <v>6</v>
      </c>
      <c r="H1777" s="8">
        <v>5.88</v>
      </c>
      <c r="I1777" s="4">
        <v>0</v>
      </c>
    </row>
    <row r="1778" spans="1:9" x14ac:dyDescent="0.2">
      <c r="A1778" s="2">
        <v>3</v>
      </c>
      <c r="B1778" s="1" t="s">
        <v>176</v>
      </c>
      <c r="C1778" s="4">
        <v>11</v>
      </c>
      <c r="D1778" s="8">
        <v>3.34</v>
      </c>
      <c r="E1778" s="4">
        <v>8</v>
      </c>
      <c r="F1778" s="8">
        <v>3.65</v>
      </c>
      <c r="G1778" s="4">
        <v>3</v>
      </c>
      <c r="H1778" s="8">
        <v>2.94</v>
      </c>
      <c r="I1778" s="4">
        <v>0</v>
      </c>
    </row>
    <row r="1779" spans="1:9" x14ac:dyDescent="0.2">
      <c r="A1779" s="2">
        <v>5</v>
      </c>
      <c r="B1779" s="1" t="s">
        <v>190</v>
      </c>
      <c r="C1779" s="4">
        <v>10</v>
      </c>
      <c r="D1779" s="8">
        <v>3.04</v>
      </c>
      <c r="E1779" s="4">
        <v>8</v>
      </c>
      <c r="F1779" s="8">
        <v>3.65</v>
      </c>
      <c r="G1779" s="4">
        <v>2</v>
      </c>
      <c r="H1779" s="8">
        <v>1.96</v>
      </c>
      <c r="I1779" s="4">
        <v>0</v>
      </c>
    </row>
    <row r="1780" spans="1:9" x14ac:dyDescent="0.2">
      <c r="A1780" s="2">
        <v>5</v>
      </c>
      <c r="B1780" s="1" t="s">
        <v>193</v>
      </c>
      <c r="C1780" s="4">
        <v>10</v>
      </c>
      <c r="D1780" s="8">
        <v>3.04</v>
      </c>
      <c r="E1780" s="4">
        <v>8</v>
      </c>
      <c r="F1780" s="8">
        <v>3.65</v>
      </c>
      <c r="G1780" s="4">
        <v>2</v>
      </c>
      <c r="H1780" s="8">
        <v>1.96</v>
      </c>
      <c r="I1780" s="4">
        <v>0</v>
      </c>
    </row>
    <row r="1781" spans="1:9" x14ac:dyDescent="0.2">
      <c r="A1781" s="2">
        <v>7</v>
      </c>
      <c r="B1781" s="1" t="s">
        <v>178</v>
      </c>
      <c r="C1781" s="4">
        <v>9</v>
      </c>
      <c r="D1781" s="8">
        <v>2.74</v>
      </c>
      <c r="E1781" s="4">
        <v>3</v>
      </c>
      <c r="F1781" s="8">
        <v>1.37</v>
      </c>
      <c r="G1781" s="4">
        <v>6</v>
      </c>
      <c r="H1781" s="8">
        <v>5.88</v>
      </c>
      <c r="I1781" s="4">
        <v>0</v>
      </c>
    </row>
    <row r="1782" spans="1:9" x14ac:dyDescent="0.2">
      <c r="A1782" s="2">
        <v>8</v>
      </c>
      <c r="B1782" s="1" t="s">
        <v>177</v>
      </c>
      <c r="C1782" s="4">
        <v>8</v>
      </c>
      <c r="D1782" s="8">
        <v>2.4300000000000002</v>
      </c>
      <c r="E1782" s="4">
        <v>7</v>
      </c>
      <c r="F1782" s="8">
        <v>3.2</v>
      </c>
      <c r="G1782" s="4">
        <v>1</v>
      </c>
      <c r="H1782" s="8">
        <v>0.98</v>
      </c>
      <c r="I1782" s="4">
        <v>0</v>
      </c>
    </row>
    <row r="1783" spans="1:9" x14ac:dyDescent="0.2">
      <c r="A1783" s="2">
        <v>8</v>
      </c>
      <c r="B1783" s="1" t="s">
        <v>197</v>
      </c>
      <c r="C1783" s="4">
        <v>8</v>
      </c>
      <c r="D1783" s="8">
        <v>2.4300000000000002</v>
      </c>
      <c r="E1783" s="4">
        <v>7</v>
      </c>
      <c r="F1783" s="8">
        <v>3.2</v>
      </c>
      <c r="G1783" s="4">
        <v>1</v>
      </c>
      <c r="H1783" s="8">
        <v>0.98</v>
      </c>
      <c r="I1783" s="4">
        <v>0</v>
      </c>
    </row>
    <row r="1784" spans="1:9" x14ac:dyDescent="0.2">
      <c r="A1784" s="2">
        <v>8</v>
      </c>
      <c r="B1784" s="1" t="s">
        <v>194</v>
      </c>
      <c r="C1784" s="4">
        <v>8</v>
      </c>
      <c r="D1784" s="8">
        <v>2.4300000000000002</v>
      </c>
      <c r="E1784" s="4">
        <v>4</v>
      </c>
      <c r="F1784" s="8">
        <v>1.83</v>
      </c>
      <c r="G1784" s="4">
        <v>4</v>
      </c>
      <c r="H1784" s="8">
        <v>3.92</v>
      </c>
      <c r="I1784" s="4">
        <v>0</v>
      </c>
    </row>
    <row r="1785" spans="1:9" x14ac:dyDescent="0.2">
      <c r="A1785" s="2">
        <v>11</v>
      </c>
      <c r="B1785" s="1" t="s">
        <v>210</v>
      </c>
      <c r="C1785" s="4">
        <v>6</v>
      </c>
      <c r="D1785" s="8">
        <v>1.82</v>
      </c>
      <c r="E1785" s="4">
        <v>6</v>
      </c>
      <c r="F1785" s="8">
        <v>2.74</v>
      </c>
      <c r="G1785" s="4">
        <v>0</v>
      </c>
      <c r="H1785" s="8">
        <v>0</v>
      </c>
      <c r="I1785" s="4">
        <v>0</v>
      </c>
    </row>
    <row r="1786" spans="1:9" x14ac:dyDescent="0.2">
      <c r="A1786" s="2">
        <v>11</v>
      </c>
      <c r="B1786" s="1" t="s">
        <v>222</v>
      </c>
      <c r="C1786" s="4">
        <v>6</v>
      </c>
      <c r="D1786" s="8">
        <v>1.82</v>
      </c>
      <c r="E1786" s="4">
        <v>6</v>
      </c>
      <c r="F1786" s="8">
        <v>2.74</v>
      </c>
      <c r="G1786" s="4">
        <v>0</v>
      </c>
      <c r="H1786" s="8">
        <v>0</v>
      </c>
      <c r="I1786" s="4">
        <v>0</v>
      </c>
    </row>
    <row r="1787" spans="1:9" x14ac:dyDescent="0.2">
      <c r="A1787" s="2">
        <v>11</v>
      </c>
      <c r="B1787" s="1" t="s">
        <v>181</v>
      </c>
      <c r="C1787" s="4">
        <v>6</v>
      </c>
      <c r="D1787" s="8">
        <v>1.82</v>
      </c>
      <c r="E1787" s="4">
        <v>3</v>
      </c>
      <c r="F1787" s="8">
        <v>1.37</v>
      </c>
      <c r="G1787" s="4">
        <v>3</v>
      </c>
      <c r="H1787" s="8">
        <v>2.94</v>
      </c>
      <c r="I1787" s="4">
        <v>0</v>
      </c>
    </row>
    <row r="1788" spans="1:9" x14ac:dyDescent="0.2">
      <c r="A1788" s="2">
        <v>14</v>
      </c>
      <c r="B1788" s="1" t="s">
        <v>201</v>
      </c>
      <c r="C1788" s="4">
        <v>5</v>
      </c>
      <c r="D1788" s="8">
        <v>1.52</v>
      </c>
      <c r="E1788" s="4">
        <v>5</v>
      </c>
      <c r="F1788" s="8">
        <v>2.2799999999999998</v>
      </c>
      <c r="G1788" s="4">
        <v>0</v>
      </c>
      <c r="H1788" s="8">
        <v>0</v>
      </c>
      <c r="I1788" s="4">
        <v>0</v>
      </c>
    </row>
    <row r="1789" spans="1:9" x14ac:dyDescent="0.2">
      <c r="A1789" s="2">
        <v>14</v>
      </c>
      <c r="B1789" s="1" t="s">
        <v>261</v>
      </c>
      <c r="C1789" s="4">
        <v>5</v>
      </c>
      <c r="D1789" s="8">
        <v>1.52</v>
      </c>
      <c r="E1789" s="4">
        <v>2</v>
      </c>
      <c r="F1789" s="8">
        <v>0.91</v>
      </c>
      <c r="G1789" s="4">
        <v>3</v>
      </c>
      <c r="H1789" s="8">
        <v>2.94</v>
      </c>
      <c r="I1789" s="4">
        <v>0</v>
      </c>
    </row>
    <row r="1790" spans="1:9" x14ac:dyDescent="0.2">
      <c r="A1790" s="2">
        <v>14</v>
      </c>
      <c r="B1790" s="1" t="s">
        <v>183</v>
      </c>
      <c r="C1790" s="4">
        <v>5</v>
      </c>
      <c r="D1790" s="8">
        <v>1.52</v>
      </c>
      <c r="E1790" s="4">
        <v>1</v>
      </c>
      <c r="F1790" s="8">
        <v>0.46</v>
      </c>
      <c r="G1790" s="4">
        <v>4</v>
      </c>
      <c r="H1790" s="8">
        <v>3.92</v>
      </c>
      <c r="I1790" s="4">
        <v>0</v>
      </c>
    </row>
    <row r="1791" spans="1:9" x14ac:dyDescent="0.2">
      <c r="A1791" s="2">
        <v>14</v>
      </c>
      <c r="B1791" s="1" t="s">
        <v>184</v>
      </c>
      <c r="C1791" s="4">
        <v>5</v>
      </c>
      <c r="D1791" s="8">
        <v>1.52</v>
      </c>
      <c r="E1791" s="4">
        <v>3</v>
      </c>
      <c r="F1791" s="8">
        <v>1.37</v>
      </c>
      <c r="G1791" s="4">
        <v>2</v>
      </c>
      <c r="H1791" s="8">
        <v>1.96</v>
      </c>
      <c r="I1791" s="4">
        <v>0</v>
      </c>
    </row>
    <row r="1792" spans="1:9" x14ac:dyDescent="0.2">
      <c r="A1792" s="2">
        <v>14</v>
      </c>
      <c r="B1792" s="1" t="s">
        <v>187</v>
      </c>
      <c r="C1792" s="4">
        <v>5</v>
      </c>
      <c r="D1792" s="8">
        <v>1.52</v>
      </c>
      <c r="E1792" s="4">
        <v>5</v>
      </c>
      <c r="F1792" s="8">
        <v>2.2799999999999998</v>
      </c>
      <c r="G1792" s="4">
        <v>0</v>
      </c>
      <c r="H1792" s="8">
        <v>0</v>
      </c>
      <c r="I1792" s="4">
        <v>0</v>
      </c>
    </row>
    <row r="1793" spans="1:9" x14ac:dyDescent="0.2">
      <c r="A1793" s="2">
        <v>14</v>
      </c>
      <c r="B1793" s="1" t="s">
        <v>220</v>
      </c>
      <c r="C1793" s="4">
        <v>5</v>
      </c>
      <c r="D1793" s="8">
        <v>1.52</v>
      </c>
      <c r="E1793" s="4">
        <v>5</v>
      </c>
      <c r="F1793" s="8">
        <v>2.2799999999999998</v>
      </c>
      <c r="G1793" s="4">
        <v>0</v>
      </c>
      <c r="H1793" s="8">
        <v>0</v>
      </c>
      <c r="I1793" s="4">
        <v>0</v>
      </c>
    </row>
    <row r="1794" spans="1:9" x14ac:dyDescent="0.2">
      <c r="A1794" s="2">
        <v>20</v>
      </c>
      <c r="B1794" s="1" t="s">
        <v>174</v>
      </c>
      <c r="C1794" s="4">
        <v>4</v>
      </c>
      <c r="D1794" s="8">
        <v>1.22</v>
      </c>
      <c r="E1794" s="4">
        <v>0</v>
      </c>
      <c r="F1794" s="8">
        <v>0</v>
      </c>
      <c r="G1794" s="4">
        <v>4</v>
      </c>
      <c r="H1794" s="8">
        <v>3.92</v>
      </c>
      <c r="I1794" s="4">
        <v>0</v>
      </c>
    </row>
    <row r="1795" spans="1:9" x14ac:dyDescent="0.2">
      <c r="A1795" s="2">
        <v>20</v>
      </c>
      <c r="B1795" s="1" t="s">
        <v>204</v>
      </c>
      <c r="C1795" s="4">
        <v>4</v>
      </c>
      <c r="D1795" s="8">
        <v>1.22</v>
      </c>
      <c r="E1795" s="4">
        <v>2</v>
      </c>
      <c r="F1795" s="8">
        <v>0.91</v>
      </c>
      <c r="G1795" s="4">
        <v>2</v>
      </c>
      <c r="H1795" s="8">
        <v>1.96</v>
      </c>
      <c r="I1795" s="4">
        <v>0</v>
      </c>
    </row>
    <row r="1796" spans="1:9" x14ac:dyDescent="0.2">
      <c r="A1796" s="2">
        <v>20</v>
      </c>
      <c r="B1796" s="1" t="s">
        <v>216</v>
      </c>
      <c r="C1796" s="4">
        <v>4</v>
      </c>
      <c r="D1796" s="8">
        <v>1.22</v>
      </c>
      <c r="E1796" s="4">
        <v>0</v>
      </c>
      <c r="F1796" s="8">
        <v>0</v>
      </c>
      <c r="G1796" s="4">
        <v>4</v>
      </c>
      <c r="H1796" s="8">
        <v>3.92</v>
      </c>
      <c r="I1796" s="4">
        <v>0</v>
      </c>
    </row>
    <row r="1797" spans="1:9" x14ac:dyDescent="0.2">
      <c r="A1797" s="2">
        <v>20</v>
      </c>
      <c r="B1797" s="1" t="s">
        <v>242</v>
      </c>
      <c r="C1797" s="4">
        <v>4</v>
      </c>
      <c r="D1797" s="8">
        <v>1.22</v>
      </c>
      <c r="E1797" s="4">
        <v>2</v>
      </c>
      <c r="F1797" s="8">
        <v>0.91</v>
      </c>
      <c r="G1797" s="4">
        <v>2</v>
      </c>
      <c r="H1797" s="8">
        <v>1.96</v>
      </c>
      <c r="I1797" s="4">
        <v>0</v>
      </c>
    </row>
    <row r="1798" spans="1:9" x14ac:dyDescent="0.2">
      <c r="A1798" s="2">
        <v>20</v>
      </c>
      <c r="B1798" s="1" t="s">
        <v>198</v>
      </c>
      <c r="C1798" s="4">
        <v>4</v>
      </c>
      <c r="D1798" s="8">
        <v>1.22</v>
      </c>
      <c r="E1798" s="4">
        <v>4</v>
      </c>
      <c r="F1798" s="8">
        <v>1.83</v>
      </c>
      <c r="G1798" s="4">
        <v>0</v>
      </c>
      <c r="H1798" s="8">
        <v>0</v>
      </c>
      <c r="I1798" s="4">
        <v>0</v>
      </c>
    </row>
    <row r="1799" spans="1:9" x14ac:dyDescent="0.2">
      <c r="A1799" s="2">
        <v>20</v>
      </c>
      <c r="B1799" s="1" t="s">
        <v>250</v>
      </c>
      <c r="C1799" s="4">
        <v>4</v>
      </c>
      <c r="D1799" s="8">
        <v>1.22</v>
      </c>
      <c r="E1799" s="4">
        <v>2</v>
      </c>
      <c r="F1799" s="8">
        <v>0.91</v>
      </c>
      <c r="G1799" s="4">
        <v>2</v>
      </c>
      <c r="H1799" s="8">
        <v>1.96</v>
      </c>
      <c r="I1799" s="4">
        <v>0</v>
      </c>
    </row>
    <row r="1800" spans="1:9" x14ac:dyDescent="0.2">
      <c r="A1800" s="1"/>
      <c r="C1800" s="4"/>
      <c r="D1800" s="8"/>
      <c r="E1800" s="4"/>
      <c r="F1800" s="8"/>
      <c r="G1800" s="4"/>
      <c r="H1800" s="8"/>
      <c r="I1800" s="4"/>
    </row>
    <row r="1801" spans="1:9" x14ac:dyDescent="0.2">
      <c r="A1801" s="1" t="s">
        <v>65</v>
      </c>
      <c r="C1801" s="4"/>
      <c r="D1801" s="8"/>
      <c r="E1801" s="4"/>
      <c r="F1801" s="8"/>
      <c r="G1801" s="4"/>
      <c r="H1801" s="8"/>
      <c r="I1801" s="4"/>
    </row>
    <row r="1802" spans="1:9" x14ac:dyDescent="0.2">
      <c r="A1802" s="2">
        <v>1</v>
      </c>
      <c r="B1802" s="1" t="s">
        <v>191</v>
      </c>
      <c r="C1802" s="4">
        <v>20</v>
      </c>
      <c r="D1802" s="8">
        <v>6.87</v>
      </c>
      <c r="E1802" s="4">
        <v>17</v>
      </c>
      <c r="F1802" s="8">
        <v>8.9499999999999993</v>
      </c>
      <c r="G1802" s="4">
        <v>3</v>
      </c>
      <c r="H1802" s="8">
        <v>3.09</v>
      </c>
      <c r="I1802" s="4">
        <v>0</v>
      </c>
    </row>
    <row r="1803" spans="1:9" x14ac:dyDescent="0.2">
      <c r="A1803" s="2">
        <v>2</v>
      </c>
      <c r="B1803" s="1" t="s">
        <v>174</v>
      </c>
      <c r="C1803" s="4">
        <v>16</v>
      </c>
      <c r="D1803" s="8">
        <v>5.5</v>
      </c>
      <c r="E1803" s="4">
        <v>4</v>
      </c>
      <c r="F1803" s="8">
        <v>2.11</v>
      </c>
      <c r="G1803" s="4">
        <v>12</v>
      </c>
      <c r="H1803" s="8">
        <v>12.37</v>
      </c>
      <c r="I1803" s="4">
        <v>0</v>
      </c>
    </row>
    <row r="1804" spans="1:9" x14ac:dyDescent="0.2">
      <c r="A1804" s="2">
        <v>3</v>
      </c>
      <c r="B1804" s="1" t="s">
        <v>197</v>
      </c>
      <c r="C1804" s="4">
        <v>10</v>
      </c>
      <c r="D1804" s="8">
        <v>3.44</v>
      </c>
      <c r="E1804" s="4">
        <v>10</v>
      </c>
      <c r="F1804" s="8">
        <v>5.26</v>
      </c>
      <c r="G1804" s="4">
        <v>0</v>
      </c>
      <c r="H1804" s="8">
        <v>0</v>
      </c>
      <c r="I1804" s="4">
        <v>0</v>
      </c>
    </row>
    <row r="1805" spans="1:9" x14ac:dyDescent="0.2">
      <c r="A1805" s="2">
        <v>4</v>
      </c>
      <c r="B1805" s="1" t="s">
        <v>193</v>
      </c>
      <c r="C1805" s="4">
        <v>9</v>
      </c>
      <c r="D1805" s="8">
        <v>3.09</v>
      </c>
      <c r="E1805" s="4">
        <v>9</v>
      </c>
      <c r="F1805" s="8">
        <v>4.74</v>
      </c>
      <c r="G1805" s="4">
        <v>0</v>
      </c>
      <c r="H1805" s="8">
        <v>0</v>
      </c>
      <c r="I1805" s="4">
        <v>0</v>
      </c>
    </row>
    <row r="1806" spans="1:9" x14ac:dyDescent="0.2">
      <c r="A1806" s="2">
        <v>5</v>
      </c>
      <c r="B1806" s="1" t="s">
        <v>175</v>
      </c>
      <c r="C1806" s="4">
        <v>8</v>
      </c>
      <c r="D1806" s="8">
        <v>2.75</v>
      </c>
      <c r="E1806" s="4">
        <v>4</v>
      </c>
      <c r="F1806" s="8">
        <v>2.11</v>
      </c>
      <c r="G1806" s="4">
        <v>4</v>
      </c>
      <c r="H1806" s="8">
        <v>4.12</v>
      </c>
      <c r="I1806" s="4">
        <v>0</v>
      </c>
    </row>
    <row r="1807" spans="1:9" x14ac:dyDescent="0.2">
      <c r="A1807" s="2">
        <v>6</v>
      </c>
      <c r="B1807" s="1" t="s">
        <v>176</v>
      </c>
      <c r="C1807" s="4">
        <v>7</v>
      </c>
      <c r="D1807" s="8">
        <v>2.41</v>
      </c>
      <c r="E1807" s="4">
        <v>6</v>
      </c>
      <c r="F1807" s="8">
        <v>3.16</v>
      </c>
      <c r="G1807" s="4">
        <v>1</v>
      </c>
      <c r="H1807" s="8">
        <v>1.03</v>
      </c>
      <c r="I1807" s="4">
        <v>0</v>
      </c>
    </row>
    <row r="1808" spans="1:9" x14ac:dyDescent="0.2">
      <c r="A1808" s="2">
        <v>6</v>
      </c>
      <c r="B1808" s="1" t="s">
        <v>180</v>
      </c>
      <c r="C1808" s="4">
        <v>7</v>
      </c>
      <c r="D1808" s="8">
        <v>2.41</v>
      </c>
      <c r="E1808" s="4">
        <v>5</v>
      </c>
      <c r="F1808" s="8">
        <v>2.63</v>
      </c>
      <c r="G1808" s="4">
        <v>2</v>
      </c>
      <c r="H1808" s="8">
        <v>2.06</v>
      </c>
      <c r="I1808" s="4">
        <v>0</v>
      </c>
    </row>
    <row r="1809" spans="1:9" x14ac:dyDescent="0.2">
      <c r="A1809" s="2">
        <v>6</v>
      </c>
      <c r="B1809" s="1" t="s">
        <v>188</v>
      </c>
      <c r="C1809" s="4">
        <v>7</v>
      </c>
      <c r="D1809" s="8">
        <v>2.41</v>
      </c>
      <c r="E1809" s="4">
        <v>7</v>
      </c>
      <c r="F1809" s="8">
        <v>3.68</v>
      </c>
      <c r="G1809" s="4">
        <v>0</v>
      </c>
      <c r="H1809" s="8">
        <v>0</v>
      </c>
      <c r="I1809" s="4">
        <v>0</v>
      </c>
    </row>
    <row r="1810" spans="1:9" x14ac:dyDescent="0.2">
      <c r="A1810" s="2">
        <v>6</v>
      </c>
      <c r="B1810" s="1" t="s">
        <v>190</v>
      </c>
      <c r="C1810" s="4">
        <v>7</v>
      </c>
      <c r="D1810" s="8">
        <v>2.41</v>
      </c>
      <c r="E1810" s="4">
        <v>5</v>
      </c>
      <c r="F1810" s="8">
        <v>2.63</v>
      </c>
      <c r="G1810" s="4">
        <v>2</v>
      </c>
      <c r="H1810" s="8">
        <v>2.06</v>
      </c>
      <c r="I1810" s="4">
        <v>0</v>
      </c>
    </row>
    <row r="1811" spans="1:9" x14ac:dyDescent="0.2">
      <c r="A1811" s="2">
        <v>6</v>
      </c>
      <c r="B1811" s="1" t="s">
        <v>192</v>
      </c>
      <c r="C1811" s="4">
        <v>7</v>
      </c>
      <c r="D1811" s="8">
        <v>2.41</v>
      </c>
      <c r="E1811" s="4">
        <v>5</v>
      </c>
      <c r="F1811" s="8">
        <v>2.63</v>
      </c>
      <c r="G1811" s="4">
        <v>2</v>
      </c>
      <c r="H1811" s="8">
        <v>2.06</v>
      </c>
      <c r="I1811" s="4">
        <v>0</v>
      </c>
    </row>
    <row r="1812" spans="1:9" x14ac:dyDescent="0.2">
      <c r="A1812" s="2">
        <v>11</v>
      </c>
      <c r="B1812" s="1" t="s">
        <v>187</v>
      </c>
      <c r="C1812" s="4">
        <v>6</v>
      </c>
      <c r="D1812" s="8">
        <v>2.06</v>
      </c>
      <c r="E1812" s="4">
        <v>6</v>
      </c>
      <c r="F1812" s="8">
        <v>3.16</v>
      </c>
      <c r="G1812" s="4">
        <v>0</v>
      </c>
      <c r="H1812" s="8">
        <v>0</v>
      </c>
      <c r="I1812" s="4">
        <v>0</v>
      </c>
    </row>
    <row r="1813" spans="1:9" x14ac:dyDescent="0.2">
      <c r="A1813" s="2">
        <v>12</v>
      </c>
      <c r="B1813" s="1" t="s">
        <v>261</v>
      </c>
      <c r="C1813" s="4">
        <v>5</v>
      </c>
      <c r="D1813" s="8">
        <v>1.72</v>
      </c>
      <c r="E1813" s="4">
        <v>3</v>
      </c>
      <c r="F1813" s="8">
        <v>1.58</v>
      </c>
      <c r="G1813" s="4">
        <v>2</v>
      </c>
      <c r="H1813" s="8">
        <v>2.06</v>
      </c>
      <c r="I1813" s="4">
        <v>0</v>
      </c>
    </row>
    <row r="1814" spans="1:9" x14ac:dyDescent="0.2">
      <c r="A1814" s="2">
        <v>12</v>
      </c>
      <c r="B1814" s="1" t="s">
        <v>177</v>
      </c>
      <c r="C1814" s="4">
        <v>5</v>
      </c>
      <c r="D1814" s="8">
        <v>1.72</v>
      </c>
      <c r="E1814" s="4">
        <v>2</v>
      </c>
      <c r="F1814" s="8">
        <v>1.05</v>
      </c>
      <c r="G1814" s="4">
        <v>3</v>
      </c>
      <c r="H1814" s="8">
        <v>3.09</v>
      </c>
      <c r="I1814" s="4">
        <v>0</v>
      </c>
    </row>
    <row r="1815" spans="1:9" x14ac:dyDescent="0.2">
      <c r="A1815" s="2">
        <v>12</v>
      </c>
      <c r="B1815" s="1" t="s">
        <v>178</v>
      </c>
      <c r="C1815" s="4">
        <v>5</v>
      </c>
      <c r="D1815" s="8">
        <v>1.72</v>
      </c>
      <c r="E1815" s="4">
        <v>3</v>
      </c>
      <c r="F1815" s="8">
        <v>1.58</v>
      </c>
      <c r="G1815" s="4">
        <v>2</v>
      </c>
      <c r="H1815" s="8">
        <v>2.06</v>
      </c>
      <c r="I1815" s="4">
        <v>0</v>
      </c>
    </row>
    <row r="1816" spans="1:9" x14ac:dyDescent="0.2">
      <c r="A1816" s="2">
        <v>12</v>
      </c>
      <c r="B1816" s="1" t="s">
        <v>204</v>
      </c>
      <c r="C1816" s="4">
        <v>5</v>
      </c>
      <c r="D1816" s="8">
        <v>1.72</v>
      </c>
      <c r="E1816" s="4">
        <v>0</v>
      </c>
      <c r="F1816" s="8">
        <v>0</v>
      </c>
      <c r="G1816" s="4">
        <v>5</v>
      </c>
      <c r="H1816" s="8">
        <v>5.15</v>
      </c>
      <c r="I1816" s="4">
        <v>0</v>
      </c>
    </row>
    <row r="1817" spans="1:9" x14ac:dyDescent="0.2">
      <c r="A1817" s="2">
        <v>12</v>
      </c>
      <c r="B1817" s="1" t="s">
        <v>220</v>
      </c>
      <c r="C1817" s="4">
        <v>5</v>
      </c>
      <c r="D1817" s="8">
        <v>1.72</v>
      </c>
      <c r="E1817" s="4">
        <v>5</v>
      </c>
      <c r="F1817" s="8">
        <v>2.63</v>
      </c>
      <c r="G1817" s="4">
        <v>0</v>
      </c>
      <c r="H1817" s="8">
        <v>0</v>
      </c>
      <c r="I1817" s="4">
        <v>0</v>
      </c>
    </row>
    <row r="1818" spans="1:9" x14ac:dyDescent="0.2">
      <c r="A1818" s="2">
        <v>17</v>
      </c>
      <c r="B1818" s="1" t="s">
        <v>210</v>
      </c>
      <c r="C1818" s="4">
        <v>4</v>
      </c>
      <c r="D1818" s="8">
        <v>1.37</v>
      </c>
      <c r="E1818" s="4">
        <v>4</v>
      </c>
      <c r="F1818" s="8">
        <v>2.11</v>
      </c>
      <c r="G1818" s="4">
        <v>0</v>
      </c>
      <c r="H1818" s="8">
        <v>0</v>
      </c>
      <c r="I1818" s="4">
        <v>0</v>
      </c>
    </row>
    <row r="1819" spans="1:9" x14ac:dyDescent="0.2">
      <c r="A1819" s="2">
        <v>17</v>
      </c>
      <c r="B1819" s="1" t="s">
        <v>205</v>
      </c>
      <c r="C1819" s="4">
        <v>4</v>
      </c>
      <c r="D1819" s="8">
        <v>1.37</v>
      </c>
      <c r="E1819" s="4">
        <v>2</v>
      </c>
      <c r="F1819" s="8">
        <v>1.05</v>
      </c>
      <c r="G1819" s="4">
        <v>2</v>
      </c>
      <c r="H1819" s="8">
        <v>2.06</v>
      </c>
      <c r="I1819" s="4">
        <v>0</v>
      </c>
    </row>
    <row r="1820" spans="1:9" x14ac:dyDescent="0.2">
      <c r="A1820" s="2">
        <v>17</v>
      </c>
      <c r="B1820" s="1" t="s">
        <v>194</v>
      </c>
      <c r="C1820" s="4">
        <v>4</v>
      </c>
      <c r="D1820" s="8">
        <v>1.37</v>
      </c>
      <c r="E1820" s="4">
        <v>2</v>
      </c>
      <c r="F1820" s="8">
        <v>1.05</v>
      </c>
      <c r="G1820" s="4">
        <v>2</v>
      </c>
      <c r="H1820" s="8">
        <v>2.06</v>
      </c>
      <c r="I1820" s="4">
        <v>0</v>
      </c>
    </row>
    <row r="1821" spans="1:9" x14ac:dyDescent="0.2">
      <c r="A1821" s="2">
        <v>17</v>
      </c>
      <c r="B1821" s="1" t="s">
        <v>242</v>
      </c>
      <c r="C1821" s="4">
        <v>4</v>
      </c>
      <c r="D1821" s="8">
        <v>1.37</v>
      </c>
      <c r="E1821" s="4">
        <v>1</v>
      </c>
      <c r="F1821" s="8">
        <v>0.53</v>
      </c>
      <c r="G1821" s="4">
        <v>3</v>
      </c>
      <c r="H1821" s="8">
        <v>3.09</v>
      </c>
      <c r="I1821" s="4">
        <v>0</v>
      </c>
    </row>
    <row r="1822" spans="1:9" x14ac:dyDescent="0.2">
      <c r="A1822" s="2">
        <v>17</v>
      </c>
      <c r="B1822" s="1" t="s">
        <v>186</v>
      </c>
      <c r="C1822" s="4">
        <v>4</v>
      </c>
      <c r="D1822" s="8">
        <v>1.37</v>
      </c>
      <c r="E1822" s="4">
        <v>4</v>
      </c>
      <c r="F1822" s="8">
        <v>2.11</v>
      </c>
      <c r="G1822" s="4">
        <v>0</v>
      </c>
      <c r="H1822" s="8">
        <v>0</v>
      </c>
      <c r="I1822" s="4">
        <v>0</v>
      </c>
    </row>
    <row r="1823" spans="1:9" x14ac:dyDescent="0.2">
      <c r="A1823" s="2">
        <v>17</v>
      </c>
      <c r="B1823" s="1" t="s">
        <v>189</v>
      </c>
      <c r="C1823" s="4">
        <v>4</v>
      </c>
      <c r="D1823" s="8">
        <v>1.37</v>
      </c>
      <c r="E1823" s="4">
        <v>4</v>
      </c>
      <c r="F1823" s="8">
        <v>2.11</v>
      </c>
      <c r="G1823" s="4">
        <v>0</v>
      </c>
      <c r="H1823" s="8">
        <v>0</v>
      </c>
      <c r="I1823" s="4">
        <v>0</v>
      </c>
    </row>
    <row r="1824" spans="1:9" x14ac:dyDescent="0.2">
      <c r="A1824" s="1"/>
      <c r="C1824" s="4"/>
      <c r="D1824" s="8"/>
      <c r="E1824" s="4"/>
      <c r="F1824" s="8"/>
      <c r="G1824" s="4"/>
      <c r="H1824" s="8"/>
      <c r="I1824" s="4"/>
    </row>
    <row r="1825" spans="1:9" x14ac:dyDescent="0.2">
      <c r="A1825" s="1" t="s">
        <v>66</v>
      </c>
      <c r="C1825" s="4"/>
      <c r="D1825" s="8"/>
      <c r="E1825" s="4"/>
      <c r="F1825" s="8"/>
      <c r="G1825" s="4"/>
      <c r="H1825" s="8"/>
      <c r="I1825" s="4"/>
    </row>
    <row r="1826" spans="1:9" x14ac:dyDescent="0.2">
      <c r="A1826" s="2">
        <v>1</v>
      </c>
      <c r="B1826" s="1" t="s">
        <v>185</v>
      </c>
      <c r="C1826" s="4">
        <v>319</v>
      </c>
      <c r="D1826" s="8">
        <v>40.08</v>
      </c>
      <c r="E1826" s="4">
        <v>261</v>
      </c>
      <c r="F1826" s="8">
        <v>48.69</v>
      </c>
      <c r="G1826" s="4">
        <v>58</v>
      </c>
      <c r="H1826" s="8">
        <v>23.02</v>
      </c>
      <c r="I1826" s="4">
        <v>0</v>
      </c>
    </row>
    <row r="1827" spans="1:9" x14ac:dyDescent="0.2">
      <c r="A1827" s="2">
        <v>2</v>
      </c>
      <c r="B1827" s="1" t="s">
        <v>247</v>
      </c>
      <c r="C1827" s="4">
        <v>73</v>
      </c>
      <c r="D1827" s="8">
        <v>9.17</v>
      </c>
      <c r="E1827" s="4">
        <v>51</v>
      </c>
      <c r="F1827" s="8">
        <v>9.51</v>
      </c>
      <c r="G1827" s="4">
        <v>22</v>
      </c>
      <c r="H1827" s="8">
        <v>8.73</v>
      </c>
      <c r="I1827" s="4">
        <v>0</v>
      </c>
    </row>
    <row r="1828" spans="1:9" x14ac:dyDescent="0.2">
      <c r="A1828" s="2">
        <v>3</v>
      </c>
      <c r="B1828" s="1" t="s">
        <v>183</v>
      </c>
      <c r="C1828" s="4">
        <v>36</v>
      </c>
      <c r="D1828" s="8">
        <v>4.5199999999999996</v>
      </c>
      <c r="E1828" s="4">
        <v>27</v>
      </c>
      <c r="F1828" s="8">
        <v>5.04</v>
      </c>
      <c r="G1828" s="4">
        <v>9</v>
      </c>
      <c r="H1828" s="8">
        <v>3.57</v>
      </c>
      <c r="I1828" s="4">
        <v>0</v>
      </c>
    </row>
    <row r="1829" spans="1:9" x14ac:dyDescent="0.2">
      <c r="A1829" s="2">
        <v>4</v>
      </c>
      <c r="B1829" s="1" t="s">
        <v>187</v>
      </c>
      <c r="C1829" s="4">
        <v>29</v>
      </c>
      <c r="D1829" s="8">
        <v>3.64</v>
      </c>
      <c r="E1829" s="4">
        <v>19</v>
      </c>
      <c r="F1829" s="8">
        <v>3.54</v>
      </c>
      <c r="G1829" s="4">
        <v>10</v>
      </c>
      <c r="H1829" s="8">
        <v>3.97</v>
      </c>
      <c r="I1829" s="4">
        <v>0</v>
      </c>
    </row>
    <row r="1830" spans="1:9" x14ac:dyDescent="0.2">
      <c r="A1830" s="2">
        <v>5</v>
      </c>
      <c r="B1830" s="1" t="s">
        <v>188</v>
      </c>
      <c r="C1830" s="4">
        <v>22</v>
      </c>
      <c r="D1830" s="8">
        <v>2.76</v>
      </c>
      <c r="E1830" s="4">
        <v>20</v>
      </c>
      <c r="F1830" s="8">
        <v>3.73</v>
      </c>
      <c r="G1830" s="4">
        <v>2</v>
      </c>
      <c r="H1830" s="8">
        <v>0.79</v>
      </c>
      <c r="I1830" s="4">
        <v>0</v>
      </c>
    </row>
    <row r="1831" spans="1:9" x14ac:dyDescent="0.2">
      <c r="A1831" s="2">
        <v>6</v>
      </c>
      <c r="B1831" s="1" t="s">
        <v>186</v>
      </c>
      <c r="C1831" s="4">
        <v>17</v>
      </c>
      <c r="D1831" s="8">
        <v>2.14</v>
      </c>
      <c r="E1831" s="4">
        <v>15</v>
      </c>
      <c r="F1831" s="8">
        <v>2.8</v>
      </c>
      <c r="G1831" s="4">
        <v>2</v>
      </c>
      <c r="H1831" s="8">
        <v>0.79</v>
      </c>
      <c r="I1831" s="4">
        <v>0</v>
      </c>
    </row>
    <row r="1832" spans="1:9" x14ac:dyDescent="0.2">
      <c r="A1832" s="2">
        <v>7</v>
      </c>
      <c r="B1832" s="1" t="s">
        <v>198</v>
      </c>
      <c r="C1832" s="4">
        <v>13</v>
      </c>
      <c r="D1832" s="8">
        <v>1.63</v>
      </c>
      <c r="E1832" s="4">
        <v>11</v>
      </c>
      <c r="F1832" s="8">
        <v>2.0499999999999998</v>
      </c>
      <c r="G1832" s="4">
        <v>2</v>
      </c>
      <c r="H1832" s="8">
        <v>0.79</v>
      </c>
      <c r="I1832" s="4">
        <v>0</v>
      </c>
    </row>
    <row r="1833" spans="1:9" x14ac:dyDescent="0.2">
      <c r="A1833" s="2">
        <v>7</v>
      </c>
      <c r="B1833" s="1" t="s">
        <v>191</v>
      </c>
      <c r="C1833" s="4">
        <v>13</v>
      </c>
      <c r="D1833" s="8">
        <v>1.63</v>
      </c>
      <c r="E1833" s="4">
        <v>12</v>
      </c>
      <c r="F1833" s="8">
        <v>2.2400000000000002</v>
      </c>
      <c r="G1833" s="4">
        <v>1</v>
      </c>
      <c r="H1833" s="8">
        <v>0.4</v>
      </c>
      <c r="I1833" s="4">
        <v>0</v>
      </c>
    </row>
    <row r="1834" spans="1:9" x14ac:dyDescent="0.2">
      <c r="A1834" s="2">
        <v>9</v>
      </c>
      <c r="B1834" s="1" t="s">
        <v>282</v>
      </c>
      <c r="C1834" s="4">
        <v>12</v>
      </c>
      <c r="D1834" s="8">
        <v>1.51</v>
      </c>
      <c r="E1834" s="4">
        <v>5</v>
      </c>
      <c r="F1834" s="8">
        <v>0.93</v>
      </c>
      <c r="G1834" s="4">
        <v>7</v>
      </c>
      <c r="H1834" s="8">
        <v>2.78</v>
      </c>
      <c r="I1834" s="4">
        <v>0</v>
      </c>
    </row>
    <row r="1835" spans="1:9" x14ac:dyDescent="0.2">
      <c r="A1835" s="2">
        <v>10</v>
      </c>
      <c r="B1835" s="1" t="s">
        <v>175</v>
      </c>
      <c r="C1835" s="4">
        <v>10</v>
      </c>
      <c r="D1835" s="8">
        <v>1.26</v>
      </c>
      <c r="E1835" s="4">
        <v>2</v>
      </c>
      <c r="F1835" s="8">
        <v>0.37</v>
      </c>
      <c r="G1835" s="4">
        <v>8</v>
      </c>
      <c r="H1835" s="8">
        <v>3.17</v>
      </c>
      <c r="I1835" s="4">
        <v>0</v>
      </c>
    </row>
    <row r="1836" spans="1:9" x14ac:dyDescent="0.2">
      <c r="A1836" s="2">
        <v>11</v>
      </c>
      <c r="B1836" s="1" t="s">
        <v>197</v>
      </c>
      <c r="C1836" s="4">
        <v>9</v>
      </c>
      <c r="D1836" s="8">
        <v>1.1299999999999999</v>
      </c>
      <c r="E1836" s="4">
        <v>7</v>
      </c>
      <c r="F1836" s="8">
        <v>1.31</v>
      </c>
      <c r="G1836" s="4">
        <v>2</v>
      </c>
      <c r="H1836" s="8">
        <v>0.79</v>
      </c>
      <c r="I1836" s="4">
        <v>0</v>
      </c>
    </row>
    <row r="1837" spans="1:9" x14ac:dyDescent="0.2">
      <c r="A1837" s="2">
        <v>11</v>
      </c>
      <c r="B1837" s="1" t="s">
        <v>181</v>
      </c>
      <c r="C1837" s="4">
        <v>9</v>
      </c>
      <c r="D1837" s="8">
        <v>1.1299999999999999</v>
      </c>
      <c r="E1837" s="4">
        <v>4</v>
      </c>
      <c r="F1837" s="8">
        <v>0.75</v>
      </c>
      <c r="G1837" s="4">
        <v>5</v>
      </c>
      <c r="H1837" s="8">
        <v>1.98</v>
      </c>
      <c r="I1837" s="4">
        <v>0</v>
      </c>
    </row>
    <row r="1838" spans="1:9" x14ac:dyDescent="0.2">
      <c r="A1838" s="2">
        <v>11</v>
      </c>
      <c r="B1838" s="1" t="s">
        <v>220</v>
      </c>
      <c r="C1838" s="4">
        <v>9</v>
      </c>
      <c r="D1838" s="8">
        <v>1.1299999999999999</v>
      </c>
      <c r="E1838" s="4">
        <v>9</v>
      </c>
      <c r="F1838" s="8">
        <v>1.68</v>
      </c>
      <c r="G1838" s="4">
        <v>0</v>
      </c>
      <c r="H1838" s="8">
        <v>0</v>
      </c>
      <c r="I1838" s="4">
        <v>0</v>
      </c>
    </row>
    <row r="1839" spans="1:9" x14ac:dyDescent="0.2">
      <c r="A1839" s="2">
        <v>14</v>
      </c>
      <c r="B1839" s="1" t="s">
        <v>192</v>
      </c>
      <c r="C1839" s="4">
        <v>8</v>
      </c>
      <c r="D1839" s="8">
        <v>1.01</v>
      </c>
      <c r="E1839" s="4">
        <v>2</v>
      </c>
      <c r="F1839" s="8">
        <v>0.37</v>
      </c>
      <c r="G1839" s="4">
        <v>6</v>
      </c>
      <c r="H1839" s="8">
        <v>2.38</v>
      </c>
      <c r="I1839" s="4">
        <v>0</v>
      </c>
    </row>
    <row r="1840" spans="1:9" x14ac:dyDescent="0.2">
      <c r="A1840" s="2">
        <v>15</v>
      </c>
      <c r="B1840" s="1" t="s">
        <v>174</v>
      </c>
      <c r="C1840" s="4">
        <v>7</v>
      </c>
      <c r="D1840" s="8">
        <v>0.88</v>
      </c>
      <c r="E1840" s="4">
        <v>0</v>
      </c>
      <c r="F1840" s="8">
        <v>0</v>
      </c>
      <c r="G1840" s="4">
        <v>7</v>
      </c>
      <c r="H1840" s="8">
        <v>2.78</v>
      </c>
      <c r="I1840" s="4">
        <v>0</v>
      </c>
    </row>
    <row r="1841" spans="1:9" x14ac:dyDescent="0.2">
      <c r="A1841" s="2">
        <v>15</v>
      </c>
      <c r="B1841" s="1" t="s">
        <v>178</v>
      </c>
      <c r="C1841" s="4">
        <v>7</v>
      </c>
      <c r="D1841" s="8">
        <v>0.88</v>
      </c>
      <c r="E1841" s="4">
        <v>2</v>
      </c>
      <c r="F1841" s="8">
        <v>0.37</v>
      </c>
      <c r="G1841" s="4">
        <v>5</v>
      </c>
      <c r="H1841" s="8">
        <v>1.98</v>
      </c>
      <c r="I1841" s="4">
        <v>0</v>
      </c>
    </row>
    <row r="1842" spans="1:9" x14ac:dyDescent="0.2">
      <c r="A1842" s="2">
        <v>15</v>
      </c>
      <c r="B1842" s="1" t="s">
        <v>214</v>
      </c>
      <c r="C1842" s="4">
        <v>7</v>
      </c>
      <c r="D1842" s="8">
        <v>0.88</v>
      </c>
      <c r="E1842" s="4">
        <v>2</v>
      </c>
      <c r="F1842" s="8">
        <v>0.37</v>
      </c>
      <c r="G1842" s="4">
        <v>5</v>
      </c>
      <c r="H1842" s="8">
        <v>1.98</v>
      </c>
      <c r="I1842" s="4">
        <v>0</v>
      </c>
    </row>
    <row r="1843" spans="1:9" x14ac:dyDescent="0.2">
      <c r="A1843" s="2">
        <v>15</v>
      </c>
      <c r="B1843" s="1" t="s">
        <v>193</v>
      </c>
      <c r="C1843" s="4">
        <v>7</v>
      </c>
      <c r="D1843" s="8">
        <v>0.88</v>
      </c>
      <c r="E1843" s="4">
        <v>7</v>
      </c>
      <c r="F1843" s="8">
        <v>1.31</v>
      </c>
      <c r="G1843" s="4">
        <v>0</v>
      </c>
      <c r="H1843" s="8">
        <v>0</v>
      </c>
      <c r="I1843" s="4">
        <v>0</v>
      </c>
    </row>
    <row r="1844" spans="1:9" x14ac:dyDescent="0.2">
      <c r="A1844" s="2">
        <v>19</v>
      </c>
      <c r="B1844" s="1" t="s">
        <v>176</v>
      </c>
      <c r="C1844" s="4">
        <v>6</v>
      </c>
      <c r="D1844" s="8">
        <v>0.75</v>
      </c>
      <c r="E1844" s="4">
        <v>4</v>
      </c>
      <c r="F1844" s="8">
        <v>0.75</v>
      </c>
      <c r="G1844" s="4">
        <v>2</v>
      </c>
      <c r="H1844" s="8">
        <v>0.79</v>
      </c>
      <c r="I1844" s="4">
        <v>0</v>
      </c>
    </row>
    <row r="1845" spans="1:9" x14ac:dyDescent="0.2">
      <c r="A1845" s="2">
        <v>19</v>
      </c>
      <c r="B1845" s="1" t="s">
        <v>177</v>
      </c>
      <c r="C1845" s="4">
        <v>6</v>
      </c>
      <c r="D1845" s="8">
        <v>0.75</v>
      </c>
      <c r="E1845" s="4">
        <v>3</v>
      </c>
      <c r="F1845" s="8">
        <v>0.56000000000000005</v>
      </c>
      <c r="G1845" s="4">
        <v>3</v>
      </c>
      <c r="H1845" s="8">
        <v>1.19</v>
      </c>
      <c r="I1845" s="4">
        <v>0</v>
      </c>
    </row>
    <row r="1846" spans="1:9" x14ac:dyDescent="0.2">
      <c r="A1846" s="2">
        <v>19</v>
      </c>
      <c r="B1846" s="1" t="s">
        <v>322</v>
      </c>
      <c r="C1846" s="4">
        <v>6</v>
      </c>
      <c r="D1846" s="8">
        <v>0.75</v>
      </c>
      <c r="E1846" s="4">
        <v>3</v>
      </c>
      <c r="F1846" s="8">
        <v>0.56000000000000005</v>
      </c>
      <c r="G1846" s="4">
        <v>3</v>
      </c>
      <c r="H1846" s="8">
        <v>1.19</v>
      </c>
      <c r="I1846" s="4">
        <v>0</v>
      </c>
    </row>
    <row r="1847" spans="1:9" x14ac:dyDescent="0.2">
      <c r="A1847" s="2">
        <v>19</v>
      </c>
      <c r="B1847" s="1" t="s">
        <v>184</v>
      </c>
      <c r="C1847" s="4">
        <v>6</v>
      </c>
      <c r="D1847" s="8">
        <v>0.75</v>
      </c>
      <c r="E1847" s="4">
        <v>2</v>
      </c>
      <c r="F1847" s="8">
        <v>0.37</v>
      </c>
      <c r="G1847" s="4">
        <v>2</v>
      </c>
      <c r="H1847" s="8">
        <v>0.79</v>
      </c>
      <c r="I1847" s="4">
        <v>0</v>
      </c>
    </row>
    <row r="1848" spans="1:9" x14ac:dyDescent="0.2">
      <c r="A1848" s="2">
        <v>19</v>
      </c>
      <c r="B1848" s="1" t="s">
        <v>189</v>
      </c>
      <c r="C1848" s="4">
        <v>6</v>
      </c>
      <c r="D1848" s="8">
        <v>0.75</v>
      </c>
      <c r="E1848" s="4">
        <v>5</v>
      </c>
      <c r="F1848" s="8">
        <v>0.93</v>
      </c>
      <c r="G1848" s="4">
        <v>1</v>
      </c>
      <c r="H1848" s="8">
        <v>0.4</v>
      </c>
      <c r="I1848" s="4">
        <v>0</v>
      </c>
    </row>
    <row r="1849" spans="1:9" x14ac:dyDescent="0.2">
      <c r="A1849" s="2">
        <v>19</v>
      </c>
      <c r="B1849" s="1" t="s">
        <v>190</v>
      </c>
      <c r="C1849" s="4">
        <v>6</v>
      </c>
      <c r="D1849" s="8">
        <v>0.75</v>
      </c>
      <c r="E1849" s="4">
        <v>6</v>
      </c>
      <c r="F1849" s="8">
        <v>1.1200000000000001</v>
      </c>
      <c r="G1849" s="4">
        <v>0</v>
      </c>
      <c r="H1849" s="8">
        <v>0</v>
      </c>
      <c r="I1849" s="4">
        <v>0</v>
      </c>
    </row>
    <row r="1850" spans="1:9" x14ac:dyDescent="0.2">
      <c r="A1850" s="1"/>
      <c r="C1850" s="4"/>
      <c r="D1850" s="8"/>
      <c r="E1850" s="4"/>
      <c r="F1850" s="8"/>
      <c r="G1850" s="4"/>
      <c r="H1850" s="8"/>
      <c r="I1850" s="4"/>
    </row>
    <row r="1851" spans="1:9" x14ac:dyDescent="0.2">
      <c r="A1851" s="1" t="s">
        <v>67</v>
      </c>
      <c r="C1851" s="4"/>
      <c r="D1851" s="8"/>
      <c r="E1851" s="4"/>
      <c r="F1851" s="8"/>
      <c r="G1851" s="4"/>
      <c r="H1851" s="8"/>
      <c r="I1851" s="4"/>
    </row>
    <row r="1852" spans="1:9" x14ac:dyDescent="0.2">
      <c r="A1852" s="2">
        <v>1</v>
      </c>
      <c r="B1852" s="1" t="s">
        <v>185</v>
      </c>
      <c r="C1852" s="4">
        <v>84</v>
      </c>
      <c r="D1852" s="8">
        <v>37.67</v>
      </c>
      <c r="E1852" s="4">
        <v>65</v>
      </c>
      <c r="F1852" s="8">
        <v>44.22</v>
      </c>
      <c r="G1852" s="4">
        <v>18</v>
      </c>
      <c r="H1852" s="8">
        <v>26.09</v>
      </c>
      <c r="I1852" s="4">
        <v>1</v>
      </c>
    </row>
    <row r="1853" spans="1:9" x14ac:dyDescent="0.2">
      <c r="A1853" s="2">
        <v>2</v>
      </c>
      <c r="B1853" s="1" t="s">
        <v>247</v>
      </c>
      <c r="C1853" s="4">
        <v>17</v>
      </c>
      <c r="D1853" s="8">
        <v>7.62</v>
      </c>
      <c r="E1853" s="4">
        <v>14</v>
      </c>
      <c r="F1853" s="8">
        <v>9.52</v>
      </c>
      <c r="G1853" s="4">
        <v>3</v>
      </c>
      <c r="H1853" s="8">
        <v>4.3499999999999996</v>
      </c>
      <c r="I1853" s="4">
        <v>0</v>
      </c>
    </row>
    <row r="1854" spans="1:9" x14ac:dyDescent="0.2">
      <c r="A1854" s="2">
        <v>3</v>
      </c>
      <c r="B1854" s="1" t="s">
        <v>186</v>
      </c>
      <c r="C1854" s="4">
        <v>7</v>
      </c>
      <c r="D1854" s="8">
        <v>3.14</v>
      </c>
      <c r="E1854" s="4">
        <v>5</v>
      </c>
      <c r="F1854" s="8">
        <v>3.4</v>
      </c>
      <c r="G1854" s="4">
        <v>2</v>
      </c>
      <c r="H1854" s="8">
        <v>2.9</v>
      </c>
      <c r="I1854" s="4">
        <v>0</v>
      </c>
    </row>
    <row r="1855" spans="1:9" x14ac:dyDescent="0.2">
      <c r="A1855" s="2">
        <v>4</v>
      </c>
      <c r="B1855" s="1" t="s">
        <v>179</v>
      </c>
      <c r="C1855" s="4">
        <v>6</v>
      </c>
      <c r="D1855" s="8">
        <v>2.69</v>
      </c>
      <c r="E1855" s="4">
        <v>4</v>
      </c>
      <c r="F1855" s="8">
        <v>2.72</v>
      </c>
      <c r="G1855" s="4">
        <v>2</v>
      </c>
      <c r="H1855" s="8">
        <v>2.9</v>
      </c>
      <c r="I1855" s="4">
        <v>0</v>
      </c>
    </row>
    <row r="1856" spans="1:9" x14ac:dyDescent="0.2">
      <c r="A1856" s="2">
        <v>5</v>
      </c>
      <c r="B1856" s="1" t="s">
        <v>174</v>
      </c>
      <c r="C1856" s="4">
        <v>5</v>
      </c>
      <c r="D1856" s="8">
        <v>2.2400000000000002</v>
      </c>
      <c r="E1856" s="4">
        <v>0</v>
      </c>
      <c r="F1856" s="8">
        <v>0</v>
      </c>
      <c r="G1856" s="4">
        <v>5</v>
      </c>
      <c r="H1856" s="8">
        <v>7.25</v>
      </c>
      <c r="I1856" s="4">
        <v>0</v>
      </c>
    </row>
    <row r="1857" spans="1:9" x14ac:dyDescent="0.2">
      <c r="A1857" s="2">
        <v>5</v>
      </c>
      <c r="B1857" s="1" t="s">
        <v>176</v>
      </c>
      <c r="C1857" s="4">
        <v>5</v>
      </c>
      <c r="D1857" s="8">
        <v>2.2400000000000002</v>
      </c>
      <c r="E1857" s="4">
        <v>4</v>
      </c>
      <c r="F1857" s="8">
        <v>2.72</v>
      </c>
      <c r="G1857" s="4">
        <v>1</v>
      </c>
      <c r="H1857" s="8">
        <v>1.45</v>
      </c>
      <c r="I1857" s="4">
        <v>0</v>
      </c>
    </row>
    <row r="1858" spans="1:9" x14ac:dyDescent="0.2">
      <c r="A1858" s="2">
        <v>5</v>
      </c>
      <c r="B1858" s="1" t="s">
        <v>197</v>
      </c>
      <c r="C1858" s="4">
        <v>5</v>
      </c>
      <c r="D1858" s="8">
        <v>2.2400000000000002</v>
      </c>
      <c r="E1858" s="4">
        <v>2</v>
      </c>
      <c r="F1858" s="8">
        <v>1.36</v>
      </c>
      <c r="G1858" s="4">
        <v>2</v>
      </c>
      <c r="H1858" s="8">
        <v>2.9</v>
      </c>
      <c r="I1858" s="4">
        <v>1</v>
      </c>
    </row>
    <row r="1859" spans="1:9" x14ac:dyDescent="0.2">
      <c r="A1859" s="2">
        <v>5</v>
      </c>
      <c r="B1859" s="1" t="s">
        <v>234</v>
      </c>
      <c r="C1859" s="4">
        <v>5</v>
      </c>
      <c r="D1859" s="8">
        <v>2.2400000000000002</v>
      </c>
      <c r="E1859" s="4">
        <v>2</v>
      </c>
      <c r="F1859" s="8">
        <v>1.36</v>
      </c>
      <c r="G1859" s="4">
        <v>3</v>
      </c>
      <c r="H1859" s="8">
        <v>4.3499999999999996</v>
      </c>
      <c r="I1859" s="4">
        <v>0</v>
      </c>
    </row>
    <row r="1860" spans="1:9" x14ac:dyDescent="0.2">
      <c r="A1860" s="2">
        <v>5</v>
      </c>
      <c r="B1860" s="1" t="s">
        <v>191</v>
      </c>
      <c r="C1860" s="4">
        <v>5</v>
      </c>
      <c r="D1860" s="8">
        <v>2.2400000000000002</v>
      </c>
      <c r="E1860" s="4">
        <v>5</v>
      </c>
      <c r="F1860" s="8">
        <v>3.4</v>
      </c>
      <c r="G1860" s="4">
        <v>0</v>
      </c>
      <c r="H1860" s="8">
        <v>0</v>
      </c>
      <c r="I1860" s="4">
        <v>0</v>
      </c>
    </row>
    <row r="1861" spans="1:9" x14ac:dyDescent="0.2">
      <c r="A1861" s="2">
        <v>10</v>
      </c>
      <c r="B1861" s="1" t="s">
        <v>187</v>
      </c>
      <c r="C1861" s="4">
        <v>4</v>
      </c>
      <c r="D1861" s="8">
        <v>1.79</v>
      </c>
      <c r="E1861" s="4">
        <v>4</v>
      </c>
      <c r="F1861" s="8">
        <v>2.72</v>
      </c>
      <c r="G1861" s="4">
        <v>0</v>
      </c>
      <c r="H1861" s="8">
        <v>0</v>
      </c>
      <c r="I1861" s="4">
        <v>0</v>
      </c>
    </row>
    <row r="1862" spans="1:9" x14ac:dyDescent="0.2">
      <c r="A1862" s="2">
        <v>11</v>
      </c>
      <c r="B1862" s="1" t="s">
        <v>224</v>
      </c>
      <c r="C1862" s="4">
        <v>3</v>
      </c>
      <c r="D1862" s="8">
        <v>1.35</v>
      </c>
      <c r="E1862" s="4">
        <v>2</v>
      </c>
      <c r="F1862" s="8">
        <v>1.36</v>
      </c>
      <c r="G1862" s="4">
        <v>1</v>
      </c>
      <c r="H1862" s="8">
        <v>1.45</v>
      </c>
      <c r="I1862" s="4">
        <v>0</v>
      </c>
    </row>
    <row r="1863" spans="1:9" x14ac:dyDescent="0.2">
      <c r="A1863" s="2">
        <v>11</v>
      </c>
      <c r="B1863" s="1" t="s">
        <v>177</v>
      </c>
      <c r="C1863" s="4">
        <v>3</v>
      </c>
      <c r="D1863" s="8">
        <v>1.35</v>
      </c>
      <c r="E1863" s="4">
        <v>2</v>
      </c>
      <c r="F1863" s="8">
        <v>1.36</v>
      </c>
      <c r="G1863" s="4">
        <v>1</v>
      </c>
      <c r="H1863" s="8">
        <v>1.45</v>
      </c>
      <c r="I1863" s="4">
        <v>0</v>
      </c>
    </row>
    <row r="1864" spans="1:9" x14ac:dyDescent="0.2">
      <c r="A1864" s="2">
        <v>11</v>
      </c>
      <c r="B1864" s="1" t="s">
        <v>214</v>
      </c>
      <c r="C1864" s="4">
        <v>3</v>
      </c>
      <c r="D1864" s="8">
        <v>1.35</v>
      </c>
      <c r="E1864" s="4">
        <v>2</v>
      </c>
      <c r="F1864" s="8">
        <v>1.36</v>
      </c>
      <c r="G1864" s="4">
        <v>1</v>
      </c>
      <c r="H1864" s="8">
        <v>1.45</v>
      </c>
      <c r="I1864" s="4">
        <v>0</v>
      </c>
    </row>
    <row r="1865" spans="1:9" x14ac:dyDescent="0.2">
      <c r="A1865" s="2">
        <v>11</v>
      </c>
      <c r="B1865" s="1" t="s">
        <v>181</v>
      </c>
      <c r="C1865" s="4">
        <v>3</v>
      </c>
      <c r="D1865" s="8">
        <v>1.35</v>
      </c>
      <c r="E1865" s="4">
        <v>1</v>
      </c>
      <c r="F1865" s="8">
        <v>0.68</v>
      </c>
      <c r="G1865" s="4">
        <v>2</v>
      </c>
      <c r="H1865" s="8">
        <v>2.9</v>
      </c>
      <c r="I1865" s="4">
        <v>0</v>
      </c>
    </row>
    <row r="1866" spans="1:9" x14ac:dyDescent="0.2">
      <c r="A1866" s="2">
        <v>11</v>
      </c>
      <c r="B1866" s="1" t="s">
        <v>220</v>
      </c>
      <c r="C1866" s="4">
        <v>3</v>
      </c>
      <c r="D1866" s="8">
        <v>1.35</v>
      </c>
      <c r="E1866" s="4">
        <v>3</v>
      </c>
      <c r="F1866" s="8">
        <v>2.04</v>
      </c>
      <c r="G1866" s="4">
        <v>0</v>
      </c>
      <c r="H1866" s="8">
        <v>0</v>
      </c>
      <c r="I1866" s="4">
        <v>0</v>
      </c>
    </row>
    <row r="1867" spans="1:9" x14ac:dyDescent="0.2">
      <c r="A1867" s="2">
        <v>11</v>
      </c>
      <c r="B1867" s="1" t="s">
        <v>223</v>
      </c>
      <c r="C1867" s="4">
        <v>3</v>
      </c>
      <c r="D1867" s="8">
        <v>1.35</v>
      </c>
      <c r="E1867" s="4">
        <v>0</v>
      </c>
      <c r="F1867" s="8">
        <v>0</v>
      </c>
      <c r="G1867" s="4">
        <v>0</v>
      </c>
      <c r="H1867" s="8">
        <v>0</v>
      </c>
      <c r="I1867" s="4">
        <v>0</v>
      </c>
    </row>
    <row r="1868" spans="1:9" x14ac:dyDescent="0.2">
      <c r="A1868" s="2">
        <v>11</v>
      </c>
      <c r="B1868" s="1" t="s">
        <v>192</v>
      </c>
      <c r="C1868" s="4">
        <v>3</v>
      </c>
      <c r="D1868" s="8">
        <v>1.35</v>
      </c>
      <c r="E1868" s="4">
        <v>1</v>
      </c>
      <c r="F1868" s="8">
        <v>0.68</v>
      </c>
      <c r="G1868" s="4">
        <v>2</v>
      </c>
      <c r="H1868" s="8">
        <v>2.9</v>
      </c>
      <c r="I1868" s="4">
        <v>0</v>
      </c>
    </row>
    <row r="1869" spans="1:9" x14ac:dyDescent="0.2">
      <c r="A1869" s="2">
        <v>18</v>
      </c>
      <c r="B1869" s="1" t="s">
        <v>218</v>
      </c>
      <c r="C1869" s="4">
        <v>2</v>
      </c>
      <c r="D1869" s="8">
        <v>0.9</v>
      </c>
      <c r="E1869" s="4">
        <v>2</v>
      </c>
      <c r="F1869" s="8">
        <v>1.36</v>
      </c>
      <c r="G1869" s="4">
        <v>0</v>
      </c>
      <c r="H1869" s="8">
        <v>0</v>
      </c>
      <c r="I1869" s="4">
        <v>0</v>
      </c>
    </row>
    <row r="1870" spans="1:9" x14ac:dyDescent="0.2">
      <c r="A1870" s="2">
        <v>18</v>
      </c>
      <c r="B1870" s="1" t="s">
        <v>178</v>
      </c>
      <c r="C1870" s="4">
        <v>2</v>
      </c>
      <c r="D1870" s="8">
        <v>0.9</v>
      </c>
      <c r="E1870" s="4">
        <v>2</v>
      </c>
      <c r="F1870" s="8">
        <v>1.36</v>
      </c>
      <c r="G1870" s="4">
        <v>0</v>
      </c>
      <c r="H1870" s="8">
        <v>0</v>
      </c>
      <c r="I1870" s="4">
        <v>0</v>
      </c>
    </row>
    <row r="1871" spans="1:9" x14ac:dyDescent="0.2">
      <c r="A1871" s="2">
        <v>18</v>
      </c>
      <c r="B1871" s="1" t="s">
        <v>180</v>
      </c>
      <c r="C1871" s="4">
        <v>2</v>
      </c>
      <c r="D1871" s="8">
        <v>0.9</v>
      </c>
      <c r="E1871" s="4">
        <v>1</v>
      </c>
      <c r="F1871" s="8">
        <v>0.68</v>
      </c>
      <c r="G1871" s="4">
        <v>1</v>
      </c>
      <c r="H1871" s="8">
        <v>1.45</v>
      </c>
      <c r="I1871" s="4">
        <v>0</v>
      </c>
    </row>
    <row r="1872" spans="1:9" x14ac:dyDescent="0.2">
      <c r="A1872" s="2">
        <v>18</v>
      </c>
      <c r="B1872" s="1" t="s">
        <v>347</v>
      </c>
      <c r="C1872" s="4">
        <v>2</v>
      </c>
      <c r="D1872" s="8">
        <v>0.9</v>
      </c>
      <c r="E1872" s="4">
        <v>2</v>
      </c>
      <c r="F1872" s="8">
        <v>1.36</v>
      </c>
      <c r="G1872" s="4">
        <v>0</v>
      </c>
      <c r="H1872" s="8">
        <v>0</v>
      </c>
      <c r="I1872" s="4">
        <v>0</v>
      </c>
    </row>
    <row r="1873" spans="1:9" x14ac:dyDescent="0.2">
      <c r="A1873" s="2">
        <v>18</v>
      </c>
      <c r="B1873" s="1" t="s">
        <v>282</v>
      </c>
      <c r="C1873" s="4">
        <v>2</v>
      </c>
      <c r="D1873" s="8">
        <v>0.9</v>
      </c>
      <c r="E1873" s="4">
        <v>1</v>
      </c>
      <c r="F1873" s="8">
        <v>0.68</v>
      </c>
      <c r="G1873" s="4">
        <v>1</v>
      </c>
      <c r="H1873" s="8">
        <v>1.45</v>
      </c>
      <c r="I1873" s="4">
        <v>0</v>
      </c>
    </row>
    <row r="1874" spans="1:9" x14ac:dyDescent="0.2">
      <c r="A1874" s="2">
        <v>18</v>
      </c>
      <c r="B1874" s="1" t="s">
        <v>183</v>
      </c>
      <c r="C1874" s="4">
        <v>2</v>
      </c>
      <c r="D1874" s="8">
        <v>0.9</v>
      </c>
      <c r="E1874" s="4">
        <v>1</v>
      </c>
      <c r="F1874" s="8">
        <v>0.68</v>
      </c>
      <c r="G1874" s="4">
        <v>1</v>
      </c>
      <c r="H1874" s="8">
        <v>1.45</v>
      </c>
      <c r="I1874" s="4">
        <v>0</v>
      </c>
    </row>
    <row r="1875" spans="1:9" x14ac:dyDescent="0.2">
      <c r="A1875" s="2">
        <v>18</v>
      </c>
      <c r="B1875" s="1" t="s">
        <v>322</v>
      </c>
      <c r="C1875" s="4">
        <v>2</v>
      </c>
      <c r="D1875" s="8">
        <v>0.9</v>
      </c>
      <c r="E1875" s="4">
        <v>1</v>
      </c>
      <c r="F1875" s="8">
        <v>0.68</v>
      </c>
      <c r="G1875" s="4">
        <v>1</v>
      </c>
      <c r="H1875" s="8">
        <v>1.45</v>
      </c>
      <c r="I1875" s="4">
        <v>0</v>
      </c>
    </row>
    <row r="1876" spans="1:9" x14ac:dyDescent="0.2">
      <c r="A1876" s="2">
        <v>18</v>
      </c>
      <c r="B1876" s="1" t="s">
        <v>198</v>
      </c>
      <c r="C1876" s="4">
        <v>2</v>
      </c>
      <c r="D1876" s="8">
        <v>0.9</v>
      </c>
      <c r="E1876" s="4">
        <v>1</v>
      </c>
      <c r="F1876" s="8">
        <v>0.68</v>
      </c>
      <c r="G1876" s="4">
        <v>1</v>
      </c>
      <c r="H1876" s="8">
        <v>1.45</v>
      </c>
      <c r="I1876" s="4">
        <v>0</v>
      </c>
    </row>
    <row r="1877" spans="1:9" x14ac:dyDescent="0.2">
      <c r="A1877" s="2">
        <v>18</v>
      </c>
      <c r="B1877" s="1" t="s">
        <v>199</v>
      </c>
      <c r="C1877" s="4">
        <v>2</v>
      </c>
      <c r="D1877" s="8">
        <v>0.9</v>
      </c>
      <c r="E1877" s="4">
        <v>1</v>
      </c>
      <c r="F1877" s="8">
        <v>0.68</v>
      </c>
      <c r="G1877" s="4">
        <v>1</v>
      </c>
      <c r="H1877" s="8">
        <v>1.45</v>
      </c>
      <c r="I1877" s="4">
        <v>0</v>
      </c>
    </row>
    <row r="1878" spans="1:9" x14ac:dyDescent="0.2">
      <c r="A1878" s="2">
        <v>18</v>
      </c>
      <c r="B1878" s="1" t="s">
        <v>190</v>
      </c>
      <c r="C1878" s="4">
        <v>2</v>
      </c>
      <c r="D1878" s="8">
        <v>0.9</v>
      </c>
      <c r="E1878" s="4">
        <v>2</v>
      </c>
      <c r="F1878" s="8">
        <v>1.36</v>
      </c>
      <c r="G1878" s="4">
        <v>0</v>
      </c>
      <c r="H1878" s="8">
        <v>0</v>
      </c>
      <c r="I1878" s="4">
        <v>0</v>
      </c>
    </row>
    <row r="1879" spans="1:9" x14ac:dyDescent="0.2">
      <c r="A1879" s="2">
        <v>18</v>
      </c>
      <c r="B1879" s="1" t="s">
        <v>257</v>
      </c>
      <c r="C1879" s="4">
        <v>2</v>
      </c>
      <c r="D1879" s="8">
        <v>0.9</v>
      </c>
      <c r="E1879" s="4">
        <v>1</v>
      </c>
      <c r="F1879" s="8">
        <v>0.68</v>
      </c>
      <c r="G1879" s="4">
        <v>1</v>
      </c>
      <c r="H1879" s="8">
        <v>1.45</v>
      </c>
      <c r="I1879" s="4">
        <v>0</v>
      </c>
    </row>
    <row r="1880" spans="1:9" x14ac:dyDescent="0.2">
      <c r="A1880" s="2">
        <v>18</v>
      </c>
      <c r="B1880" s="1" t="s">
        <v>228</v>
      </c>
      <c r="C1880" s="4">
        <v>2</v>
      </c>
      <c r="D1880" s="8">
        <v>0.9</v>
      </c>
      <c r="E1880" s="4">
        <v>1</v>
      </c>
      <c r="F1880" s="8">
        <v>0.68</v>
      </c>
      <c r="G1880" s="4">
        <v>1</v>
      </c>
      <c r="H1880" s="8">
        <v>1.45</v>
      </c>
      <c r="I1880" s="4">
        <v>0</v>
      </c>
    </row>
    <row r="1881" spans="1:9" x14ac:dyDescent="0.2">
      <c r="A1881" s="2">
        <v>18</v>
      </c>
      <c r="B1881" s="1" t="s">
        <v>193</v>
      </c>
      <c r="C1881" s="4">
        <v>2</v>
      </c>
      <c r="D1881" s="8">
        <v>0.9</v>
      </c>
      <c r="E1881" s="4">
        <v>2</v>
      </c>
      <c r="F1881" s="8">
        <v>1.36</v>
      </c>
      <c r="G1881" s="4">
        <v>0</v>
      </c>
      <c r="H1881" s="8">
        <v>0</v>
      </c>
      <c r="I1881" s="4">
        <v>0</v>
      </c>
    </row>
    <row r="1882" spans="1:9" x14ac:dyDescent="0.2">
      <c r="A1882" s="2">
        <v>18</v>
      </c>
      <c r="B1882" s="1" t="s">
        <v>290</v>
      </c>
      <c r="C1882" s="4">
        <v>2</v>
      </c>
      <c r="D1882" s="8">
        <v>0.9</v>
      </c>
      <c r="E1882" s="4">
        <v>0</v>
      </c>
      <c r="F1882" s="8">
        <v>0</v>
      </c>
      <c r="G1882" s="4">
        <v>1</v>
      </c>
      <c r="H1882" s="8">
        <v>1.45</v>
      </c>
      <c r="I1882" s="4">
        <v>0</v>
      </c>
    </row>
    <row r="1883" spans="1:9" x14ac:dyDescent="0.2">
      <c r="A1883" s="1"/>
      <c r="C1883" s="4"/>
      <c r="D1883" s="8"/>
      <c r="E1883" s="4"/>
      <c r="F1883" s="8"/>
      <c r="G1883" s="4"/>
      <c r="H1883" s="8"/>
      <c r="I1883" s="4"/>
    </row>
    <row r="1884" spans="1:9" x14ac:dyDescent="0.2">
      <c r="A1884" s="1" t="s">
        <v>68</v>
      </c>
      <c r="C1884" s="4"/>
      <c r="D1884" s="8"/>
      <c r="E1884" s="4"/>
      <c r="F1884" s="8"/>
      <c r="G1884" s="4"/>
      <c r="H1884" s="8"/>
      <c r="I1884" s="4"/>
    </row>
    <row r="1885" spans="1:9" x14ac:dyDescent="0.2">
      <c r="A1885" s="2">
        <v>1</v>
      </c>
      <c r="B1885" s="1" t="s">
        <v>191</v>
      </c>
      <c r="C1885" s="4">
        <v>19</v>
      </c>
      <c r="D1885" s="8">
        <v>4.67</v>
      </c>
      <c r="E1885" s="4">
        <v>17</v>
      </c>
      <c r="F1885" s="8">
        <v>7.83</v>
      </c>
      <c r="G1885" s="4">
        <v>2</v>
      </c>
      <c r="H1885" s="8">
        <v>1.08</v>
      </c>
      <c r="I1885" s="4">
        <v>0</v>
      </c>
    </row>
    <row r="1886" spans="1:9" x14ac:dyDescent="0.2">
      <c r="A1886" s="2">
        <v>2</v>
      </c>
      <c r="B1886" s="1" t="s">
        <v>204</v>
      </c>
      <c r="C1886" s="4">
        <v>17</v>
      </c>
      <c r="D1886" s="8">
        <v>4.18</v>
      </c>
      <c r="E1886" s="4">
        <v>5</v>
      </c>
      <c r="F1886" s="8">
        <v>2.2999999999999998</v>
      </c>
      <c r="G1886" s="4">
        <v>12</v>
      </c>
      <c r="H1886" s="8">
        <v>6.49</v>
      </c>
      <c r="I1886" s="4">
        <v>0</v>
      </c>
    </row>
    <row r="1887" spans="1:9" x14ac:dyDescent="0.2">
      <c r="A1887" s="2">
        <v>3</v>
      </c>
      <c r="B1887" s="1" t="s">
        <v>203</v>
      </c>
      <c r="C1887" s="4">
        <v>15</v>
      </c>
      <c r="D1887" s="8">
        <v>3.69</v>
      </c>
      <c r="E1887" s="4">
        <v>7</v>
      </c>
      <c r="F1887" s="8">
        <v>3.23</v>
      </c>
      <c r="G1887" s="4">
        <v>8</v>
      </c>
      <c r="H1887" s="8">
        <v>4.32</v>
      </c>
      <c r="I1887" s="4">
        <v>0</v>
      </c>
    </row>
    <row r="1888" spans="1:9" x14ac:dyDescent="0.2">
      <c r="A1888" s="2">
        <v>4</v>
      </c>
      <c r="B1888" s="1" t="s">
        <v>349</v>
      </c>
      <c r="C1888" s="4">
        <v>14</v>
      </c>
      <c r="D1888" s="8">
        <v>3.44</v>
      </c>
      <c r="E1888" s="4">
        <v>9</v>
      </c>
      <c r="F1888" s="8">
        <v>4.1500000000000004</v>
      </c>
      <c r="G1888" s="4">
        <v>5</v>
      </c>
      <c r="H1888" s="8">
        <v>2.7</v>
      </c>
      <c r="I1888" s="4">
        <v>0</v>
      </c>
    </row>
    <row r="1889" spans="1:9" x14ac:dyDescent="0.2">
      <c r="A1889" s="2">
        <v>5</v>
      </c>
      <c r="B1889" s="1" t="s">
        <v>186</v>
      </c>
      <c r="C1889" s="4">
        <v>12</v>
      </c>
      <c r="D1889" s="8">
        <v>2.95</v>
      </c>
      <c r="E1889" s="4">
        <v>9</v>
      </c>
      <c r="F1889" s="8">
        <v>4.1500000000000004</v>
      </c>
      <c r="G1889" s="4">
        <v>3</v>
      </c>
      <c r="H1889" s="8">
        <v>1.62</v>
      </c>
      <c r="I1889" s="4">
        <v>0</v>
      </c>
    </row>
    <row r="1890" spans="1:9" x14ac:dyDescent="0.2">
      <c r="A1890" s="2">
        <v>6</v>
      </c>
      <c r="B1890" s="1" t="s">
        <v>261</v>
      </c>
      <c r="C1890" s="4">
        <v>10</v>
      </c>
      <c r="D1890" s="8">
        <v>2.46</v>
      </c>
      <c r="E1890" s="4">
        <v>6</v>
      </c>
      <c r="F1890" s="8">
        <v>2.76</v>
      </c>
      <c r="G1890" s="4">
        <v>4</v>
      </c>
      <c r="H1890" s="8">
        <v>2.16</v>
      </c>
      <c r="I1890" s="4">
        <v>0</v>
      </c>
    </row>
    <row r="1891" spans="1:9" x14ac:dyDescent="0.2">
      <c r="A1891" s="2">
        <v>7</v>
      </c>
      <c r="B1891" s="1" t="s">
        <v>174</v>
      </c>
      <c r="C1891" s="4">
        <v>9</v>
      </c>
      <c r="D1891" s="8">
        <v>2.21</v>
      </c>
      <c r="E1891" s="4">
        <v>2</v>
      </c>
      <c r="F1891" s="8">
        <v>0.92</v>
      </c>
      <c r="G1891" s="4">
        <v>7</v>
      </c>
      <c r="H1891" s="8">
        <v>3.78</v>
      </c>
      <c r="I1891" s="4">
        <v>0</v>
      </c>
    </row>
    <row r="1892" spans="1:9" x14ac:dyDescent="0.2">
      <c r="A1892" s="2">
        <v>7</v>
      </c>
      <c r="B1892" s="1" t="s">
        <v>178</v>
      </c>
      <c r="C1892" s="4">
        <v>9</v>
      </c>
      <c r="D1892" s="8">
        <v>2.21</v>
      </c>
      <c r="E1892" s="4">
        <v>2</v>
      </c>
      <c r="F1892" s="8">
        <v>0.92</v>
      </c>
      <c r="G1892" s="4">
        <v>7</v>
      </c>
      <c r="H1892" s="8">
        <v>3.78</v>
      </c>
      <c r="I1892" s="4">
        <v>0</v>
      </c>
    </row>
    <row r="1893" spans="1:9" x14ac:dyDescent="0.2">
      <c r="A1893" s="2">
        <v>7</v>
      </c>
      <c r="B1893" s="1" t="s">
        <v>190</v>
      </c>
      <c r="C1893" s="4">
        <v>9</v>
      </c>
      <c r="D1893" s="8">
        <v>2.21</v>
      </c>
      <c r="E1893" s="4">
        <v>8</v>
      </c>
      <c r="F1893" s="8">
        <v>3.69</v>
      </c>
      <c r="G1893" s="4">
        <v>1</v>
      </c>
      <c r="H1893" s="8">
        <v>0.54</v>
      </c>
      <c r="I1893" s="4">
        <v>0</v>
      </c>
    </row>
    <row r="1894" spans="1:9" x14ac:dyDescent="0.2">
      <c r="A1894" s="2">
        <v>10</v>
      </c>
      <c r="B1894" s="1" t="s">
        <v>180</v>
      </c>
      <c r="C1894" s="4">
        <v>8</v>
      </c>
      <c r="D1894" s="8">
        <v>1.97</v>
      </c>
      <c r="E1894" s="4">
        <v>3</v>
      </c>
      <c r="F1894" s="8">
        <v>1.38</v>
      </c>
      <c r="G1894" s="4">
        <v>5</v>
      </c>
      <c r="H1894" s="8">
        <v>2.7</v>
      </c>
      <c r="I1894" s="4">
        <v>0</v>
      </c>
    </row>
    <row r="1895" spans="1:9" x14ac:dyDescent="0.2">
      <c r="A1895" s="2">
        <v>11</v>
      </c>
      <c r="B1895" s="1" t="s">
        <v>210</v>
      </c>
      <c r="C1895" s="4">
        <v>7</v>
      </c>
      <c r="D1895" s="8">
        <v>1.72</v>
      </c>
      <c r="E1895" s="4">
        <v>6</v>
      </c>
      <c r="F1895" s="8">
        <v>2.76</v>
      </c>
      <c r="G1895" s="4">
        <v>1</v>
      </c>
      <c r="H1895" s="8">
        <v>0.54</v>
      </c>
      <c r="I1895" s="4">
        <v>0</v>
      </c>
    </row>
    <row r="1896" spans="1:9" x14ac:dyDescent="0.2">
      <c r="A1896" s="2">
        <v>11</v>
      </c>
      <c r="B1896" s="1" t="s">
        <v>268</v>
      </c>
      <c r="C1896" s="4">
        <v>7</v>
      </c>
      <c r="D1896" s="8">
        <v>1.72</v>
      </c>
      <c r="E1896" s="4">
        <v>1</v>
      </c>
      <c r="F1896" s="8">
        <v>0.46</v>
      </c>
      <c r="G1896" s="4">
        <v>6</v>
      </c>
      <c r="H1896" s="8">
        <v>3.24</v>
      </c>
      <c r="I1896" s="4">
        <v>0</v>
      </c>
    </row>
    <row r="1897" spans="1:9" x14ac:dyDescent="0.2">
      <c r="A1897" s="2">
        <v>11</v>
      </c>
      <c r="B1897" s="1" t="s">
        <v>192</v>
      </c>
      <c r="C1897" s="4">
        <v>7</v>
      </c>
      <c r="D1897" s="8">
        <v>1.72</v>
      </c>
      <c r="E1897" s="4">
        <v>7</v>
      </c>
      <c r="F1897" s="8">
        <v>3.23</v>
      </c>
      <c r="G1897" s="4">
        <v>0</v>
      </c>
      <c r="H1897" s="8">
        <v>0</v>
      </c>
      <c r="I1897" s="4">
        <v>0</v>
      </c>
    </row>
    <row r="1898" spans="1:9" x14ac:dyDescent="0.2">
      <c r="A1898" s="2">
        <v>14</v>
      </c>
      <c r="B1898" s="1" t="s">
        <v>177</v>
      </c>
      <c r="C1898" s="4">
        <v>6</v>
      </c>
      <c r="D1898" s="8">
        <v>1.47</v>
      </c>
      <c r="E1898" s="4">
        <v>2</v>
      </c>
      <c r="F1898" s="8">
        <v>0.92</v>
      </c>
      <c r="G1898" s="4">
        <v>4</v>
      </c>
      <c r="H1898" s="8">
        <v>2.16</v>
      </c>
      <c r="I1898" s="4">
        <v>0</v>
      </c>
    </row>
    <row r="1899" spans="1:9" x14ac:dyDescent="0.2">
      <c r="A1899" s="2">
        <v>14</v>
      </c>
      <c r="B1899" s="1" t="s">
        <v>181</v>
      </c>
      <c r="C1899" s="4">
        <v>6</v>
      </c>
      <c r="D1899" s="8">
        <v>1.47</v>
      </c>
      <c r="E1899" s="4">
        <v>4</v>
      </c>
      <c r="F1899" s="8">
        <v>1.84</v>
      </c>
      <c r="G1899" s="4">
        <v>2</v>
      </c>
      <c r="H1899" s="8">
        <v>1.08</v>
      </c>
      <c r="I1899" s="4">
        <v>0</v>
      </c>
    </row>
    <row r="1900" spans="1:9" x14ac:dyDescent="0.2">
      <c r="A1900" s="2">
        <v>14</v>
      </c>
      <c r="B1900" s="1" t="s">
        <v>207</v>
      </c>
      <c r="C1900" s="4">
        <v>6</v>
      </c>
      <c r="D1900" s="8">
        <v>1.47</v>
      </c>
      <c r="E1900" s="4">
        <v>3</v>
      </c>
      <c r="F1900" s="8">
        <v>1.38</v>
      </c>
      <c r="G1900" s="4">
        <v>2</v>
      </c>
      <c r="H1900" s="8">
        <v>1.08</v>
      </c>
      <c r="I1900" s="4">
        <v>0</v>
      </c>
    </row>
    <row r="1901" spans="1:9" x14ac:dyDescent="0.2">
      <c r="A1901" s="2">
        <v>14</v>
      </c>
      <c r="B1901" s="1" t="s">
        <v>193</v>
      </c>
      <c r="C1901" s="4">
        <v>6</v>
      </c>
      <c r="D1901" s="8">
        <v>1.47</v>
      </c>
      <c r="E1901" s="4">
        <v>6</v>
      </c>
      <c r="F1901" s="8">
        <v>2.76</v>
      </c>
      <c r="G1901" s="4">
        <v>0</v>
      </c>
      <c r="H1901" s="8">
        <v>0</v>
      </c>
      <c r="I1901" s="4">
        <v>0</v>
      </c>
    </row>
    <row r="1902" spans="1:9" x14ac:dyDescent="0.2">
      <c r="A1902" s="2">
        <v>18</v>
      </c>
      <c r="B1902" s="1" t="s">
        <v>176</v>
      </c>
      <c r="C1902" s="4">
        <v>5</v>
      </c>
      <c r="D1902" s="8">
        <v>1.23</v>
      </c>
      <c r="E1902" s="4">
        <v>2</v>
      </c>
      <c r="F1902" s="8">
        <v>0.92</v>
      </c>
      <c r="G1902" s="4">
        <v>3</v>
      </c>
      <c r="H1902" s="8">
        <v>1.62</v>
      </c>
      <c r="I1902" s="4">
        <v>0</v>
      </c>
    </row>
    <row r="1903" spans="1:9" x14ac:dyDescent="0.2">
      <c r="A1903" s="2">
        <v>18</v>
      </c>
      <c r="B1903" s="1" t="s">
        <v>348</v>
      </c>
      <c r="C1903" s="4">
        <v>5</v>
      </c>
      <c r="D1903" s="8">
        <v>1.23</v>
      </c>
      <c r="E1903" s="4">
        <v>3</v>
      </c>
      <c r="F1903" s="8">
        <v>1.38</v>
      </c>
      <c r="G1903" s="4">
        <v>2</v>
      </c>
      <c r="H1903" s="8">
        <v>1.08</v>
      </c>
      <c r="I1903" s="4">
        <v>0</v>
      </c>
    </row>
    <row r="1904" spans="1:9" x14ac:dyDescent="0.2">
      <c r="A1904" s="2">
        <v>18</v>
      </c>
      <c r="B1904" s="1" t="s">
        <v>350</v>
      </c>
      <c r="C1904" s="4">
        <v>5</v>
      </c>
      <c r="D1904" s="8">
        <v>1.23</v>
      </c>
      <c r="E1904" s="4">
        <v>1</v>
      </c>
      <c r="F1904" s="8">
        <v>0.46</v>
      </c>
      <c r="G1904" s="4">
        <v>4</v>
      </c>
      <c r="H1904" s="8">
        <v>2.16</v>
      </c>
      <c r="I1904" s="4">
        <v>0</v>
      </c>
    </row>
    <row r="1905" spans="1:9" x14ac:dyDescent="0.2">
      <c r="A1905" s="2">
        <v>18</v>
      </c>
      <c r="B1905" s="1" t="s">
        <v>184</v>
      </c>
      <c r="C1905" s="4">
        <v>5</v>
      </c>
      <c r="D1905" s="8">
        <v>1.23</v>
      </c>
      <c r="E1905" s="4">
        <v>3</v>
      </c>
      <c r="F1905" s="8">
        <v>1.38</v>
      </c>
      <c r="G1905" s="4">
        <v>2</v>
      </c>
      <c r="H1905" s="8">
        <v>1.08</v>
      </c>
      <c r="I1905" s="4">
        <v>0</v>
      </c>
    </row>
    <row r="1906" spans="1:9" x14ac:dyDescent="0.2">
      <c r="A1906" s="2">
        <v>18</v>
      </c>
      <c r="B1906" s="1" t="s">
        <v>188</v>
      </c>
      <c r="C1906" s="4">
        <v>5</v>
      </c>
      <c r="D1906" s="8">
        <v>1.23</v>
      </c>
      <c r="E1906" s="4">
        <v>5</v>
      </c>
      <c r="F1906" s="8">
        <v>2.2999999999999998</v>
      </c>
      <c r="G1906" s="4">
        <v>0</v>
      </c>
      <c r="H1906" s="8">
        <v>0</v>
      </c>
      <c r="I1906" s="4">
        <v>0</v>
      </c>
    </row>
    <row r="1907" spans="1:9" x14ac:dyDescent="0.2">
      <c r="A1907" s="1"/>
      <c r="C1907" s="4"/>
      <c r="D1907" s="8"/>
      <c r="E1907" s="4"/>
      <c r="F1907" s="8"/>
      <c r="G1907" s="4"/>
      <c r="H1907" s="8"/>
      <c r="I1907" s="4"/>
    </row>
    <row r="1908" spans="1:9" x14ac:dyDescent="0.2">
      <c r="A1908" s="1" t="s">
        <v>69</v>
      </c>
      <c r="C1908" s="4"/>
      <c r="D1908" s="8"/>
      <c r="E1908" s="4"/>
      <c r="F1908" s="8"/>
      <c r="G1908" s="4"/>
      <c r="H1908" s="8"/>
      <c r="I1908" s="4"/>
    </row>
    <row r="1909" spans="1:9" x14ac:dyDescent="0.2">
      <c r="A1909" s="2">
        <v>1</v>
      </c>
      <c r="B1909" s="1" t="s">
        <v>191</v>
      </c>
      <c r="C1909" s="4">
        <v>14</v>
      </c>
      <c r="D1909" s="8">
        <v>4.53</v>
      </c>
      <c r="E1909" s="4">
        <v>12</v>
      </c>
      <c r="F1909" s="8">
        <v>6.42</v>
      </c>
      <c r="G1909" s="4">
        <v>2</v>
      </c>
      <c r="H1909" s="8">
        <v>1.72</v>
      </c>
      <c r="I1909" s="4">
        <v>0</v>
      </c>
    </row>
    <row r="1910" spans="1:9" x14ac:dyDescent="0.2">
      <c r="A1910" s="2">
        <v>2</v>
      </c>
      <c r="B1910" s="1" t="s">
        <v>174</v>
      </c>
      <c r="C1910" s="4">
        <v>13</v>
      </c>
      <c r="D1910" s="8">
        <v>4.21</v>
      </c>
      <c r="E1910" s="4">
        <v>8</v>
      </c>
      <c r="F1910" s="8">
        <v>4.28</v>
      </c>
      <c r="G1910" s="4">
        <v>5</v>
      </c>
      <c r="H1910" s="8">
        <v>4.3099999999999996</v>
      </c>
      <c r="I1910" s="4">
        <v>0</v>
      </c>
    </row>
    <row r="1911" spans="1:9" x14ac:dyDescent="0.2">
      <c r="A1911" s="2">
        <v>3</v>
      </c>
      <c r="B1911" s="1" t="s">
        <v>197</v>
      </c>
      <c r="C1911" s="4">
        <v>11</v>
      </c>
      <c r="D1911" s="8">
        <v>3.56</v>
      </c>
      <c r="E1911" s="4">
        <v>7</v>
      </c>
      <c r="F1911" s="8">
        <v>3.74</v>
      </c>
      <c r="G1911" s="4">
        <v>4</v>
      </c>
      <c r="H1911" s="8">
        <v>3.45</v>
      </c>
      <c r="I1911" s="4">
        <v>0</v>
      </c>
    </row>
    <row r="1912" spans="1:9" x14ac:dyDescent="0.2">
      <c r="A1912" s="2">
        <v>3</v>
      </c>
      <c r="B1912" s="1" t="s">
        <v>190</v>
      </c>
      <c r="C1912" s="4">
        <v>11</v>
      </c>
      <c r="D1912" s="8">
        <v>3.56</v>
      </c>
      <c r="E1912" s="4">
        <v>11</v>
      </c>
      <c r="F1912" s="8">
        <v>5.88</v>
      </c>
      <c r="G1912" s="4">
        <v>0</v>
      </c>
      <c r="H1912" s="8">
        <v>0</v>
      </c>
      <c r="I1912" s="4">
        <v>0</v>
      </c>
    </row>
    <row r="1913" spans="1:9" x14ac:dyDescent="0.2">
      <c r="A1913" s="2">
        <v>5</v>
      </c>
      <c r="B1913" s="1" t="s">
        <v>188</v>
      </c>
      <c r="C1913" s="4">
        <v>10</v>
      </c>
      <c r="D1913" s="8">
        <v>3.24</v>
      </c>
      <c r="E1913" s="4">
        <v>10</v>
      </c>
      <c r="F1913" s="8">
        <v>5.35</v>
      </c>
      <c r="G1913" s="4">
        <v>0</v>
      </c>
      <c r="H1913" s="8">
        <v>0</v>
      </c>
      <c r="I1913" s="4">
        <v>0</v>
      </c>
    </row>
    <row r="1914" spans="1:9" x14ac:dyDescent="0.2">
      <c r="A1914" s="2">
        <v>6</v>
      </c>
      <c r="B1914" s="1" t="s">
        <v>180</v>
      </c>
      <c r="C1914" s="4">
        <v>9</v>
      </c>
      <c r="D1914" s="8">
        <v>2.91</v>
      </c>
      <c r="E1914" s="4">
        <v>6</v>
      </c>
      <c r="F1914" s="8">
        <v>3.21</v>
      </c>
      <c r="G1914" s="4">
        <v>3</v>
      </c>
      <c r="H1914" s="8">
        <v>2.59</v>
      </c>
      <c r="I1914" s="4">
        <v>0</v>
      </c>
    </row>
    <row r="1915" spans="1:9" x14ac:dyDescent="0.2">
      <c r="A1915" s="2">
        <v>7</v>
      </c>
      <c r="B1915" s="1" t="s">
        <v>176</v>
      </c>
      <c r="C1915" s="4">
        <v>8</v>
      </c>
      <c r="D1915" s="8">
        <v>2.59</v>
      </c>
      <c r="E1915" s="4">
        <v>5</v>
      </c>
      <c r="F1915" s="8">
        <v>2.67</v>
      </c>
      <c r="G1915" s="4">
        <v>3</v>
      </c>
      <c r="H1915" s="8">
        <v>2.59</v>
      </c>
      <c r="I1915" s="4">
        <v>0</v>
      </c>
    </row>
    <row r="1916" spans="1:9" x14ac:dyDescent="0.2">
      <c r="A1916" s="2">
        <v>7</v>
      </c>
      <c r="B1916" s="1" t="s">
        <v>179</v>
      </c>
      <c r="C1916" s="4">
        <v>8</v>
      </c>
      <c r="D1916" s="8">
        <v>2.59</v>
      </c>
      <c r="E1916" s="4">
        <v>3</v>
      </c>
      <c r="F1916" s="8">
        <v>1.6</v>
      </c>
      <c r="G1916" s="4">
        <v>5</v>
      </c>
      <c r="H1916" s="8">
        <v>4.3099999999999996</v>
      </c>
      <c r="I1916" s="4">
        <v>0</v>
      </c>
    </row>
    <row r="1917" spans="1:9" x14ac:dyDescent="0.2">
      <c r="A1917" s="2">
        <v>7</v>
      </c>
      <c r="B1917" s="1" t="s">
        <v>193</v>
      </c>
      <c r="C1917" s="4">
        <v>8</v>
      </c>
      <c r="D1917" s="8">
        <v>2.59</v>
      </c>
      <c r="E1917" s="4">
        <v>8</v>
      </c>
      <c r="F1917" s="8">
        <v>4.28</v>
      </c>
      <c r="G1917" s="4">
        <v>0</v>
      </c>
      <c r="H1917" s="8">
        <v>0</v>
      </c>
      <c r="I1917" s="4">
        <v>0</v>
      </c>
    </row>
    <row r="1918" spans="1:9" x14ac:dyDescent="0.2">
      <c r="A1918" s="2">
        <v>10</v>
      </c>
      <c r="B1918" s="1" t="s">
        <v>181</v>
      </c>
      <c r="C1918" s="4">
        <v>7</v>
      </c>
      <c r="D1918" s="8">
        <v>2.27</v>
      </c>
      <c r="E1918" s="4">
        <v>5</v>
      </c>
      <c r="F1918" s="8">
        <v>2.67</v>
      </c>
      <c r="G1918" s="4">
        <v>2</v>
      </c>
      <c r="H1918" s="8">
        <v>1.72</v>
      </c>
      <c r="I1918" s="4">
        <v>0</v>
      </c>
    </row>
    <row r="1919" spans="1:9" x14ac:dyDescent="0.2">
      <c r="A1919" s="2">
        <v>10</v>
      </c>
      <c r="B1919" s="1" t="s">
        <v>198</v>
      </c>
      <c r="C1919" s="4">
        <v>7</v>
      </c>
      <c r="D1919" s="8">
        <v>2.27</v>
      </c>
      <c r="E1919" s="4">
        <v>7</v>
      </c>
      <c r="F1919" s="8">
        <v>3.74</v>
      </c>
      <c r="G1919" s="4">
        <v>0</v>
      </c>
      <c r="H1919" s="8">
        <v>0</v>
      </c>
      <c r="I1919" s="4">
        <v>0</v>
      </c>
    </row>
    <row r="1920" spans="1:9" x14ac:dyDescent="0.2">
      <c r="A1920" s="2">
        <v>12</v>
      </c>
      <c r="B1920" s="1" t="s">
        <v>175</v>
      </c>
      <c r="C1920" s="4">
        <v>6</v>
      </c>
      <c r="D1920" s="8">
        <v>1.94</v>
      </c>
      <c r="E1920" s="4">
        <v>4</v>
      </c>
      <c r="F1920" s="8">
        <v>2.14</v>
      </c>
      <c r="G1920" s="4">
        <v>2</v>
      </c>
      <c r="H1920" s="8">
        <v>1.72</v>
      </c>
      <c r="I1920" s="4">
        <v>0</v>
      </c>
    </row>
    <row r="1921" spans="1:9" x14ac:dyDescent="0.2">
      <c r="A1921" s="2">
        <v>12</v>
      </c>
      <c r="B1921" s="1" t="s">
        <v>196</v>
      </c>
      <c r="C1921" s="4">
        <v>6</v>
      </c>
      <c r="D1921" s="8">
        <v>1.94</v>
      </c>
      <c r="E1921" s="4">
        <v>5</v>
      </c>
      <c r="F1921" s="8">
        <v>2.67</v>
      </c>
      <c r="G1921" s="4">
        <v>1</v>
      </c>
      <c r="H1921" s="8">
        <v>0.86</v>
      </c>
      <c r="I1921" s="4">
        <v>0</v>
      </c>
    </row>
    <row r="1922" spans="1:9" x14ac:dyDescent="0.2">
      <c r="A1922" s="2">
        <v>12</v>
      </c>
      <c r="B1922" s="1" t="s">
        <v>192</v>
      </c>
      <c r="C1922" s="4">
        <v>6</v>
      </c>
      <c r="D1922" s="8">
        <v>1.94</v>
      </c>
      <c r="E1922" s="4">
        <v>4</v>
      </c>
      <c r="F1922" s="8">
        <v>2.14</v>
      </c>
      <c r="G1922" s="4">
        <v>2</v>
      </c>
      <c r="H1922" s="8">
        <v>1.72</v>
      </c>
      <c r="I1922" s="4">
        <v>0</v>
      </c>
    </row>
    <row r="1923" spans="1:9" x14ac:dyDescent="0.2">
      <c r="A1923" s="2">
        <v>15</v>
      </c>
      <c r="B1923" s="1" t="s">
        <v>210</v>
      </c>
      <c r="C1923" s="4">
        <v>5</v>
      </c>
      <c r="D1923" s="8">
        <v>1.62</v>
      </c>
      <c r="E1923" s="4">
        <v>5</v>
      </c>
      <c r="F1923" s="8">
        <v>2.67</v>
      </c>
      <c r="G1923" s="4">
        <v>0</v>
      </c>
      <c r="H1923" s="8">
        <v>0</v>
      </c>
      <c r="I1923" s="4">
        <v>0</v>
      </c>
    </row>
    <row r="1924" spans="1:9" x14ac:dyDescent="0.2">
      <c r="A1924" s="2">
        <v>15</v>
      </c>
      <c r="B1924" s="1" t="s">
        <v>177</v>
      </c>
      <c r="C1924" s="4">
        <v>5</v>
      </c>
      <c r="D1924" s="8">
        <v>1.62</v>
      </c>
      <c r="E1924" s="4">
        <v>4</v>
      </c>
      <c r="F1924" s="8">
        <v>2.14</v>
      </c>
      <c r="G1924" s="4">
        <v>1</v>
      </c>
      <c r="H1924" s="8">
        <v>0.86</v>
      </c>
      <c r="I1924" s="4">
        <v>0</v>
      </c>
    </row>
    <row r="1925" spans="1:9" x14ac:dyDescent="0.2">
      <c r="A1925" s="2">
        <v>15</v>
      </c>
      <c r="B1925" s="1" t="s">
        <v>294</v>
      </c>
      <c r="C1925" s="4">
        <v>5</v>
      </c>
      <c r="D1925" s="8">
        <v>1.62</v>
      </c>
      <c r="E1925" s="4">
        <v>3</v>
      </c>
      <c r="F1925" s="8">
        <v>1.6</v>
      </c>
      <c r="G1925" s="4">
        <v>2</v>
      </c>
      <c r="H1925" s="8">
        <v>1.72</v>
      </c>
      <c r="I1925" s="4">
        <v>0</v>
      </c>
    </row>
    <row r="1926" spans="1:9" x14ac:dyDescent="0.2">
      <c r="A1926" s="2">
        <v>15</v>
      </c>
      <c r="B1926" s="1" t="s">
        <v>279</v>
      </c>
      <c r="C1926" s="4">
        <v>5</v>
      </c>
      <c r="D1926" s="8">
        <v>1.62</v>
      </c>
      <c r="E1926" s="4">
        <v>5</v>
      </c>
      <c r="F1926" s="8">
        <v>2.67</v>
      </c>
      <c r="G1926" s="4">
        <v>0</v>
      </c>
      <c r="H1926" s="8">
        <v>0</v>
      </c>
      <c r="I1926" s="4">
        <v>0</v>
      </c>
    </row>
    <row r="1927" spans="1:9" x14ac:dyDescent="0.2">
      <c r="A1927" s="2">
        <v>15</v>
      </c>
      <c r="B1927" s="1" t="s">
        <v>183</v>
      </c>
      <c r="C1927" s="4">
        <v>5</v>
      </c>
      <c r="D1927" s="8">
        <v>1.62</v>
      </c>
      <c r="E1927" s="4">
        <v>4</v>
      </c>
      <c r="F1927" s="8">
        <v>2.14</v>
      </c>
      <c r="G1927" s="4">
        <v>1</v>
      </c>
      <c r="H1927" s="8">
        <v>0.86</v>
      </c>
      <c r="I1927" s="4">
        <v>0</v>
      </c>
    </row>
    <row r="1928" spans="1:9" x14ac:dyDescent="0.2">
      <c r="A1928" s="2">
        <v>15</v>
      </c>
      <c r="B1928" s="1" t="s">
        <v>187</v>
      </c>
      <c r="C1928" s="4">
        <v>5</v>
      </c>
      <c r="D1928" s="8">
        <v>1.62</v>
      </c>
      <c r="E1928" s="4">
        <v>5</v>
      </c>
      <c r="F1928" s="8">
        <v>2.67</v>
      </c>
      <c r="G1928" s="4">
        <v>0</v>
      </c>
      <c r="H1928" s="8">
        <v>0</v>
      </c>
      <c r="I1928" s="4">
        <v>0</v>
      </c>
    </row>
    <row r="1929" spans="1:9" x14ac:dyDescent="0.2">
      <c r="A1929" s="2">
        <v>15</v>
      </c>
      <c r="B1929" s="1" t="s">
        <v>220</v>
      </c>
      <c r="C1929" s="4">
        <v>5</v>
      </c>
      <c r="D1929" s="8">
        <v>1.62</v>
      </c>
      <c r="E1929" s="4">
        <v>4</v>
      </c>
      <c r="F1929" s="8">
        <v>2.14</v>
      </c>
      <c r="G1929" s="4">
        <v>1</v>
      </c>
      <c r="H1929" s="8">
        <v>0.86</v>
      </c>
      <c r="I1929" s="4">
        <v>0</v>
      </c>
    </row>
    <row r="1930" spans="1:9" x14ac:dyDescent="0.2">
      <c r="A1930" s="1"/>
      <c r="C1930" s="4"/>
      <c r="D1930" s="8"/>
      <c r="E1930" s="4"/>
      <c r="F1930" s="8"/>
      <c r="G1930" s="4"/>
      <c r="H1930" s="8"/>
      <c r="I1930" s="4"/>
    </row>
    <row r="1931" spans="1:9" x14ac:dyDescent="0.2">
      <c r="A1931" s="1" t="s">
        <v>70</v>
      </c>
      <c r="C1931" s="4"/>
      <c r="D1931" s="8"/>
      <c r="E1931" s="4"/>
      <c r="F1931" s="8"/>
      <c r="G1931" s="4"/>
      <c r="H1931" s="8"/>
      <c r="I1931" s="4"/>
    </row>
    <row r="1932" spans="1:9" x14ac:dyDescent="0.2">
      <c r="A1932" s="2">
        <v>1</v>
      </c>
      <c r="B1932" s="1" t="s">
        <v>185</v>
      </c>
      <c r="C1932" s="4">
        <v>12</v>
      </c>
      <c r="D1932" s="8">
        <v>6.15</v>
      </c>
      <c r="E1932" s="4">
        <v>3</v>
      </c>
      <c r="F1932" s="8">
        <v>2.78</v>
      </c>
      <c r="G1932" s="4">
        <v>9</v>
      </c>
      <c r="H1932" s="8">
        <v>11.39</v>
      </c>
      <c r="I1932" s="4">
        <v>0</v>
      </c>
    </row>
    <row r="1933" spans="1:9" x14ac:dyDescent="0.2">
      <c r="A1933" s="2">
        <v>2</v>
      </c>
      <c r="B1933" s="1" t="s">
        <v>174</v>
      </c>
      <c r="C1933" s="4">
        <v>9</v>
      </c>
      <c r="D1933" s="8">
        <v>4.62</v>
      </c>
      <c r="E1933" s="4">
        <v>3</v>
      </c>
      <c r="F1933" s="8">
        <v>2.78</v>
      </c>
      <c r="G1933" s="4">
        <v>6</v>
      </c>
      <c r="H1933" s="8">
        <v>7.59</v>
      </c>
      <c r="I1933" s="4">
        <v>0</v>
      </c>
    </row>
    <row r="1934" spans="1:9" x14ac:dyDescent="0.2">
      <c r="A1934" s="2">
        <v>3</v>
      </c>
      <c r="B1934" s="1" t="s">
        <v>175</v>
      </c>
      <c r="C1934" s="4">
        <v>8</v>
      </c>
      <c r="D1934" s="8">
        <v>4.0999999999999996</v>
      </c>
      <c r="E1934" s="4">
        <v>2</v>
      </c>
      <c r="F1934" s="8">
        <v>1.85</v>
      </c>
      <c r="G1934" s="4">
        <v>6</v>
      </c>
      <c r="H1934" s="8">
        <v>7.59</v>
      </c>
      <c r="I1934" s="4">
        <v>0</v>
      </c>
    </row>
    <row r="1935" spans="1:9" x14ac:dyDescent="0.2">
      <c r="A1935" s="2">
        <v>3</v>
      </c>
      <c r="B1935" s="1" t="s">
        <v>178</v>
      </c>
      <c r="C1935" s="4">
        <v>8</v>
      </c>
      <c r="D1935" s="8">
        <v>4.0999999999999996</v>
      </c>
      <c r="E1935" s="4">
        <v>6</v>
      </c>
      <c r="F1935" s="8">
        <v>5.56</v>
      </c>
      <c r="G1935" s="4">
        <v>2</v>
      </c>
      <c r="H1935" s="8">
        <v>2.5299999999999998</v>
      </c>
      <c r="I1935" s="4">
        <v>0</v>
      </c>
    </row>
    <row r="1936" spans="1:9" x14ac:dyDescent="0.2">
      <c r="A1936" s="2">
        <v>3</v>
      </c>
      <c r="B1936" s="1" t="s">
        <v>281</v>
      </c>
      <c r="C1936" s="4">
        <v>8</v>
      </c>
      <c r="D1936" s="8">
        <v>4.0999999999999996</v>
      </c>
      <c r="E1936" s="4">
        <v>3</v>
      </c>
      <c r="F1936" s="8">
        <v>2.78</v>
      </c>
      <c r="G1936" s="4">
        <v>5</v>
      </c>
      <c r="H1936" s="8">
        <v>6.33</v>
      </c>
      <c r="I1936" s="4">
        <v>0</v>
      </c>
    </row>
    <row r="1937" spans="1:9" x14ac:dyDescent="0.2">
      <c r="A1937" s="2">
        <v>3</v>
      </c>
      <c r="B1937" s="1" t="s">
        <v>180</v>
      </c>
      <c r="C1937" s="4">
        <v>8</v>
      </c>
      <c r="D1937" s="8">
        <v>4.0999999999999996</v>
      </c>
      <c r="E1937" s="4">
        <v>5</v>
      </c>
      <c r="F1937" s="8">
        <v>4.63</v>
      </c>
      <c r="G1937" s="4">
        <v>3</v>
      </c>
      <c r="H1937" s="8">
        <v>3.8</v>
      </c>
      <c r="I1937" s="4">
        <v>0</v>
      </c>
    </row>
    <row r="1938" spans="1:9" x14ac:dyDescent="0.2">
      <c r="A1938" s="2">
        <v>7</v>
      </c>
      <c r="B1938" s="1" t="s">
        <v>210</v>
      </c>
      <c r="C1938" s="4">
        <v>7</v>
      </c>
      <c r="D1938" s="8">
        <v>3.59</v>
      </c>
      <c r="E1938" s="4">
        <v>6</v>
      </c>
      <c r="F1938" s="8">
        <v>5.56</v>
      </c>
      <c r="G1938" s="4">
        <v>1</v>
      </c>
      <c r="H1938" s="8">
        <v>1.27</v>
      </c>
      <c r="I1938" s="4">
        <v>0</v>
      </c>
    </row>
    <row r="1939" spans="1:9" x14ac:dyDescent="0.2">
      <c r="A1939" s="2">
        <v>7</v>
      </c>
      <c r="B1939" s="1" t="s">
        <v>191</v>
      </c>
      <c r="C1939" s="4">
        <v>7</v>
      </c>
      <c r="D1939" s="8">
        <v>3.59</v>
      </c>
      <c r="E1939" s="4">
        <v>7</v>
      </c>
      <c r="F1939" s="8">
        <v>6.48</v>
      </c>
      <c r="G1939" s="4">
        <v>0</v>
      </c>
      <c r="H1939" s="8">
        <v>0</v>
      </c>
      <c r="I1939" s="4">
        <v>0</v>
      </c>
    </row>
    <row r="1940" spans="1:9" x14ac:dyDescent="0.2">
      <c r="A1940" s="2">
        <v>9</v>
      </c>
      <c r="B1940" s="1" t="s">
        <v>190</v>
      </c>
      <c r="C1940" s="4">
        <v>5</v>
      </c>
      <c r="D1940" s="8">
        <v>2.56</v>
      </c>
      <c r="E1940" s="4">
        <v>5</v>
      </c>
      <c r="F1940" s="8">
        <v>4.63</v>
      </c>
      <c r="G1940" s="4">
        <v>0</v>
      </c>
      <c r="H1940" s="8">
        <v>0</v>
      </c>
      <c r="I1940" s="4">
        <v>0</v>
      </c>
    </row>
    <row r="1941" spans="1:9" x14ac:dyDescent="0.2">
      <c r="A1941" s="2">
        <v>10</v>
      </c>
      <c r="B1941" s="1" t="s">
        <v>176</v>
      </c>
      <c r="C1941" s="4">
        <v>4</v>
      </c>
      <c r="D1941" s="8">
        <v>2.0499999999999998</v>
      </c>
      <c r="E1941" s="4">
        <v>2</v>
      </c>
      <c r="F1941" s="8">
        <v>1.85</v>
      </c>
      <c r="G1941" s="4">
        <v>2</v>
      </c>
      <c r="H1941" s="8">
        <v>2.5299999999999998</v>
      </c>
      <c r="I1941" s="4">
        <v>0</v>
      </c>
    </row>
    <row r="1942" spans="1:9" x14ac:dyDescent="0.2">
      <c r="A1942" s="2">
        <v>10</v>
      </c>
      <c r="B1942" s="1" t="s">
        <v>177</v>
      </c>
      <c r="C1942" s="4">
        <v>4</v>
      </c>
      <c r="D1942" s="8">
        <v>2.0499999999999998</v>
      </c>
      <c r="E1942" s="4">
        <v>2</v>
      </c>
      <c r="F1942" s="8">
        <v>1.85</v>
      </c>
      <c r="G1942" s="4">
        <v>2</v>
      </c>
      <c r="H1942" s="8">
        <v>2.5299999999999998</v>
      </c>
      <c r="I1942" s="4">
        <v>0</v>
      </c>
    </row>
    <row r="1943" spans="1:9" x14ac:dyDescent="0.2">
      <c r="A1943" s="2">
        <v>10</v>
      </c>
      <c r="B1943" s="1" t="s">
        <v>214</v>
      </c>
      <c r="C1943" s="4">
        <v>4</v>
      </c>
      <c r="D1943" s="8">
        <v>2.0499999999999998</v>
      </c>
      <c r="E1943" s="4">
        <v>0</v>
      </c>
      <c r="F1943" s="8">
        <v>0</v>
      </c>
      <c r="G1943" s="4">
        <v>4</v>
      </c>
      <c r="H1943" s="8">
        <v>5.0599999999999996</v>
      </c>
      <c r="I1943" s="4">
        <v>0</v>
      </c>
    </row>
    <row r="1944" spans="1:9" x14ac:dyDescent="0.2">
      <c r="A1944" s="2">
        <v>10</v>
      </c>
      <c r="B1944" s="1" t="s">
        <v>197</v>
      </c>
      <c r="C1944" s="4">
        <v>4</v>
      </c>
      <c r="D1944" s="8">
        <v>2.0499999999999998</v>
      </c>
      <c r="E1944" s="4">
        <v>2</v>
      </c>
      <c r="F1944" s="8">
        <v>1.85</v>
      </c>
      <c r="G1944" s="4">
        <v>1</v>
      </c>
      <c r="H1944" s="8">
        <v>1.27</v>
      </c>
      <c r="I1944" s="4">
        <v>1</v>
      </c>
    </row>
    <row r="1945" spans="1:9" x14ac:dyDescent="0.2">
      <c r="A1945" s="2">
        <v>10</v>
      </c>
      <c r="B1945" s="1" t="s">
        <v>187</v>
      </c>
      <c r="C1945" s="4">
        <v>4</v>
      </c>
      <c r="D1945" s="8">
        <v>2.0499999999999998</v>
      </c>
      <c r="E1945" s="4">
        <v>4</v>
      </c>
      <c r="F1945" s="8">
        <v>3.7</v>
      </c>
      <c r="G1945" s="4">
        <v>0</v>
      </c>
      <c r="H1945" s="8">
        <v>0</v>
      </c>
      <c r="I1945" s="4">
        <v>0</v>
      </c>
    </row>
    <row r="1946" spans="1:9" x14ac:dyDescent="0.2">
      <c r="A1946" s="2">
        <v>15</v>
      </c>
      <c r="B1946" s="1" t="s">
        <v>323</v>
      </c>
      <c r="C1946" s="4">
        <v>3</v>
      </c>
      <c r="D1946" s="8">
        <v>1.54</v>
      </c>
      <c r="E1946" s="4">
        <v>3</v>
      </c>
      <c r="F1946" s="8">
        <v>2.78</v>
      </c>
      <c r="G1946" s="4">
        <v>0</v>
      </c>
      <c r="H1946" s="8">
        <v>0</v>
      </c>
      <c r="I1946" s="4">
        <v>0</v>
      </c>
    </row>
    <row r="1947" spans="1:9" x14ac:dyDescent="0.2">
      <c r="A1947" s="2">
        <v>15</v>
      </c>
      <c r="B1947" s="1" t="s">
        <v>218</v>
      </c>
      <c r="C1947" s="4">
        <v>3</v>
      </c>
      <c r="D1947" s="8">
        <v>1.54</v>
      </c>
      <c r="E1947" s="4">
        <v>1</v>
      </c>
      <c r="F1947" s="8">
        <v>0.93</v>
      </c>
      <c r="G1947" s="4">
        <v>2</v>
      </c>
      <c r="H1947" s="8">
        <v>2.5299999999999998</v>
      </c>
      <c r="I1947" s="4">
        <v>0</v>
      </c>
    </row>
    <row r="1948" spans="1:9" x14ac:dyDescent="0.2">
      <c r="A1948" s="2">
        <v>15</v>
      </c>
      <c r="B1948" s="1" t="s">
        <v>286</v>
      </c>
      <c r="C1948" s="4">
        <v>3</v>
      </c>
      <c r="D1948" s="8">
        <v>1.54</v>
      </c>
      <c r="E1948" s="4">
        <v>3</v>
      </c>
      <c r="F1948" s="8">
        <v>2.78</v>
      </c>
      <c r="G1948" s="4">
        <v>0</v>
      </c>
      <c r="H1948" s="8">
        <v>0</v>
      </c>
      <c r="I1948" s="4">
        <v>0</v>
      </c>
    </row>
    <row r="1949" spans="1:9" x14ac:dyDescent="0.2">
      <c r="A1949" s="2">
        <v>15</v>
      </c>
      <c r="B1949" s="1" t="s">
        <v>203</v>
      </c>
      <c r="C1949" s="4">
        <v>3</v>
      </c>
      <c r="D1949" s="8">
        <v>1.54</v>
      </c>
      <c r="E1949" s="4">
        <v>2</v>
      </c>
      <c r="F1949" s="8">
        <v>1.85</v>
      </c>
      <c r="G1949" s="4">
        <v>1</v>
      </c>
      <c r="H1949" s="8">
        <v>1.27</v>
      </c>
      <c r="I1949" s="4">
        <v>0</v>
      </c>
    </row>
    <row r="1950" spans="1:9" x14ac:dyDescent="0.2">
      <c r="A1950" s="2">
        <v>15</v>
      </c>
      <c r="B1950" s="1" t="s">
        <v>351</v>
      </c>
      <c r="C1950" s="4">
        <v>3</v>
      </c>
      <c r="D1950" s="8">
        <v>1.54</v>
      </c>
      <c r="E1950" s="4">
        <v>0</v>
      </c>
      <c r="F1950" s="8">
        <v>0</v>
      </c>
      <c r="G1950" s="4">
        <v>3</v>
      </c>
      <c r="H1950" s="8">
        <v>3.8</v>
      </c>
      <c r="I1950" s="4">
        <v>0</v>
      </c>
    </row>
    <row r="1951" spans="1:9" x14ac:dyDescent="0.2">
      <c r="A1951" s="2">
        <v>15</v>
      </c>
      <c r="B1951" s="1" t="s">
        <v>209</v>
      </c>
      <c r="C1951" s="4">
        <v>3</v>
      </c>
      <c r="D1951" s="8">
        <v>1.54</v>
      </c>
      <c r="E1951" s="4">
        <v>3</v>
      </c>
      <c r="F1951" s="8">
        <v>2.78</v>
      </c>
      <c r="G1951" s="4">
        <v>0</v>
      </c>
      <c r="H1951" s="8">
        <v>0</v>
      </c>
      <c r="I1951" s="4">
        <v>0</v>
      </c>
    </row>
    <row r="1952" spans="1:9" x14ac:dyDescent="0.2">
      <c r="A1952" s="1"/>
      <c r="C1952" s="4"/>
      <c r="D1952" s="8"/>
      <c r="E1952" s="4"/>
      <c r="F1952" s="8"/>
      <c r="G1952" s="4"/>
      <c r="H1952" s="8"/>
      <c r="I1952" s="4"/>
    </row>
    <row r="1953" spans="1:9" x14ac:dyDescent="0.2">
      <c r="A1953" s="1" t="s">
        <v>71</v>
      </c>
      <c r="C1953" s="4"/>
      <c r="D1953" s="8"/>
      <c r="E1953" s="4"/>
      <c r="F1953" s="8"/>
      <c r="G1953" s="4"/>
      <c r="H1953" s="8"/>
      <c r="I1953" s="4"/>
    </row>
    <row r="1954" spans="1:9" x14ac:dyDescent="0.2">
      <c r="A1954" s="2">
        <v>1</v>
      </c>
      <c r="B1954" s="1" t="s">
        <v>185</v>
      </c>
      <c r="C1954" s="4">
        <v>94</v>
      </c>
      <c r="D1954" s="8">
        <v>21.17</v>
      </c>
      <c r="E1954" s="4">
        <v>20</v>
      </c>
      <c r="F1954" s="8">
        <v>9.1300000000000008</v>
      </c>
      <c r="G1954" s="4">
        <v>73</v>
      </c>
      <c r="H1954" s="8">
        <v>34.6</v>
      </c>
      <c r="I1954" s="4">
        <v>1</v>
      </c>
    </row>
    <row r="1955" spans="1:9" x14ac:dyDescent="0.2">
      <c r="A1955" s="2">
        <v>2</v>
      </c>
      <c r="B1955" s="1" t="s">
        <v>191</v>
      </c>
      <c r="C1955" s="4">
        <v>17</v>
      </c>
      <c r="D1955" s="8">
        <v>3.83</v>
      </c>
      <c r="E1955" s="4">
        <v>16</v>
      </c>
      <c r="F1955" s="8">
        <v>7.31</v>
      </c>
      <c r="G1955" s="4">
        <v>1</v>
      </c>
      <c r="H1955" s="8">
        <v>0.47</v>
      </c>
      <c r="I1955" s="4">
        <v>0</v>
      </c>
    </row>
    <row r="1956" spans="1:9" x14ac:dyDescent="0.2">
      <c r="A1956" s="2">
        <v>3</v>
      </c>
      <c r="B1956" s="1" t="s">
        <v>174</v>
      </c>
      <c r="C1956" s="4">
        <v>15</v>
      </c>
      <c r="D1956" s="8">
        <v>3.38</v>
      </c>
      <c r="E1956" s="4">
        <v>3</v>
      </c>
      <c r="F1956" s="8">
        <v>1.37</v>
      </c>
      <c r="G1956" s="4">
        <v>12</v>
      </c>
      <c r="H1956" s="8">
        <v>5.69</v>
      </c>
      <c r="I1956" s="4">
        <v>0</v>
      </c>
    </row>
    <row r="1957" spans="1:9" x14ac:dyDescent="0.2">
      <c r="A1957" s="2">
        <v>4</v>
      </c>
      <c r="B1957" s="1" t="s">
        <v>189</v>
      </c>
      <c r="C1957" s="4">
        <v>13</v>
      </c>
      <c r="D1957" s="8">
        <v>2.93</v>
      </c>
      <c r="E1957" s="4">
        <v>13</v>
      </c>
      <c r="F1957" s="8">
        <v>5.94</v>
      </c>
      <c r="G1957" s="4">
        <v>0</v>
      </c>
      <c r="H1957" s="8">
        <v>0</v>
      </c>
      <c r="I1957" s="4">
        <v>0</v>
      </c>
    </row>
    <row r="1958" spans="1:9" x14ac:dyDescent="0.2">
      <c r="A1958" s="2">
        <v>5</v>
      </c>
      <c r="B1958" s="1" t="s">
        <v>177</v>
      </c>
      <c r="C1958" s="4">
        <v>12</v>
      </c>
      <c r="D1958" s="8">
        <v>2.7</v>
      </c>
      <c r="E1958" s="4">
        <v>5</v>
      </c>
      <c r="F1958" s="8">
        <v>2.2799999999999998</v>
      </c>
      <c r="G1958" s="4">
        <v>7</v>
      </c>
      <c r="H1958" s="8">
        <v>3.32</v>
      </c>
      <c r="I1958" s="4">
        <v>0</v>
      </c>
    </row>
    <row r="1959" spans="1:9" x14ac:dyDescent="0.2">
      <c r="A1959" s="2">
        <v>5</v>
      </c>
      <c r="B1959" s="1" t="s">
        <v>181</v>
      </c>
      <c r="C1959" s="4">
        <v>12</v>
      </c>
      <c r="D1959" s="8">
        <v>2.7</v>
      </c>
      <c r="E1959" s="4">
        <v>8</v>
      </c>
      <c r="F1959" s="8">
        <v>3.65</v>
      </c>
      <c r="G1959" s="4">
        <v>4</v>
      </c>
      <c r="H1959" s="8">
        <v>1.9</v>
      </c>
      <c r="I1959" s="4">
        <v>0</v>
      </c>
    </row>
    <row r="1960" spans="1:9" x14ac:dyDescent="0.2">
      <c r="A1960" s="2">
        <v>7</v>
      </c>
      <c r="B1960" s="1" t="s">
        <v>197</v>
      </c>
      <c r="C1960" s="4">
        <v>11</v>
      </c>
      <c r="D1960" s="8">
        <v>2.48</v>
      </c>
      <c r="E1960" s="4">
        <v>6</v>
      </c>
      <c r="F1960" s="8">
        <v>2.74</v>
      </c>
      <c r="G1960" s="4">
        <v>5</v>
      </c>
      <c r="H1960" s="8">
        <v>2.37</v>
      </c>
      <c r="I1960" s="4">
        <v>0</v>
      </c>
    </row>
    <row r="1961" spans="1:9" x14ac:dyDescent="0.2">
      <c r="A1961" s="2">
        <v>7</v>
      </c>
      <c r="B1961" s="1" t="s">
        <v>183</v>
      </c>
      <c r="C1961" s="4">
        <v>11</v>
      </c>
      <c r="D1961" s="8">
        <v>2.48</v>
      </c>
      <c r="E1961" s="4">
        <v>9</v>
      </c>
      <c r="F1961" s="8">
        <v>4.1100000000000003</v>
      </c>
      <c r="G1961" s="4">
        <v>2</v>
      </c>
      <c r="H1961" s="8">
        <v>0.95</v>
      </c>
      <c r="I1961" s="4">
        <v>0</v>
      </c>
    </row>
    <row r="1962" spans="1:9" x14ac:dyDescent="0.2">
      <c r="A1962" s="2">
        <v>9</v>
      </c>
      <c r="B1962" s="1" t="s">
        <v>188</v>
      </c>
      <c r="C1962" s="4">
        <v>10</v>
      </c>
      <c r="D1962" s="8">
        <v>2.25</v>
      </c>
      <c r="E1962" s="4">
        <v>9</v>
      </c>
      <c r="F1962" s="8">
        <v>4.1100000000000003</v>
      </c>
      <c r="G1962" s="4">
        <v>1</v>
      </c>
      <c r="H1962" s="8">
        <v>0.47</v>
      </c>
      <c r="I1962" s="4">
        <v>0</v>
      </c>
    </row>
    <row r="1963" spans="1:9" x14ac:dyDescent="0.2">
      <c r="A1963" s="2">
        <v>9</v>
      </c>
      <c r="B1963" s="1" t="s">
        <v>190</v>
      </c>
      <c r="C1963" s="4">
        <v>10</v>
      </c>
      <c r="D1963" s="8">
        <v>2.25</v>
      </c>
      <c r="E1963" s="4">
        <v>10</v>
      </c>
      <c r="F1963" s="8">
        <v>4.57</v>
      </c>
      <c r="G1963" s="4">
        <v>0</v>
      </c>
      <c r="H1963" s="8">
        <v>0</v>
      </c>
      <c r="I1963" s="4">
        <v>0</v>
      </c>
    </row>
    <row r="1964" spans="1:9" x14ac:dyDescent="0.2">
      <c r="A1964" s="2">
        <v>11</v>
      </c>
      <c r="B1964" s="1" t="s">
        <v>176</v>
      </c>
      <c r="C1964" s="4">
        <v>9</v>
      </c>
      <c r="D1964" s="8">
        <v>2.0299999999999998</v>
      </c>
      <c r="E1964" s="4">
        <v>5</v>
      </c>
      <c r="F1964" s="8">
        <v>2.2799999999999998</v>
      </c>
      <c r="G1964" s="4">
        <v>4</v>
      </c>
      <c r="H1964" s="8">
        <v>1.9</v>
      </c>
      <c r="I1964" s="4">
        <v>0</v>
      </c>
    </row>
    <row r="1965" spans="1:9" x14ac:dyDescent="0.2">
      <c r="A1965" s="2">
        <v>11</v>
      </c>
      <c r="B1965" s="1" t="s">
        <v>210</v>
      </c>
      <c r="C1965" s="4">
        <v>9</v>
      </c>
      <c r="D1965" s="8">
        <v>2.0299999999999998</v>
      </c>
      <c r="E1965" s="4">
        <v>7</v>
      </c>
      <c r="F1965" s="8">
        <v>3.2</v>
      </c>
      <c r="G1965" s="4">
        <v>2</v>
      </c>
      <c r="H1965" s="8">
        <v>0.95</v>
      </c>
      <c r="I1965" s="4">
        <v>0</v>
      </c>
    </row>
    <row r="1966" spans="1:9" x14ac:dyDescent="0.2">
      <c r="A1966" s="2">
        <v>11</v>
      </c>
      <c r="B1966" s="1" t="s">
        <v>214</v>
      </c>
      <c r="C1966" s="4">
        <v>9</v>
      </c>
      <c r="D1966" s="8">
        <v>2.0299999999999998</v>
      </c>
      <c r="E1966" s="4">
        <v>5</v>
      </c>
      <c r="F1966" s="8">
        <v>2.2799999999999998</v>
      </c>
      <c r="G1966" s="4">
        <v>4</v>
      </c>
      <c r="H1966" s="8">
        <v>1.9</v>
      </c>
      <c r="I1966" s="4">
        <v>0</v>
      </c>
    </row>
    <row r="1967" spans="1:9" x14ac:dyDescent="0.2">
      <c r="A1967" s="2">
        <v>14</v>
      </c>
      <c r="B1967" s="1" t="s">
        <v>178</v>
      </c>
      <c r="C1967" s="4">
        <v>8</v>
      </c>
      <c r="D1967" s="8">
        <v>1.8</v>
      </c>
      <c r="E1967" s="4">
        <v>3</v>
      </c>
      <c r="F1967" s="8">
        <v>1.37</v>
      </c>
      <c r="G1967" s="4">
        <v>5</v>
      </c>
      <c r="H1967" s="8">
        <v>2.37</v>
      </c>
      <c r="I1967" s="4">
        <v>0</v>
      </c>
    </row>
    <row r="1968" spans="1:9" x14ac:dyDescent="0.2">
      <c r="A1968" s="2">
        <v>14</v>
      </c>
      <c r="B1968" s="1" t="s">
        <v>179</v>
      </c>
      <c r="C1968" s="4">
        <v>8</v>
      </c>
      <c r="D1968" s="8">
        <v>1.8</v>
      </c>
      <c r="E1968" s="4">
        <v>4</v>
      </c>
      <c r="F1968" s="8">
        <v>1.83</v>
      </c>
      <c r="G1968" s="4">
        <v>4</v>
      </c>
      <c r="H1968" s="8">
        <v>1.9</v>
      </c>
      <c r="I1968" s="4">
        <v>0</v>
      </c>
    </row>
    <row r="1969" spans="1:9" x14ac:dyDescent="0.2">
      <c r="A1969" s="2">
        <v>16</v>
      </c>
      <c r="B1969" s="1" t="s">
        <v>218</v>
      </c>
      <c r="C1969" s="4">
        <v>6</v>
      </c>
      <c r="D1969" s="8">
        <v>1.35</v>
      </c>
      <c r="E1969" s="4">
        <v>5</v>
      </c>
      <c r="F1969" s="8">
        <v>2.2799999999999998</v>
      </c>
      <c r="G1969" s="4">
        <v>1</v>
      </c>
      <c r="H1969" s="8">
        <v>0.47</v>
      </c>
      <c r="I1969" s="4">
        <v>0</v>
      </c>
    </row>
    <row r="1970" spans="1:9" x14ac:dyDescent="0.2">
      <c r="A1970" s="2">
        <v>16</v>
      </c>
      <c r="B1970" s="1" t="s">
        <v>227</v>
      </c>
      <c r="C1970" s="4">
        <v>6</v>
      </c>
      <c r="D1970" s="8">
        <v>1.35</v>
      </c>
      <c r="E1970" s="4">
        <v>4</v>
      </c>
      <c r="F1970" s="8">
        <v>1.83</v>
      </c>
      <c r="G1970" s="4">
        <v>2</v>
      </c>
      <c r="H1970" s="8">
        <v>0.95</v>
      </c>
      <c r="I1970" s="4">
        <v>0</v>
      </c>
    </row>
    <row r="1971" spans="1:9" x14ac:dyDescent="0.2">
      <c r="A1971" s="2">
        <v>16</v>
      </c>
      <c r="B1971" s="1" t="s">
        <v>186</v>
      </c>
      <c r="C1971" s="4">
        <v>6</v>
      </c>
      <c r="D1971" s="8">
        <v>1.35</v>
      </c>
      <c r="E1971" s="4">
        <v>6</v>
      </c>
      <c r="F1971" s="8">
        <v>2.74</v>
      </c>
      <c r="G1971" s="4">
        <v>0</v>
      </c>
      <c r="H1971" s="8">
        <v>0</v>
      </c>
      <c r="I1971" s="4">
        <v>0</v>
      </c>
    </row>
    <row r="1972" spans="1:9" x14ac:dyDescent="0.2">
      <c r="A1972" s="2">
        <v>16</v>
      </c>
      <c r="B1972" s="1" t="s">
        <v>187</v>
      </c>
      <c r="C1972" s="4">
        <v>6</v>
      </c>
      <c r="D1972" s="8">
        <v>1.35</v>
      </c>
      <c r="E1972" s="4">
        <v>6</v>
      </c>
      <c r="F1972" s="8">
        <v>2.74</v>
      </c>
      <c r="G1972" s="4">
        <v>0</v>
      </c>
      <c r="H1972" s="8">
        <v>0</v>
      </c>
      <c r="I1972" s="4">
        <v>0</v>
      </c>
    </row>
    <row r="1973" spans="1:9" x14ac:dyDescent="0.2">
      <c r="A1973" s="2">
        <v>16</v>
      </c>
      <c r="B1973" s="1" t="s">
        <v>220</v>
      </c>
      <c r="C1973" s="4">
        <v>6</v>
      </c>
      <c r="D1973" s="8">
        <v>1.35</v>
      </c>
      <c r="E1973" s="4">
        <v>5</v>
      </c>
      <c r="F1973" s="8">
        <v>2.2799999999999998</v>
      </c>
      <c r="G1973" s="4">
        <v>1</v>
      </c>
      <c r="H1973" s="8">
        <v>0.47</v>
      </c>
      <c r="I1973" s="4">
        <v>0</v>
      </c>
    </row>
    <row r="1974" spans="1:9" x14ac:dyDescent="0.2">
      <c r="A1974" s="2">
        <v>16</v>
      </c>
      <c r="B1974" s="1" t="s">
        <v>199</v>
      </c>
      <c r="C1974" s="4">
        <v>6</v>
      </c>
      <c r="D1974" s="8">
        <v>1.35</v>
      </c>
      <c r="E1974" s="4">
        <v>4</v>
      </c>
      <c r="F1974" s="8">
        <v>1.83</v>
      </c>
      <c r="G1974" s="4">
        <v>2</v>
      </c>
      <c r="H1974" s="8">
        <v>0.95</v>
      </c>
      <c r="I1974" s="4">
        <v>0</v>
      </c>
    </row>
    <row r="1975" spans="1:9" x14ac:dyDescent="0.2">
      <c r="A1975" s="2">
        <v>16</v>
      </c>
      <c r="B1975" s="1" t="s">
        <v>223</v>
      </c>
      <c r="C1975" s="4">
        <v>6</v>
      </c>
      <c r="D1975" s="8">
        <v>1.35</v>
      </c>
      <c r="E1975" s="4">
        <v>0</v>
      </c>
      <c r="F1975" s="8">
        <v>0</v>
      </c>
      <c r="G1975" s="4">
        <v>0</v>
      </c>
      <c r="H1975" s="8">
        <v>0</v>
      </c>
      <c r="I1975" s="4">
        <v>0</v>
      </c>
    </row>
    <row r="1976" spans="1:9" x14ac:dyDescent="0.2">
      <c r="A1976" s="1"/>
      <c r="C1976" s="4"/>
      <c r="D1976" s="8"/>
      <c r="E1976" s="4"/>
      <c r="F1976" s="8"/>
      <c r="G1976" s="4"/>
      <c r="H1976" s="8"/>
      <c r="I1976" s="4"/>
    </row>
    <row r="1977" spans="1:9" x14ac:dyDescent="0.2">
      <c r="A1977" s="1" t="s">
        <v>72</v>
      </c>
      <c r="C1977" s="4"/>
      <c r="D1977" s="8"/>
      <c r="E1977" s="4"/>
      <c r="F1977" s="8"/>
      <c r="G1977" s="4"/>
      <c r="H1977" s="8"/>
      <c r="I1977" s="4"/>
    </row>
    <row r="1978" spans="1:9" x14ac:dyDescent="0.2">
      <c r="A1978" s="2">
        <v>1</v>
      </c>
      <c r="B1978" s="1" t="s">
        <v>185</v>
      </c>
      <c r="C1978" s="4">
        <v>19</v>
      </c>
      <c r="D1978" s="8">
        <v>14.18</v>
      </c>
      <c r="E1978" s="4">
        <v>17</v>
      </c>
      <c r="F1978" s="8">
        <v>22.37</v>
      </c>
      <c r="G1978" s="4">
        <v>2</v>
      </c>
      <c r="H1978" s="8">
        <v>3.77</v>
      </c>
      <c r="I1978" s="4">
        <v>0</v>
      </c>
    </row>
    <row r="1979" spans="1:9" x14ac:dyDescent="0.2">
      <c r="A1979" s="2">
        <v>2</v>
      </c>
      <c r="B1979" s="1" t="s">
        <v>174</v>
      </c>
      <c r="C1979" s="4">
        <v>6</v>
      </c>
      <c r="D1979" s="8">
        <v>4.4800000000000004</v>
      </c>
      <c r="E1979" s="4">
        <v>0</v>
      </c>
      <c r="F1979" s="8">
        <v>0</v>
      </c>
      <c r="G1979" s="4">
        <v>6</v>
      </c>
      <c r="H1979" s="8">
        <v>11.32</v>
      </c>
      <c r="I1979" s="4">
        <v>0</v>
      </c>
    </row>
    <row r="1980" spans="1:9" x14ac:dyDescent="0.2">
      <c r="A1980" s="2">
        <v>2</v>
      </c>
      <c r="B1980" s="1" t="s">
        <v>214</v>
      </c>
      <c r="C1980" s="4">
        <v>6</v>
      </c>
      <c r="D1980" s="8">
        <v>4.4800000000000004</v>
      </c>
      <c r="E1980" s="4">
        <v>4</v>
      </c>
      <c r="F1980" s="8">
        <v>5.26</v>
      </c>
      <c r="G1980" s="4">
        <v>2</v>
      </c>
      <c r="H1980" s="8">
        <v>3.77</v>
      </c>
      <c r="I1980" s="4">
        <v>0</v>
      </c>
    </row>
    <row r="1981" spans="1:9" x14ac:dyDescent="0.2">
      <c r="A1981" s="2">
        <v>2</v>
      </c>
      <c r="B1981" s="1" t="s">
        <v>190</v>
      </c>
      <c r="C1981" s="4">
        <v>6</v>
      </c>
      <c r="D1981" s="8">
        <v>4.4800000000000004</v>
      </c>
      <c r="E1981" s="4">
        <v>6</v>
      </c>
      <c r="F1981" s="8">
        <v>7.89</v>
      </c>
      <c r="G1981" s="4">
        <v>0</v>
      </c>
      <c r="H1981" s="8">
        <v>0</v>
      </c>
      <c r="I1981" s="4">
        <v>0</v>
      </c>
    </row>
    <row r="1982" spans="1:9" x14ac:dyDescent="0.2">
      <c r="A1982" s="2">
        <v>5</v>
      </c>
      <c r="B1982" s="1" t="s">
        <v>176</v>
      </c>
      <c r="C1982" s="4">
        <v>5</v>
      </c>
      <c r="D1982" s="8">
        <v>3.73</v>
      </c>
      <c r="E1982" s="4">
        <v>4</v>
      </c>
      <c r="F1982" s="8">
        <v>5.26</v>
      </c>
      <c r="G1982" s="4">
        <v>1</v>
      </c>
      <c r="H1982" s="8">
        <v>1.89</v>
      </c>
      <c r="I1982" s="4">
        <v>0</v>
      </c>
    </row>
    <row r="1983" spans="1:9" x14ac:dyDescent="0.2">
      <c r="A1983" s="2">
        <v>6</v>
      </c>
      <c r="B1983" s="1" t="s">
        <v>177</v>
      </c>
      <c r="C1983" s="4">
        <v>4</v>
      </c>
      <c r="D1983" s="8">
        <v>2.99</v>
      </c>
      <c r="E1983" s="4">
        <v>1</v>
      </c>
      <c r="F1983" s="8">
        <v>1.32</v>
      </c>
      <c r="G1983" s="4">
        <v>3</v>
      </c>
      <c r="H1983" s="8">
        <v>5.66</v>
      </c>
      <c r="I1983" s="4">
        <v>0</v>
      </c>
    </row>
    <row r="1984" spans="1:9" x14ac:dyDescent="0.2">
      <c r="A1984" s="2">
        <v>6</v>
      </c>
      <c r="B1984" s="1" t="s">
        <v>178</v>
      </c>
      <c r="C1984" s="4">
        <v>4</v>
      </c>
      <c r="D1984" s="8">
        <v>2.99</v>
      </c>
      <c r="E1984" s="4">
        <v>0</v>
      </c>
      <c r="F1984" s="8">
        <v>0</v>
      </c>
      <c r="G1984" s="4">
        <v>4</v>
      </c>
      <c r="H1984" s="8">
        <v>7.55</v>
      </c>
      <c r="I1984" s="4">
        <v>0</v>
      </c>
    </row>
    <row r="1985" spans="1:9" x14ac:dyDescent="0.2">
      <c r="A1985" s="2">
        <v>6</v>
      </c>
      <c r="B1985" s="1" t="s">
        <v>180</v>
      </c>
      <c r="C1985" s="4">
        <v>4</v>
      </c>
      <c r="D1985" s="8">
        <v>2.99</v>
      </c>
      <c r="E1985" s="4">
        <v>1</v>
      </c>
      <c r="F1985" s="8">
        <v>1.32</v>
      </c>
      <c r="G1985" s="4">
        <v>3</v>
      </c>
      <c r="H1985" s="8">
        <v>5.66</v>
      </c>
      <c r="I1985" s="4">
        <v>0</v>
      </c>
    </row>
    <row r="1986" spans="1:9" x14ac:dyDescent="0.2">
      <c r="A1986" s="2">
        <v>6</v>
      </c>
      <c r="B1986" s="1" t="s">
        <v>181</v>
      </c>
      <c r="C1986" s="4">
        <v>4</v>
      </c>
      <c r="D1986" s="8">
        <v>2.99</v>
      </c>
      <c r="E1986" s="4">
        <v>3</v>
      </c>
      <c r="F1986" s="8">
        <v>3.95</v>
      </c>
      <c r="G1986" s="4">
        <v>1</v>
      </c>
      <c r="H1986" s="8">
        <v>1.89</v>
      </c>
      <c r="I1986" s="4">
        <v>0</v>
      </c>
    </row>
    <row r="1987" spans="1:9" x14ac:dyDescent="0.2">
      <c r="A1987" s="2">
        <v>6</v>
      </c>
      <c r="B1987" s="1" t="s">
        <v>191</v>
      </c>
      <c r="C1987" s="4">
        <v>4</v>
      </c>
      <c r="D1987" s="8">
        <v>2.99</v>
      </c>
      <c r="E1987" s="4">
        <v>4</v>
      </c>
      <c r="F1987" s="8">
        <v>5.26</v>
      </c>
      <c r="G1987" s="4">
        <v>0</v>
      </c>
      <c r="H1987" s="8">
        <v>0</v>
      </c>
      <c r="I1987" s="4">
        <v>0</v>
      </c>
    </row>
    <row r="1988" spans="1:9" x14ac:dyDescent="0.2">
      <c r="A1988" s="2">
        <v>11</v>
      </c>
      <c r="B1988" s="1" t="s">
        <v>175</v>
      </c>
      <c r="C1988" s="4">
        <v>3</v>
      </c>
      <c r="D1988" s="8">
        <v>2.2400000000000002</v>
      </c>
      <c r="E1988" s="4">
        <v>0</v>
      </c>
      <c r="F1988" s="8">
        <v>0</v>
      </c>
      <c r="G1988" s="4">
        <v>3</v>
      </c>
      <c r="H1988" s="8">
        <v>5.66</v>
      </c>
      <c r="I1988" s="4">
        <v>0</v>
      </c>
    </row>
    <row r="1989" spans="1:9" x14ac:dyDescent="0.2">
      <c r="A1989" s="2">
        <v>11</v>
      </c>
      <c r="B1989" s="1" t="s">
        <v>208</v>
      </c>
      <c r="C1989" s="4">
        <v>3</v>
      </c>
      <c r="D1989" s="8">
        <v>2.2400000000000002</v>
      </c>
      <c r="E1989" s="4">
        <v>1</v>
      </c>
      <c r="F1989" s="8">
        <v>1.32</v>
      </c>
      <c r="G1989" s="4">
        <v>2</v>
      </c>
      <c r="H1989" s="8">
        <v>3.77</v>
      </c>
      <c r="I1989" s="4">
        <v>0</v>
      </c>
    </row>
    <row r="1990" spans="1:9" x14ac:dyDescent="0.2">
      <c r="A1990" s="2">
        <v>11</v>
      </c>
      <c r="B1990" s="1" t="s">
        <v>179</v>
      </c>
      <c r="C1990" s="4">
        <v>3</v>
      </c>
      <c r="D1990" s="8">
        <v>2.2400000000000002</v>
      </c>
      <c r="E1990" s="4">
        <v>2</v>
      </c>
      <c r="F1990" s="8">
        <v>2.63</v>
      </c>
      <c r="G1990" s="4">
        <v>1</v>
      </c>
      <c r="H1990" s="8">
        <v>1.89</v>
      </c>
      <c r="I1990" s="4">
        <v>0</v>
      </c>
    </row>
    <row r="1991" spans="1:9" x14ac:dyDescent="0.2">
      <c r="A1991" s="2">
        <v>11</v>
      </c>
      <c r="B1991" s="1" t="s">
        <v>247</v>
      </c>
      <c r="C1991" s="4">
        <v>3</v>
      </c>
      <c r="D1991" s="8">
        <v>2.2400000000000002</v>
      </c>
      <c r="E1991" s="4">
        <v>2</v>
      </c>
      <c r="F1991" s="8">
        <v>2.63</v>
      </c>
      <c r="G1991" s="4">
        <v>1</v>
      </c>
      <c r="H1991" s="8">
        <v>1.89</v>
      </c>
      <c r="I1991" s="4">
        <v>0</v>
      </c>
    </row>
    <row r="1992" spans="1:9" x14ac:dyDescent="0.2">
      <c r="A1992" s="2">
        <v>11</v>
      </c>
      <c r="B1992" s="1" t="s">
        <v>186</v>
      </c>
      <c r="C1992" s="4">
        <v>3</v>
      </c>
      <c r="D1992" s="8">
        <v>2.2400000000000002</v>
      </c>
      <c r="E1992" s="4">
        <v>3</v>
      </c>
      <c r="F1992" s="8">
        <v>3.95</v>
      </c>
      <c r="G1992" s="4">
        <v>0</v>
      </c>
      <c r="H1992" s="8">
        <v>0</v>
      </c>
      <c r="I1992" s="4">
        <v>0</v>
      </c>
    </row>
    <row r="1993" spans="1:9" x14ac:dyDescent="0.2">
      <c r="A1993" s="2">
        <v>16</v>
      </c>
      <c r="B1993" s="1" t="s">
        <v>210</v>
      </c>
      <c r="C1993" s="4">
        <v>2</v>
      </c>
      <c r="D1993" s="8">
        <v>1.49</v>
      </c>
      <c r="E1993" s="4">
        <v>2</v>
      </c>
      <c r="F1993" s="8">
        <v>2.63</v>
      </c>
      <c r="G1993" s="4">
        <v>0</v>
      </c>
      <c r="H1993" s="8">
        <v>0</v>
      </c>
      <c r="I1993" s="4">
        <v>0</v>
      </c>
    </row>
    <row r="1994" spans="1:9" x14ac:dyDescent="0.2">
      <c r="A1994" s="2">
        <v>16</v>
      </c>
      <c r="B1994" s="1" t="s">
        <v>227</v>
      </c>
      <c r="C1994" s="4">
        <v>2</v>
      </c>
      <c r="D1994" s="8">
        <v>1.49</v>
      </c>
      <c r="E1994" s="4">
        <v>1</v>
      </c>
      <c r="F1994" s="8">
        <v>1.32</v>
      </c>
      <c r="G1994" s="4">
        <v>0</v>
      </c>
      <c r="H1994" s="8">
        <v>0</v>
      </c>
      <c r="I1994" s="4">
        <v>0</v>
      </c>
    </row>
    <row r="1995" spans="1:9" x14ac:dyDescent="0.2">
      <c r="A1995" s="2">
        <v>16</v>
      </c>
      <c r="B1995" s="1" t="s">
        <v>205</v>
      </c>
      <c r="C1995" s="4">
        <v>2</v>
      </c>
      <c r="D1995" s="8">
        <v>1.49</v>
      </c>
      <c r="E1995" s="4">
        <v>2</v>
      </c>
      <c r="F1995" s="8">
        <v>2.63</v>
      </c>
      <c r="G1995" s="4">
        <v>0</v>
      </c>
      <c r="H1995" s="8">
        <v>0</v>
      </c>
      <c r="I1995" s="4">
        <v>0</v>
      </c>
    </row>
    <row r="1996" spans="1:9" x14ac:dyDescent="0.2">
      <c r="A1996" s="2">
        <v>16</v>
      </c>
      <c r="B1996" s="1" t="s">
        <v>219</v>
      </c>
      <c r="C1996" s="4">
        <v>2</v>
      </c>
      <c r="D1996" s="8">
        <v>1.49</v>
      </c>
      <c r="E1996" s="4">
        <v>1</v>
      </c>
      <c r="F1996" s="8">
        <v>1.32</v>
      </c>
      <c r="G1996" s="4">
        <v>1</v>
      </c>
      <c r="H1996" s="8">
        <v>1.89</v>
      </c>
      <c r="I1996" s="4">
        <v>0</v>
      </c>
    </row>
    <row r="1997" spans="1:9" x14ac:dyDescent="0.2">
      <c r="A1997" s="2">
        <v>16</v>
      </c>
      <c r="B1997" s="1" t="s">
        <v>215</v>
      </c>
      <c r="C1997" s="4">
        <v>2</v>
      </c>
      <c r="D1997" s="8">
        <v>1.49</v>
      </c>
      <c r="E1997" s="4">
        <v>1</v>
      </c>
      <c r="F1997" s="8">
        <v>1.32</v>
      </c>
      <c r="G1997" s="4">
        <v>1</v>
      </c>
      <c r="H1997" s="8">
        <v>1.89</v>
      </c>
      <c r="I1997" s="4">
        <v>0</v>
      </c>
    </row>
    <row r="1998" spans="1:9" x14ac:dyDescent="0.2">
      <c r="A1998" s="2">
        <v>16</v>
      </c>
      <c r="B1998" s="1" t="s">
        <v>352</v>
      </c>
      <c r="C1998" s="4">
        <v>2</v>
      </c>
      <c r="D1998" s="8">
        <v>1.49</v>
      </c>
      <c r="E1998" s="4">
        <v>2</v>
      </c>
      <c r="F1998" s="8">
        <v>2.63</v>
      </c>
      <c r="G1998" s="4">
        <v>0</v>
      </c>
      <c r="H1998" s="8">
        <v>0</v>
      </c>
      <c r="I1998" s="4">
        <v>0</v>
      </c>
    </row>
    <row r="1999" spans="1:9" x14ac:dyDescent="0.2">
      <c r="A1999" s="2">
        <v>16</v>
      </c>
      <c r="B1999" s="1" t="s">
        <v>187</v>
      </c>
      <c r="C1999" s="4">
        <v>2</v>
      </c>
      <c r="D1999" s="8">
        <v>1.49</v>
      </c>
      <c r="E1999" s="4">
        <v>2</v>
      </c>
      <c r="F1999" s="8">
        <v>2.63</v>
      </c>
      <c r="G1999" s="4">
        <v>0</v>
      </c>
      <c r="H1999" s="8">
        <v>0</v>
      </c>
      <c r="I1999" s="4">
        <v>0</v>
      </c>
    </row>
    <row r="2000" spans="1:9" x14ac:dyDescent="0.2">
      <c r="A2000" s="2">
        <v>16</v>
      </c>
      <c r="B2000" s="1" t="s">
        <v>220</v>
      </c>
      <c r="C2000" s="4">
        <v>2</v>
      </c>
      <c r="D2000" s="8">
        <v>1.49</v>
      </c>
      <c r="E2000" s="4">
        <v>0</v>
      </c>
      <c r="F2000" s="8">
        <v>0</v>
      </c>
      <c r="G2000" s="4">
        <v>2</v>
      </c>
      <c r="H2000" s="8">
        <v>3.77</v>
      </c>
      <c r="I2000" s="4">
        <v>0</v>
      </c>
    </row>
    <row r="2001" spans="1:9" x14ac:dyDescent="0.2">
      <c r="A2001" s="2">
        <v>16</v>
      </c>
      <c r="B2001" s="1" t="s">
        <v>188</v>
      </c>
      <c r="C2001" s="4">
        <v>2</v>
      </c>
      <c r="D2001" s="8">
        <v>1.49</v>
      </c>
      <c r="E2001" s="4">
        <v>1</v>
      </c>
      <c r="F2001" s="8">
        <v>1.32</v>
      </c>
      <c r="G2001" s="4">
        <v>1</v>
      </c>
      <c r="H2001" s="8">
        <v>1.89</v>
      </c>
      <c r="I2001" s="4">
        <v>0</v>
      </c>
    </row>
    <row r="2002" spans="1:9" x14ac:dyDescent="0.2">
      <c r="A2002" s="1"/>
      <c r="C2002" s="4"/>
      <c r="D2002" s="8"/>
      <c r="E2002" s="4"/>
      <c r="F2002" s="8"/>
      <c r="G2002" s="4"/>
      <c r="H2002" s="8"/>
      <c r="I2002" s="4"/>
    </row>
    <row r="2003" spans="1:9" x14ac:dyDescent="0.2">
      <c r="A2003" s="1" t="s">
        <v>73</v>
      </c>
      <c r="C2003" s="4"/>
      <c r="D2003" s="8"/>
      <c r="E2003" s="4"/>
      <c r="F2003" s="8"/>
      <c r="G2003" s="4"/>
      <c r="H2003" s="8"/>
      <c r="I2003" s="4"/>
    </row>
    <row r="2004" spans="1:9" x14ac:dyDescent="0.2">
      <c r="A2004" s="2">
        <v>1</v>
      </c>
      <c r="B2004" s="1" t="s">
        <v>185</v>
      </c>
      <c r="C2004" s="4">
        <v>159</v>
      </c>
      <c r="D2004" s="8">
        <v>49.38</v>
      </c>
      <c r="E2004" s="4">
        <v>136</v>
      </c>
      <c r="F2004" s="8">
        <v>61.54</v>
      </c>
      <c r="G2004" s="4">
        <v>23</v>
      </c>
      <c r="H2004" s="8">
        <v>25.27</v>
      </c>
      <c r="I2004" s="4">
        <v>0</v>
      </c>
    </row>
    <row r="2005" spans="1:9" x14ac:dyDescent="0.2">
      <c r="A2005" s="2">
        <v>2</v>
      </c>
      <c r="B2005" s="1" t="s">
        <v>188</v>
      </c>
      <c r="C2005" s="4">
        <v>11</v>
      </c>
      <c r="D2005" s="8">
        <v>3.42</v>
      </c>
      <c r="E2005" s="4">
        <v>11</v>
      </c>
      <c r="F2005" s="8">
        <v>4.9800000000000004</v>
      </c>
      <c r="G2005" s="4">
        <v>0</v>
      </c>
      <c r="H2005" s="8">
        <v>0</v>
      </c>
      <c r="I2005" s="4">
        <v>0</v>
      </c>
    </row>
    <row r="2006" spans="1:9" x14ac:dyDescent="0.2">
      <c r="A2006" s="2">
        <v>3</v>
      </c>
      <c r="B2006" s="1" t="s">
        <v>187</v>
      </c>
      <c r="C2006" s="4">
        <v>9</v>
      </c>
      <c r="D2006" s="8">
        <v>2.8</v>
      </c>
      <c r="E2006" s="4">
        <v>8</v>
      </c>
      <c r="F2006" s="8">
        <v>3.62</v>
      </c>
      <c r="G2006" s="4">
        <v>1</v>
      </c>
      <c r="H2006" s="8">
        <v>1.1000000000000001</v>
      </c>
      <c r="I2006" s="4">
        <v>0</v>
      </c>
    </row>
    <row r="2007" spans="1:9" x14ac:dyDescent="0.2">
      <c r="A2007" s="2">
        <v>4</v>
      </c>
      <c r="B2007" s="1" t="s">
        <v>186</v>
      </c>
      <c r="C2007" s="4">
        <v>8</v>
      </c>
      <c r="D2007" s="8">
        <v>2.48</v>
      </c>
      <c r="E2007" s="4">
        <v>4</v>
      </c>
      <c r="F2007" s="8">
        <v>1.81</v>
      </c>
      <c r="G2007" s="4">
        <v>4</v>
      </c>
      <c r="H2007" s="8">
        <v>4.4000000000000004</v>
      </c>
      <c r="I2007" s="4">
        <v>0</v>
      </c>
    </row>
    <row r="2008" spans="1:9" x14ac:dyDescent="0.2">
      <c r="A2008" s="2">
        <v>5</v>
      </c>
      <c r="B2008" s="1" t="s">
        <v>181</v>
      </c>
      <c r="C2008" s="4">
        <v>7</v>
      </c>
      <c r="D2008" s="8">
        <v>2.17</v>
      </c>
      <c r="E2008" s="4">
        <v>5</v>
      </c>
      <c r="F2008" s="8">
        <v>2.2599999999999998</v>
      </c>
      <c r="G2008" s="4">
        <v>2</v>
      </c>
      <c r="H2008" s="8">
        <v>2.2000000000000002</v>
      </c>
      <c r="I2008" s="4">
        <v>0</v>
      </c>
    </row>
    <row r="2009" spans="1:9" x14ac:dyDescent="0.2">
      <c r="A2009" s="2">
        <v>6</v>
      </c>
      <c r="B2009" s="1" t="s">
        <v>225</v>
      </c>
      <c r="C2009" s="4">
        <v>5</v>
      </c>
      <c r="D2009" s="8">
        <v>1.55</v>
      </c>
      <c r="E2009" s="4">
        <v>1</v>
      </c>
      <c r="F2009" s="8">
        <v>0.45</v>
      </c>
      <c r="G2009" s="4">
        <v>4</v>
      </c>
      <c r="H2009" s="8">
        <v>4.4000000000000004</v>
      </c>
      <c r="I2009" s="4">
        <v>0</v>
      </c>
    </row>
    <row r="2010" spans="1:9" x14ac:dyDescent="0.2">
      <c r="A2010" s="2">
        <v>6</v>
      </c>
      <c r="B2010" s="1" t="s">
        <v>179</v>
      </c>
      <c r="C2010" s="4">
        <v>5</v>
      </c>
      <c r="D2010" s="8">
        <v>1.55</v>
      </c>
      <c r="E2010" s="4">
        <v>2</v>
      </c>
      <c r="F2010" s="8">
        <v>0.9</v>
      </c>
      <c r="G2010" s="4">
        <v>3</v>
      </c>
      <c r="H2010" s="8">
        <v>3.3</v>
      </c>
      <c r="I2010" s="4">
        <v>0</v>
      </c>
    </row>
    <row r="2011" spans="1:9" x14ac:dyDescent="0.2">
      <c r="A2011" s="2">
        <v>6</v>
      </c>
      <c r="B2011" s="1" t="s">
        <v>190</v>
      </c>
      <c r="C2011" s="4">
        <v>5</v>
      </c>
      <c r="D2011" s="8">
        <v>1.55</v>
      </c>
      <c r="E2011" s="4">
        <v>5</v>
      </c>
      <c r="F2011" s="8">
        <v>2.2599999999999998</v>
      </c>
      <c r="G2011" s="4">
        <v>0</v>
      </c>
      <c r="H2011" s="8">
        <v>0</v>
      </c>
      <c r="I2011" s="4">
        <v>0</v>
      </c>
    </row>
    <row r="2012" spans="1:9" x14ac:dyDescent="0.2">
      <c r="A2012" s="2">
        <v>9</v>
      </c>
      <c r="B2012" s="1" t="s">
        <v>174</v>
      </c>
      <c r="C2012" s="4">
        <v>4</v>
      </c>
      <c r="D2012" s="8">
        <v>1.24</v>
      </c>
      <c r="E2012" s="4">
        <v>0</v>
      </c>
      <c r="F2012" s="8">
        <v>0</v>
      </c>
      <c r="G2012" s="4">
        <v>4</v>
      </c>
      <c r="H2012" s="8">
        <v>4.4000000000000004</v>
      </c>
      <c r="I2012" s="4">
        <v>0</v>
      </c>
    </row>
    <row r="2013" spans="1:9" x14ac:dyDescent="0.2">
      <c r="A2013" s="2">
        <v>9</v>
      </c>
      <c r="B2013" s="1" t="s">
        <v>216</v>
      </c>
      <c r="C2013" s="4">
        <v>4</v>
      </c>
      <c r="D2013" s="8">
        <v>1.24</v>
      </c>
      <c r="E2013" s="4">
        <v>0</v>
      </c>
      <c r="F2013" s="8">
        <v>0</v>
      </c>
      <c r="G2013" s="4">
        <v>4</v>
      </c>
      <c r="H2013" s="8">
        <v>4.4000000000000004</v>
      </c>
      <c r="I2013" s="4">
        <v>0</v>
      </c>
    </row>
    <row r="2014" spans="1:9" x14ac:dyDescent="0.2">
      <c r="A2014" s="2">
        <v>9</v>
      </c>
      <c r="B2014" s="1" t="s">
        <v>189</v>
      </c>
      <c r="C2014" s="4">
        <v>4</v>
      </c>
      <c r="D2014" s="8">
        <v>1.24</v>
      </c>
      <c r="E2014" s="4">
        <v>4</v>
      </c>
      <c r="F2014" s="8">
        <v>1.81</v>
      </c>
      <c r="G2014" s="4">
        <v>0</v>
      </c>
      <c r="H2014" s="8">
        <v>0</v>
      </c>
      <c r="I2014" s="4">
        <v>0</v>
      </c>
    </row>
    <row r="2015" spans="1:9" x14ac:dyDescent="0.2">
      <c r="A2015" s="2">
        <v>9</v>
      </c>
      <c r="B2015" s="1" t="s">
        <v>198</v>
      </c>
      <c r="C2015" s="4">
        <v>4</v>
      </c>
      <c r="D2015" s="8">
        <v>1.24</v>
      </c>
      <c r="E2015" s="4">
        <v>3</v>
      </c>
      <c r="F2015" s="8">
        <v>1.36</v>
      </c>
      <c r="G2015" s="4">
        <v>0</v>
      </c>
      <c r="H2015" s="8">
        <v>0</v>
      </c>
      <c r="I2015" s="4">
        <v>0</v>
      </c>
    </row>
    <row r="2016" spans="1:9" x14ac:dyDescent="0.2">
      <c r="A2016" s="2">
        <v>13</v>
      </c>
      <c r="B2016" s="1" t="s">
        <v>176</v>
      </c>
      <c r="C2016" s="4">
        <v>3</v>
      </c>
      <c r="D2016" s="8">
        <v>0.93</v>
      </c>
      <c r="E2016" s="4">
        <v>3</v>
      </c>
      <c r="F2016" s="8">
        <v>1.36</v>
      </c>
      <c r="G2016" s="4">
        <v>0</v>
      </c>
      <c r="H2016" s="8">
        <v>0</v>
      </c>
      <c r="I2016" s="4">
        <v>0</v>
      </c>
    </row>
    <row r="2017" spans="1:9" x14ac:dyDescent="0.2">
      <c r="A2017" s="2">
        <v>13</v>
      </c>
      <c r="B2017" s="1" t="s">
        <v>262</v>
      </c>
      <c r="C2017" s="4">
        <v>3</v>
      </c>
      <c r="D2017" s="8">
        <v>0.93</v>
      </c>
      <c r="E2017" s="4">
        <v>0</v>
      </c>
      <c r="F2017" s="8">
        <v>0</v>
      </c>
      <c r="G2017" s="4">
        <v>2</v>
      </c>
      <c r="H2017" s="8">
        <v>2.2000000000000002</v>
      </c>
      <c r="I2017" s="4">
        <v>1</v>
      </c>
    </row>
    <row r="2018" spans="1:9" x14ac:dyDescent="0.2">
      <c r="A2018" s="2">
        <v>13</v>
      </c>
      <c r="B2018" s="1" t="s">
        <v>197</v>
      </c>
      <c r="C2018" s="4">
        <v>3</v>
      </c>
      <c r="D2018" s="8">
        <v>0.93</v>
      </c>
      <c r="E2018" s="4">
        <v>2</v>
      </c>
      <c r="F2018" s="8">
        <v>0.9</v>
      </c>
      <c r="G2018" s="4">
        <v>1</v>
      </c>
      <c r="H2018" s="8">
        <v>1.1000000000000001</v>
      </c>
      <c r="I2018" s="4">
        <v>0</v>
      </c>
    </row>
    <row r="2019" spans="1:9" x14ac:dyDescent="0.2">
      <c r="A2019" s="2">
        <v>13</v>
      </c>
      <c r="B2019" s="1" t="s">
        <v>215</v>
      </c>
      <c r="C2019" s="4">
        <v>3</v>
      </c>
      <c r="D2019" s="8">
        <v>0.93</v>
      </c>
      <c r="E2019" s="4">
        <v>1</v>
      </c>
      <c r="F2019" s="8">
        <v>0.45</v>
      </c>
      <c r="G2019" s="4">
        <v>2</v>
      </c>
      <c r="H2019" s="8">
        <v>2.2000000000000002</v>
      </c>
      <c r="I2019" s="4">
        <v>0</v>
      </c>
    </row>
    <row r="2020" spans="1:9" x14ac:dyDescent="0.2">
      <c r="A2020" s="2">
        <v>13</v>
      </c>
      <c r="B2020" s="1" t="s">
        <v>322</v>
      </c>
      <c r="C2020" s="4">
        <v>3</v>
      </c>
      <c r="D2020" s="8">
        <v>0.93</v>
      </c>
      <c r="E2020" s="4">
        <v>0</v>
      </c>
      <c r="F2020" s="8">
        <v>0</v>
      </c>
      <c r="G2020" s="4">
        <v>3</v>
      </c>
      <c r="H2020" s="8">
        <v>3.3</v>
      </c>
      <c r="I2020" s="4">
        <v>0</v>
      </c>
    </row>
    <row r="2021" spans="1:9" x14ac:dyDescent="0.2">
      <c r="A2021" s="2">
        <v>13</v>
      </c>
      <c r="B2021" s="1" t="s">
        <v>184</v>
      </c>
      <c r="C2021" s="4">
        <v>3</v>
      </c>
      <c r="D2021" s="8">
        <v>0.93</v>
      </c>
      <c r="E2021" s="4">
        <v>2</v>
      </c>
      <c r="F2021" s="8">
        <v>0.9</v>
      </c>
      <c r="G2021" s="4">
        <v>1</v>
      </c>
      <c r="H2021" s="8">
        <v>1.1000000000000001</v>
      </c>
      <c r="I2021" s="4">
        <v>0</v>
      </c>
    </row>
    <row r="2022" spans="1:9" x14ac:dyDescent="0.2">
      <c r="A2022" s="2">
        <v>13</v>
      </c>
      <c r="B2022" s="1" t="s">
        <v>247</v>
      </c>
      <c r="C2022" s="4">
        <v>3</v>
      </c>
      <c r="D2022" s="8">
        <v>0.93</v>
      </c>
      <c r="E2022" s="4">
        <v>2</v>
      </c>
      <c r="F2022" s="8">
        <v>0.9</v>
      </c>
      <c r="G2022" s="4">
        <v>1</v>
      </c>
      <c r="H2022" s="8">
        <v>1.1000000000000001</v>
      </c>
      <c r="I2022" s="4">
        <v>0</v>
      </c>
    </row>
    <row r="2023" spans="1:9" x14ac:dyDescent="0.2">
      <c r="A2023" s="2">
        <v>13</v>
      </c>
      <c r="B2023" s="1" t="s">
        <v>220</v>
      </c>
      <c r="C2023" s="4">
        <v>3</v>
      </c>
      <c r="D2023" s="8">
        <v>0.93</v>
      </c>
      <c r="E2023" s="4">
        <v>3</v>
      </c>
      <c r="F2023" s="8">
        <v>1.36</v>
      </c>
      <c r="G2023" s="4">
        <v>0</v>
      </c>
      <c r="H2023" s="8">
        <v>0</v>
      </c>
      <c r="I2023" s="4">
        <v>0</v>
      </c>
    </row>
    <row r="2024" spans="1:9" x14ac:dyDescent="0.2">
      <c r="A2024" s="2">
        <v>13</v>
      </c>
      <c r="B2024" s="1" t="s">
        <v>223</v>
      </c>
      <c r="C2024" s="4">
        <v>3</v>
      </c>
      <c r="D2024" s="8">
        <v>0.93</v>
      </c>
      <c r="E2024" s="4">
        <v>0</v>
      </c>
      <c r="F2024" s="8">
        <v>0</v>
      </c>
      <c r="G2024" s="4">
        <v>1</v>
      </c>
      <c r="H2024" s="8">
        <v>1.1000000000000001</v>
      </c>
      <c r="I2024" s="4">
        <v>0</v>
      </c>
    </row>
    <row r="2025" spans="1:9" x14ac:dyDescent="0.2">
      <c r="A2025" s="1"/>
      <c r="C2025" s="4"/>
      <c r="D2025" s="8"/>
      <c r="E2025" s="4"/>
      <c r="F2025" s="8"/>
      <c r="G2025" s="4"/>
      <c r="H2025" s="8"/>
      <c r="I2025" s="4"/>
    </row>
    <row r="2026" spans="1:9" x14ac:dyDescent="0.2">
      <c r="A2026" s="1" t="s">
        <v>74</v>
      </c>
      <c r="C2026" s="4"/>
      <c r="D2026" s="8"/>
      <c r="E2026" s="4"/>
      <c r="F2026" s="8"/>
      <c r="G2026" s="4"/>
      <c r="H2026" s="8"/>
      <c r="I2026" s="4"/>
    </row>
    <row r="2027" spans="1:9" x14ac:dyDescent="0.2">
      <c r="A2027" s="2">
        <v>1</v>
      </c>
      <c r="B2027" s="1" t="s">
        <v>185</v>
      </c>
      <c r="C2027" s="4">
        <v>40</v>
      </c>
      <c r="D2027" s="8">
        <v>14.65</v>
      </c>
      <c r="E2027" s="4">
        <v>34</v>
      </c>
      <c r="F2027" s="8">
        <v>21.25</v>
      </c>
      <c r="G2027" s="4">
        <v>6</v>
      </c>
      <c r="H2027" s="8">
        <v>5.66</v>
      </c>
      <c r="I2027" s="4">
        <v>0</v>
      </c>
    </row>
    <row r="2028" spans="1:9" x14ac:dyDescent="0.2">
      <c r="A2028" s="2">
        <v>2</v>
      </c>
      <c r="B2028" s="1" t="s">
        <v>174</v>
      </c>
      <c r="C2028" s="4">
        <v>15</v>
      </c>
      <c r="D2028" s="8">
        <v>5.49</v>
      </c>
      <c r="E2028" s="4">
        <v>2</v>
      </c>
      <c r="F2028" s="8">
        <v>1.25</v>
      </c>
      <c r="G2028" s="4">
        <v>13</v>
      </c>
      <c r="H2028" s="8">
        <v>12.26</v>
      </c>
      <c r="I2028" s="4">
        <v>0</v>
      </c>
    </row>
    <row r="2029" spans="1:9" x14ac:dyDescent="0.2">
      <c r="A2029" s="2">
        <v>3</v>
      </c>
      <c r="B2029" s="1" t="s">
        <v>186</v>
      </c>
      <c r="C2029" s="4">
        <v>13</v>
      </c>
      <c r="D2029" s="8">
        <v>4.76</v>
      </c>
      <c r="E2029" s="4">
        <v>6</v>
      </c>
      <c r="F2029" s="8">
        <v>3.75</v>
      </c>
      <c r="G2029" s="4">
        <v>7</v>
      </c>
      <c r="H2029" s="8">
        <v>6.6</v>
      </c>
      <c r="I2029" s="4">
        <v>0</v>
      </c>
    </row>
    <row r="2030" spans="1:9" x14ac:dyDescent="0.2">
      <c r="A2030" s="2">
        <v>4</v>
      </c>
      <c r="B2030" s="1" t="s">
        <v>190</v>
      </c>
      <c r="C2030" s="4">
        <v>8</v>
      </c>
      <c r="D2030" s="8">
        <v>2.93</v>
      </c>
      <c r="E2030" s="4">
        <v>8</v>
      </c>
      <c r="F2030" s="8">
        <v>5</v>
      </c>
      <c r="G2030" s="4">
        <v>0</v>
      </c>
      <c r="H2030" s="8">
        <v>0</v>
      </c>
      <c r="I2030" s="4">
        <v>0</v>
      </c>
    </row>
    <row r="2031" spans="1:9" x14ac:dyDescent="0.2">
      <c r="A2031" s="2">
        <v>5</v>
      </c>
      <c r="B2031" s="1" t="s">
        <v>353</v>
      </c>
      <c r="C2031" s="4">
        <v>7</v>
      </c>
      <c r="D2031" s="8">
        <v>2.56</v>
      </c>
      <c r="E2031" s="4">
        <v>6</v>
      </c>
      <c r="F2031" s="8">
        <v>3.75</v>
      </c>
      <c r="G2031" s="4">
        <v>1</v>
      </c>
      <c r="H2031" s="8">
        <v>0.94</v>
      </c>
      <c r="I2031" s="4">
        <v>0</v>
      </c>
    </row>
    <row r="2032" spans="1:9" x14ac:dyDescent="0.2">
      <c r="A2032" s="2">
        <v>5</v>
      </c>
      <c r="B2032" s="1" t="s">
        <v>180</v>
      </c>
      <c r="C2032" s="4">
        <v>7</v>
      </c>
      <c r="D2032" s="8">
        <v>2.56</v>
      </c>
      <c r="E2032" s="4">
        <v>4</v>
      </c>
      <c r="F2032" s="8">
        <v>2.5</v>
      </c>
      <c r="G2032" s="4">
        <v>3</v>
      </c>
      <c r="H2032" s="8">
        <v>2.83</v>
      </c>
      <c r="I2032" s="4">
        <v>0</v>
      </c>
    </row>
    <row r="2033" spans="1:9" x14ac:dyDescent="0.2">
      <c r="A2033" s="2">
        <v>5</v>
      </c>
      <c r="B2033" s="1" t="s">
        <v>191</v>
      </c>
      <c r="C2033" s="4">
        <v>7</v>
      </c>
      <c r="D2033" s="8">
        <v>2.56</v>
      </c>
      <c r="E2033" s="4">
        <v>5</v>
      </c>
      <c r="F2033" s="8">
        <v>3.13</v>
      </c>
      <c r="G2033" s="4">
        <v>2</v>
      </c>
      <c r="H2033" s="8">
        <v>1.89</v>
      </c>
      <c r="I2033" s="4">
        <v>0</v>
      </c>
    </row>
    <row r="2034" spans="1:9" x14ac:dyDescent="0.2">
      <c r="A2034" s="2">
        <v>8</v>
      </c>
      <c r="B2034" s="1" t="s">
        <v>176</v>
      </c>
      <c r="C2034" s="4">
        <v>6</v>
      </c>
      <c r="D2034" s="8">
        <v>2.2000000000000002</v>
      </c>
      <c r="E2034" s="4">
        <v>2</v>
      </c>
      <c r="F2034" s="8">
        <v>1.25</v>
      </c>
      <c r="G2034" s="4">
        <v>4</v>
      </c>
      <c r="H2034" s="8">
        <v>3.77</v>
      </c>
      <c r="I2034" s="4">
        <v>0</v>
      </c>
    </row>
    <row r="2035" spans="1:9" x14ac:dyDescent="0.2">
      <c r="A2035" s="2">
        <v>8</v>
      </c>
      <c r="B2035" s="1" t="s">
        <v>210</v>
      </c>
      <c r="C2035" s="4">
        <v>6</v>
      </c>
      <c r="D2035" s="8">
        <v>2.2000000000000002</v>
      </c>
      <c r="E2035" s="4">
        <v>6</v>
      </c>
      <c r="F2035" s="8">
        <v>3.75</v>
      </c>
      <c r="G2035" s="4">
        <v>0</v>
      </c>
      <c r="H2035" s="8">
        <v>0</v>
      </c>
      <c r="I2035" s="4">
        <v>0</v>
      </c>
    </row>
    <row r="2036" spans="1:9" x14ac:dyDescent="0.2">
      <c r="A2036" s="2">
        <v>8</v>
      </c>
      <c r="B2036" s="1" t="s">
        <v>198</v>
      </c>
      <c r="C2036" s="4">
        <v>6</v>
      </c>
      <c r="D2036" s="8">
        <v>2.2000000000000002</v>
      </c>
      <c r="E2036" s="4">
        <v>6</v>
      </c>
      <c r="F2036" s="8">
        <v>3.75</v>
      </c>
      <c r="G2036" s="4">
        <v>0</v>
      </c>
      <c r="H2036" s="8">
        <v>0</v>
      </c>
      <c r="I2036" s="4">
        <v>0</v>
      </c>
    </row>
    <row r="2037" spans="1:9" x14ac:dyDescent="0.2">
      <c r="A2037" s="2">
        <v>11</v>
      </c>
      <c r="B2037" s="1" t="s">
        <v>177</v>
      </c>
      <c r="C2037" s="4">
        <v>5</v>
      </c>
      <c r="D2037" s="8">
        <v>1.83</v>
      </c>
      <c r="E2037" s="4">
        <v>1</v>
      </c>
      <c r="F2037" s="8">
        <v>0.63</v>
      </c>
      <c r="G2037" s="4">
        <v>4</v>
      </c>
      <c r="H2037" s="8">
        <v>3.77</v>
      </c>
      <c r="I2037" s="4">
        <v>0</v>
      </c>
    </row>
    <row r="2038" spans="1:9" x14ac:dyDescent="0.2">
      <c r="A2038" s="2">
        <v>11</v>
      </c>
      <c r="B2038" s="1" t="s">
        <v>181</v>
      </c>
      <c r="C2038" s="4">
        <v>5</v>
      </c>
      <c r="D2038" s="8">
        <v>1.83</v>
      </c>
      <c r="E2038" s="4">
        <v>4</v>
      </c>
      <c r="F2038" s="8">
        <v>2.5</v>
      </c>
      <c r="G2038" s="4">
        <v>1</v>
      </c>
      <c r="H2038" s="8">
        <v>0.94</v>
      </c>
      <c r="I2038" s="4">
        <v>0</v>
      </c>
    </row>
    <row r="2039" spans="1:9" x14ac:dyDescent="0.2">
      <c r="A2039" s="2">
        <v>11</v>
      </c>
      <c r="B2039" s="1" t="s">
        <v>184</v>
      </c>
      <c r="C2039" s="4">
        <v>5</v>
      </c>
      <c r="D2039" s="8">
        <v>1.83</v>
      </c>
      <c r="E2039" s="4">
        <v>1</v>
      </c>
      <c r="F2039" s="8">
        <v>0.63</v>
      </c>
      <c r="G2039" s="4">
        <v>4</v>
      </c>
      <c r="H2039" s="8">
        <v>3.77</v>
      </c>
      <c r="I2039" s="4">
        <v>0</v>
      </c>
    </row>
    <row r="2040" spans="1:9" x14ac:dyDescent="0.2">
      <c r="A2040" s="2">
        <v>11</v>
      </c>
      <c r="B2040" s="1" t="s">
        <v>192</v>
      </c>
      <c r="C2040" s="4">
        <v>5</v>
      </c>
      <c r="D2040" s="8">
        <v>1.83</v>
      </c>
      <c r="E2040" s="4">
        <v>4</v>
      </c>
      <c r="F2040" s="8">
        <v>2.5</v>
      </c>
      <c r="G2040" s="4">
        <v>1</v>
      </c>
      <c r="H2040" s="8">
        <v>0.94</v>
      </c>
      <c r="I2040" s="4">
        <v>0</v>
      </c>
    </row>
    <row r="2041" spans="1:9" x14ac:dyDescent="0.2">
      <c r="A2041" s="2">
        <v>15</v>
      </c>
      <c r="B2041" s="1" t="s">
        <v>175</v>
      </c>
      <c r="C2041" s="4">
        <v>4</v>
      </c>
      <c r="D2041" s="8">
        <v>1.47</v>
      </c>
      <c r="E2041" s="4">
        <v>1</v>
      </c>
      <c r="F2041" s="8">
        <v>0.63</v>
      </c>
      <c r="G2041" s="4">
        <v>3</v>
      </c>
      <c r="H2041" s="8">
        <v>2.83</v>
      </c>
      <c r="I2041" s="4">
        <v>0</v>
      </c>
    </row>
    <row r="2042" spans="1:9" x14ac:dyDescent="0.2">
      <c r="A2042" s="2">
        <v>15</v>
      </c>
      <c r="B2042" s="1" t="s">
        <v>295</v>
      </c>
      <c r="C2042" s="4">
        <v>4</v>
      </c>
      <c r="D2042" s="8">
        <v>1.47</v>
      </c>
      <c r="E2042" s="4">
        <v>0</v>
      </c>
      <c r="F2042" s="8">
        <v>0</v>
      </c>
      <c r="G2042" s="4">
        <v>4</v>
      </c>
      <c r="H2042" s="8">
        <v>3.77</v>
      </c>
      <c r="I2042" s="4">
        <v>0</v>
      </c>
    </row>
    <row r="2043" spans="1:9" x14ac:dyDescent="0.2">
      <c r="A2043" s="2">
        <v>15</v>
      </c>
      <c r="B2043" s="1" t="s">
        <v>226</v>
      </c>
      <c r="C2043" s="4">
        <v>4</v>
      </c>
      <c r="D2043" s="8">
        <v>1.47</v>
      </c>
      <c r="E2043" s="4">
        <v>3</v>
      </c>
      <c r="F2043" s="8">
        <v>1.88</v>
      </c>
      <c r="G2043" s="4">
        <v>1</v>
      </c>
      <c r="H2043" s="8">
        <v>0.94</v>
      </c>
      <c r="I2043" s="4">
        <v>0</v>
      </c>
    </row>
    <row r="2044" spans="1:9" x14ac:dyDescent="0.2">
      <c r="A2044" s="2">
        <v>15</v>
      </c>
      <c r="B2044" s="1" t="s">
        <v>233</v>
      </c>
      <c r="C2044" s="4">
        <v>4</v>
      </c>
      <c r="D2044" s="8">
        <v>1.47</v>
      </c>
      <c r="E2044" s="4">
        <v>3</v>
      </c>
      <c r="F2044" s="8">
        <v>1.88</v>
      </c>
      <c r="G2044" s="4">
        <v>1</v>
      </c>
      <c r="H2044" s="8">
        <v>0.94</v>
      </c>
      <c r="I2044" s="4">
        <v>0</v>
      </c>
    </row>
    <row r="2045" spans="1:9" x14ac:dyDescent="0.2">
      <c r="A2045" s="2">
        <v>15</v>
      </c>
      <c r="B2045" s="1" t="s">
        <v>187</v>
      </c>
      <c r="C2045" s="4">
        <v>4</v>
      </c>
      <c r="D2045" s="8">
        <v>1.47</v>
      </c>
      <c r="E2045" s="4">
        <v>4</v>
      </c>
      <c r="F2045" s="8">
        <v>2.5</v>
      </c>
      <c r="G2045" s="4">
        <v>0</v>
      </c>
      <c r="H2045" s="8">
        <v>0</v>
      </c>
      <c r="I2045" s="4">
        <v>0</v>
      </c>
    </row>
    <row r="2046" spans="1:9" x14ac:dyDescent="0.2">
      <c r="A2046" s="2">
        <v>15</v>
      </c>
      <c r="B2046" s="1" t="s">
        <v>220</v>
      </c>
      <c r="C2046" s="4">
        <v>4</v>
      </c>
      <c r="D2046" s="8">
        <v>1.47</v>
      </c>
      <c r="E2046" s="4">
        <v>4</v>
      </c>
      <c r="F2046" s="8">
        <v>2.5</v>
      </c>
      <c r="G2046" s="4">
        <v>0</v>
      </c>
      <c r="H2046" s="8">
        <v>0</v>
      </c>
      <c r="I2046" s="4">
        <v>0</v>
      </c>
    </row>
    <row r="2047" spans="1:9" x14ac:dyDescent="0.2">
      <c r="A2047" s="2">
        <v>15</v>
      </c>
      <c r="B2047" s="1" t="s">
        <v>223</v>
      </c>
      <c r="C2047" s="4">
        <v>4</v>
      </c>
      <c r="D2047" s="8">
        <v>1.47</v>
      </c>
      <c r="E2047" s="4">
        <v>0</v>
      </c>
      <c r="F2047" s="8">
        <v>0</v>
      </c>
      <c r="G2047" s="4">
        <v>1</v>
      </c>
      <c r="H2047" s="8">
        <v>0.94</v>
      </c>
      <c r="I2047" s="4">
        <v>0</v>
      </c>
    </row>
    <row r="2048" spans="1:9" x14ac:dyDescent="0.2">
      <c r="A2048" s="1"/>
      <c r="C2048" s="4"/>
      <c r="D2048" s="8"/>
      <c r="E2048" s="4"/>
      <c r="F2048" s="8"/>
      <c r="G2048" s="4"/>
      <c r="H2048" s="8"/>
      <c r="I2048" s="4"/>
    </row>
    <row r="2049" spans="1:9" x14ac:dyDescent="0.2">
      <c r="A2049" s="1" t="s">
        <v>75</v>
      </c>
      <c r="C2049" s="4"/>
      <c r="D2049" s="8"/>
      <c r="E2049" s="4"/>
      <c r="F2049" s="8"/>
      <c r="G2049" s="4"/>
      <c r="H2049" s="8"/>
      <c r="I2049" s="4"/>
    </row>
    <row r="2050" spans="1:9" x14ac:dyDescent="0.2">
      <c r="A2050" s="2">
        <v>1</v>
      </c>
      <c r="B2050" s="1" t="s">
        <v>174</v>
      </c>
      <c r="C2050" s="4">
        <v>6</v>
      </c>
      <c r="D2050" s="8">
        <v>6.67</v>
      </c>
      <c r="E2050" s="4">
        <v>0</v>
      </c>
      <c r="F2050" s="8">
        <v>0</v>
      </c>
      <c r="G2050" s="4">
        <v>6</v>
      </c>
      <c r="H2050" s="8">
        <v>21.43</v>
      </c>
      <c r="I2050" s="4">
        <v>0</v>
      </c>
    </row>
    <row r="2051" spans="1:9" x14ac:dyDescent="0.2">
      <c r="A2051" s="2">
        <v>1</v>
      </c>
      <c r="B2051" s="1" t="s">
        <v>181</v>
      </c>
      <c r="C2051" s="4">
        <v>6</v>
      </c>
      <c r="D2051" s="8">
        <v>6.67</v>
      </c>
      <c r="E2051" s="4">
        <v>5</v>
      </c>
      <c r="F2051" s="8">
        <v>8.93</v>
      </c>
      <c r="G2051" s="4">
        <v>1</v>
      </c>
      <c r="H2051" s="8">
        <v>3.57</v>
      </c>
      <c r="I2051" s="4">
        <v>0</v>
      </c>
    </row>
    <row r="2052" spans="1:9" x14ac:dyDescent="0.2">
      <c r="A2052" s="2">
        <v>3</v>
      </c>
      <c r="B2052" s="1" t="s">
        <v>176</v>
      </c>
      <c r="C2052" s="4">
        <v>4</v>
      </c>
      <c r="D2052" s="8">
        <v>4.4400000000000004</v>
      </c>
      <c r="E2052" s="4">
        <v>3</v>
      </c>
      <c r="F2052" s="8">
        <v>5.36</v>
      </c>
      <c r="G2052" s="4">
        <v>1</v>
      </c>
      <c r="H2052" s="8">
        <v>3.57</v>
      </c>
      <c r="I2052" s="4">
        <v>0</v>
      </c>
    </row>
    <row r="2053" spans="1:9" x14ac:dyDescent="0.2">
      <c r="A2053" s="2">
        <v>3</v>
      </c>
      <c r="B2053" s="1" t="s">
        <v>214</v>
      </c>
      <c r="C2053" s="4">
        <v>4</v>
      </c>
      <c r="D2053" s="8">
        <v>4.4400000000000004</v>
      </c>
      <c r="E2053" s="4">
        <v>3</v>
      </c>
      <c r="F2053" s="8">
        <v>5.36</v>
      </c>
      <c r="G2053" s="4">
        <v>1</v>
      </c>
      <c r="H2053" s="8">
        <v>3.57</v>
      </c>
      <c r="I2053" s="4">
        <v>0</v>
      </c>
    </row>
    <row r="2054" spans="1:9" x14ac:dyDescent="0.2">
      <c r="A2054" s="2">
        <v>3</v>
      </c>
      <c r="B2054" s="1" t="s">
        <v>185</v>
      </c>
      <c r="C2054" s="4">
        <v>4</v>
      </c>
      <c r="D2054" s="8">
        <v>4.4400000000000004</v>
      </c>
      <c r="E2054" s="4">
        <v>2</v>
      </c>
      <c r="F2054" s="8">
        <v>3.57</v>
      </c>
      <c r="G2054" s="4">
        <v>1</v>
      </c>
      <c r="H2054" s="8">
        <v>3.57</v>
      </c>
      <c r="I2054" s="4">
        <v>0</v>
      </c>
    </row>
    <row r="2055" spans="1:9" x14ac:dyDescent="0.2">
      <c r="A2055" s="2">
        <v>3</v>
      </c>
      <c r="B2055" s="1" t="s">
        <v>190</v>
      </c>
      <c r="C2055" s="4">
        <v>4</v>
      </c>
      <c r="D2055" s="8">
        <v>4.4400000000000004</v>
      </c>
      <c r="E2055" s="4">
        <v>4</v>
      </c>
      <c r="F2055" s="8">
        <v>7.14</v>
      </c>
      <c r="G2055" s="4">
        <v>0</v>
      </c>
      <c r="H2055" s="8">
        <v>0</v>
      </c>
      <c r="I2055" s="4">
        <v>0</v>
      </c>
    </row>
    <row r="2056" spans="1:9" x14ac:dyDescent="0.2">
      <c r="A2056" s="2">
        <v>3</v>
      </c>
      <c r="B2056" s="1" t="s">
        <v>191</v>
      </c>
      <c r="C2056" s="4">
        <v>4</v>
      </c>
      <c r="D2056" s="8">
        <v>4.4400000000000004</v>
      </c>
      <c r="E2056" s="4">
        <v>4</v>
      </c>
      <c r="F2056" s="8">
        <v>7.14</v>
      </c>
      <c r="G2056" s="4">
        <v>0</v>
      </c>
      <c r="H2056" s="8">
        <v>0</v>
      </c>
      <c r="I2056" s="4">
        <v>0</v>
      </c>
    </row>
    <row r="2057" spans="1:9" x14ac:dyDescent="0.2">
      <c r="A2057" s="2">
        <v>8</v>
      </c>
      <c r="B2057" s="1" t="s">
        <v>175</v>
      </c>
      <c r="C2057" s="4">
        <v>3</v>
      </c>
      <c r="D2057" s="8">
        <v>3.33</v>
      </c>
      <c r="E2057" s="4">
        <v>0</v>
      </c>
      <c r="F2057" s="8">
        <v>0</v>
      </c>
      <c r="G2057" s="4">
        <v>3</v>
      </c>
      <c r="H2057" s="8">
        <v>10.71</v>
      </c>
      <c r="I2057" s="4">
        <v>0</v>
      </c>
    </row>
    <row r="2058" spans="1:9" x14ac:dyDescent="0.2">
      <c r="A2058" s="2">
        <v>9</v>
      </c>
      <c r="B2058" s="1" t="s">
        <v>224</v>
      </c>
      <c r="C2058" s="4">
        <v>2</v>
      </c>
      <c r="D2058" s="8">
        <v>2.2200000000000002</v>
      </c>
      <c r="E2058" s="4">
        <v>2</v>
      </c>
      <c r="F2058" s="8">
        <v>3.57</v>
      </c>
      <c r="G2058" s="4">
        <v>0</v>
      </c>
      <c r="H2058" s="8">
        <v>0</v>
      </c>
      <c r="I2058" s="4">
        <v>0</v>
      </c>
    </row>
    <row r="2059" spans="1:9" x14ac:dyDescent="0.2">
      <c r="A2059" s="2">
        <v>9</v>
      </c>
      <c r="B2059" s="1" t="s">
        <v>218</v>
      </c>
      <c r="C2059" s="4">
        <v>2</v>
      </c>
      <c r="D2059" s="8">
        <v>2.2200000000000002</v>
      </c>
      <c r="E2059" s="4">
        <v>2</v>
      </c>
      <c r="F2059" s="8">
        <v>3.57</v>
      </c>
      <c r="G2059" s="4">
        <v>0</v>
      </c>
      <c r="H2059" s="8">
        <v>0</v>
      </c>
      <c r="I2059" s="4">
        <v>0</v>
      </c>
    </row>
    <row r="2060" spans="1:9" x14ac:dyDescent="0.2">
      <c r="A2060" s="2">
        <v>9</v>
      </c>
      <c r="B2060" s="1" t="s">
        <v>177</v>
      </c>
      <c r="C2060" s="4">
        <v>2</v>
      </c>
      <c r="D2060" s="8">
        <v>2.2200000000000002</v>
      </c>
      <c r="E2060" s="4">
        <v>2</v>
      </c>
      <c r="F2060" s="8">
        <v>3.57</v>
      </c>
      <c r="G2060" s="4">
        <v>0</v>
      </c>
      <c r="H2060" s="8">
        <v>0</v>
      </c>
      <c r="I2060" s="4">
        <v>0</v>
      </c>
    </row>
    <row r="2061" spans="1:9" x14ac:dyDescent="0.2">
      <c r="A2061" s="2">
        <v>9</v>
      </c>
      <c r="B2061" s="1" t="s">
        <v>197</v>
      </c>
      <c r="C2061" s="4">
        <v>2</v>
      </c>
      <c r="D2061" s="8">
        <v>2.2200000000000002</v>
      </c>
      <c r="E2061" s="4">
        <v>2</v>
      </c>
      <c r="F2061" s="8">
        <v>3.57</v>
      </c>
      <c r="G2061" s="4">
        <v>0</v>
      </c>
      <c r="H2061" s="8">
        <v>0</v>
      </c>
      <c r="I2061" s="4">
        <v>0</v>
      </c>
    </row>
    <row r="2062" spans="1:9" x14ac:dyDescent="0.2">
      <c r="A2062" s="2">
        <v>9</v>
      </c>
      <c r="B2062" s="1" t="s">
        <v>179</v>
      </c>
      <c r="C2062" s="4">
        <v>2</v>
      </c>
      <c r="D2062" s="8">
        <v>2.2200000000000002</v>
      </c>
      <c r="E2062" s="4">
        <v>2</v>
      </c>
      <c r="F2062" s="8">
        <v>3.57</v>
      </c>
      <c r="G2062" s="4">
        <v>0</v>
      </c>
      <c r="H2062" s="8">
        <v>0</v>
      </c>
      <c r="I2062" s="4">
        <v>0</v>
      </c>
    </row>
    <row r="2063" spans="1:9" x14ac:dyDescent="0.2">
      <c r="A2063" s="2">
        <v>9</v>
      </c>
      <c r="B2063" s="1" t="s">
        <v>219</v>
      </c>
      <c r="C2063" s="4">
        <v>2</v>
      </c>
      <c r="D2063" s="8">
        <v>2.2200000000000002</v>
      </c>
      <c r="E2063" s="4">
        <v>2</v>
      </c>
      <c r="F2063" s="8">
        <v>3.57</v>
      </c>
      <c r="G2063" s="4">
        <v>0</v>
      </c>
      <c r="H2063" s="8">
        <v>0</v>
      </c>
      <c r="I2063" s="4">
        <v>0</v>
      </c>
    </row>
    <row r="2064" spans="1:9" x14ac:dyDescent="0.2">
      <c r="A2064" s="2">
        <v>9</v>
      </c>
      <c r="B2064" s="1" t="s">
        <v>216</v>
      </c>
      <c r="C2064" s="4">
        <v>2</v>
      </c>
      <c r="D2064" s="8">
        <v>2.2200000000000002</v>
      </c>
      <c r="E2064" s="4">
        <v>0</v>
      </c>
      <c r="F2064" s="8">
        <v>0</v>
      </c>
      <c r="G2064" s="4">
        <v>2</v>
      </c>
      <c r="H2064" s="8">
        <v>7.14</v>
      </c>
      <c r="I2064" s="4">
        <v>0</v>
      </c>
    </row>
    <row r="2065" spans="1:9" x14ac:dyDescent="0.2">
      <c r="A2065" s="2">
        <v>9</v>
      </c>
      <c r="B2065" s="1" t="s">
        <v>289</v>
      </c>
      <c r="C2065" s="4">
        <v>2</v>
      </c>
      <c r="D2065" s="8">
        <v>2.2200000000000002</v>
      </c>
      <c r="E2065" s="4">
        <v>0</v>
      </c>
      <c r="F2065" s="8">
        <v>0</v>
      </c>
      <c r="G2065" s="4">
        <v>0</v>
      </c>
      <c r="H2065" s="8">
        <v>0</v>
      </c>
      <c r="I2065" s="4">
        <v>0</v>
      </c>
    </row>
    <row r="2066" spans="1:9" x14ac:dyDescent="0.2">
      <c r="A2066" s="2">
        <v>17</v>
      </c>
      <c r="B2066" s="1" t="s">
        <v>260</v>
      </c>
      <c r="C2066" s="4">
        <v>1</v>
      </c>
      <c r="D2066" s="8">
        <v>1.1100000000000001</v>
      </c>
      <c r="E2066" s="4">
        <v>0</v>
      </c>
      <c r="F2066" s="8">
        <v>0</v>
      </c>
      <c r="G2066" s="4">
        <v>1</v>
      </c>
      <c r="H2066" s="8">
        <v>3.57</v>
      </c>
      <c r="I2066" s="4">
        <v>0</v>
      </c>
    </row>
    <row r="2067" spans="1:9" x14ac:dyDescent="0.2">
      <c r="A2067" s="2">
        <v>17</v>
      </c>
      <c r="B2067" s="1" t="s">
        <v>210</v>
      </c>
      <c r="C2067" s="4">
        <v>1</v>
      </c>
      <c r="D2067" s="8">
        <v>1.1100000000000001</v>
      </c>
      <c r="E2067" s="4">
        <v>1</v>
      </c>
      <c r="F2067" s="8">
        <v>1.79</v>
      </c>
      <c r="G2067" s="4">
        <v>0</v>
      </c>
      <c r="H2067" s="8">
        <v>0</v>
      </c>
      <c r="I2067" s="4">
        <v>0</v>
      </c>
    </row>
    <row r="2068" spans="1:9" x14ac:dyDescent="0.2">
      <c r="A2068" s="2">
        <v>17</v>
      </c>
      <c r="B2068" s="1" t="s">
        <v>266</v>
      </c>
      <c r="C2068" s="4">
        <v>1</v>
      </c>
      <c r="D2068" s="8">
        <v>1.1100000000000001</v>
      </c>
      <c r="E2068" s="4">
        <v>0</v>
      </c>
      <c r="F2068" s="8">
        <v>0</v>
      </c>
      <c r="G2068" s="4">
        <v>1</v>
      </c>
      <c r="H2068" s="8">
        <v>3.57</v>
      </c>
      <c r="I2068" s="4">
        <v>0</v>
      </c>
    </row>
    <row r="2069" spans="1:9" x14ac:dyDescent="0.2">
      <c r="A2069" s="2">
        <v>17</v>
      </c>
      <c r="B2069" s="1" t="s">
        <v>323</v>
      </c>
      <c r="C2069" s="4">
        <v>1</v>
      </c>
      <c r="D2069" s="8">
        <v>1.1100000000000001</v>
      </c>
      <c r="E2069" s="4">
        <v>1</v>
      </c>
      <c r="F2069" s="8">
        <v>1.79</v>
      </c>
      <c r="G2069" s="4">
        <v>0</v>
      </c>
      <c r="H2069" s="8">
        <v>0</v>
      </c>
      <c r="I2069" s="4">
        <v>0</v>
      </c>
    </row>
    <row r="2070" spans="1:9" x14ac:dyDescent="0.2">
      <c r="A2070" s="2">
        <v>17</v>
      </c>
      <c r="B2070" s="1" t="s">
        <v>201</v>
      </c>
      <c r="C2070" s="4">
        <v>1</v>
      </c>
      <c r="D2070" s="8">
        <v>1.1100000000000001</v>
      </c>
      <c r="E2070" s="4">
        <v>1</v>
      </c>
      <c r="F2070" s="8">
        <v>1.79</v>
      </c>
      <c r="G2070" s="4">
        <v>0</v>
      </c>
      <c r="H2070" s="8">
        <v>0</v>
      </c>
      <c r="I2070" s="4">
        <v>0</v>
      </c>
    </row>
    <row r="2071" spans="1:9" x14ac:dyDescent="0.2">
      <c r="A2071" s="2">
        <v>17</v>
      </c>
      <c r="B2071" s="1" t="s">
        <v>286</v>
      </c>
      <c r="C2071" s="4">
        <v>1</v>
      </c>
      <c r="D2071" s="8">
        <v>1.1100000000000001</v>
      </c>
      <c r="E2071" s="4">
        <v>1</v>
      </c>
      <c r="F2071" s="8">
        <v>1.79</v>
      </c>
      <c r="G2071" s="4">
        <v>0</v>
      </c>
      <c r="H2071" s="8">
        <v>0</v>
      </c>
      <c r="I2071" s="4">
        <v>0</v>
      </c>
    </row>
    <row r="2072" spans="1:9" x14ac:dyDescent="0.2">
      <c r="A2072" s="2">
        <v>17</v>
      </c>
      <c r="B2072" s="1" t="s">
        <v>308</v>
      </c>
      <c r="C2072" s="4">
        <v>1</v>
      </c>
      <c r="D2072" s="8">
        <v>1.1100000000000001</v>
      </c>
      <c r="E2072" s="4">
        <v>0</v>
      </c>
      <c r="F2072" s="8">
        <v>0</v>
      </c>
      <c r="G2072" s="4">
        <v>1</v>
      </c>
      <c r="H2072" s="8">
        <v>3.57</v>
      </c>
      <c r="I2072" s="4">
        <v>0</v>
      </c>
    </row>
    <row r="2073" spans="1:9" x14ac:dyDescent="0.2">
      <c r="A2073" s="2">
        <v>17</v>
      </c>
      <c r="B2073" s="1" t="s">
        <v>230</v>
      </c>
      <c r="C2073" s="4">
        <v>1</v>
      </c>
      <c r="D2073" s="8">
        <v>1.1100000000000001</v>
      </c>
      <c r="E2073" s="4">
        <v>0</v>
      </c>
      <c r="F2073" s="8">
        <v>0</v>
      </c>
      <c r="G2073" s="4">
        <v>1</v>
      </c>
      <c r="H2073" s="8">
        <v>3.57</v>
      </c>
      <c r="I2073" s="4">
        <v>0</v>
      </c>
    </row>
    <row r="2074" spans="1:9" x14ac:dyDescent="0.2">
      <c r="A2074" s="2">
        <v>17</v>
      </c>
      <c r="B2074" s="1" t="s">
        <v>236</v>
      </c>
      <c r="C2074" s="4">
        <v>1</v>
      </c>
      <c r="D2074" s="8">
        <v>1.1100000000000001</v>
      </c>
      <c r="E2074" s="4">
        <v>1</v>
      </c>
      <c r="F2074" s="8">
        <v>1.79</v>
      </c>
      <c r="G2074" s="4">
        <v>0</v>
      </c>
      <c r="H2074" s="8">
        <v>0</v>
      </c>
      <c r="I2074" s="4">
        <v>0</v>
      </c>
    </row>
    <row r="2075" spans="1:9" x14ac:dyDescent="0.2">
      <c r="A2075" s="2">
        <v>17</v>
      </c>
      <c r="B2075" s="1" t="s">
        <v>294</v>
      </c>
      <c r="C2075" s="4">
        <v>1</v>
      </c>
      <c r="D2075" s="8">
        <v>1.1100000000000001</v>
      </c>
      <c r="E2075" s="4">
        <v>1</v>
      </c>
      <c r="F2075" s="8">
        <v>1.79</v>
      </c>
      <c r="G2075" s="4">
        <v>0</v>
      </c>
      <c r="H2075" s="8">
        <v>0</v>
      </c>
      <c r="I2075" s="4">
        <v>0</v>
      </c>
    </row>
    <row r="2076" spans="1:9" x14ac:dyDescent="0.2">
      <c r="A2076" s="2">
        <v>17</v>
      </c>
      <c r="B2076" s="1" t="s">
        <v>279</v>
      </c>
      <c r="C2076" s="4">
        <v>1</v>
      </c>
      <c r="D2076" s="8">
        <v>1.1100000000000001</v>
      </c>
      <c r="E2076" s="4">
        <v>0</v>
      </c>
      <c r="F2076" s="8">
        <v>0</v>
      </c>
      <c r="G2076" s="4">
        <v>1</v>
      </c>
      <c r="H2076" s="8">
        <v>3.57</v>
      </c>
      <c r="I2076" s="4">
        <v>0</v>
      </c>
    </row>
    <row r="2077" spans="1:9" x14ac:dyDescent="0.2">
      <c r="A2077" s="2">
        <v>17</v>
      </c>
      <c r="B2077" s="1" t="s">
        <v>354</v>
      </c>
      <c r="C2077" s="4">
        <v>1</v>
      </c>
      <c r="D2077" s="8">
        <v>1.1100000000000001</v>
      </c>
      <c r="E2077" s="4">
        <v>1</v>
      </c>
      <c r="F2077" s="8">
        <v>1.79</v>
      </c>
      <c r="G2077" s="4">
        <v>0</v>
      </c>
      <c r="H2077" s="8">
        <v>0</v>
      </c>
      <c r="I2077" s="4">
        <v>0</v>
      </c>
    </row>
    <row r="2078" spans="1:9" x14ac:dyDescent="0.2">
      <c r="A2078" s="2">
        <v>17</v>
      </c>
      <c r="B2078" s="1" t="s">
        <v>269</v>
      </c>
      <c r="C2078" s="4">
        <v>1</v>
      </c>
      <c r="D2078" s="8">
        <v>1.1100000000000001</v>
      </c>
      <c r="E2078" s="4">
        <v>0</v>
      </c>
      <c r="F2078" s="8">
        <v>0</v>
      </c>
      <c r="G2078" s="4">
        <v>1</v>
      </c>
      <c r="H2078" s="8">
        <v>3.57</v>
      </c>
      <c r="I2078" s="4">
        <v>0</v>
      </c>
    </row>
    <row r="2079" spans="1:9" x14ac:dyDescent="0.2">
      <c r="A2079" s="2">
        <v>17</v>
      </c>
      <c r="B2079" s="1" t="s">
        <v>239</v>
      </c>
      <c r="C2079" s="4">
        <v>1</v>
      </c>
      <c r="D2079" s="8">
        <v>1.1100000000000001</v>
      </c>
      <c r="E2079" s="4">
        <v>0</v>
      </c>
      <c r="F2079" s="8">
        <v>0</v>
      </c>
      <c r="G2079" s="4">
        <v>0</v>
      </c>
      <c r="H2079" s="8">
        <v>0</v>
      </c>
      <c r="I2079" s="4">
        <v>0</v>
      </c>
    </row>
    <row r="2080" spans="1:9" x14ac:dyDescent="0.2">
      <c r="A2080" s="2">
        <v>17</v>
      </c>
      <c r="B2080" s="1" t="s">
        <v>241</v>
      </c>
      <c r="C2080" s="4">
        <v>1</v>
      </c>
      <c r="D2080" s="8">
        <v>1.1100000000000001</v>
      </c>
      <c r="E2080" s="4">
        <v>1</v>
      </c>
      <c r="F2080" s="8">
        <v>1.79</v>
      </c>
      <c r="G2080" s="4">
        <v>0</v>
      </c>
      <c r="H2080" s="8">
        <v>0</v>
      </c>
      <c r="I2080" s="4">
        <v>0</v>
      </c>
    </row>
    <row r="2081" spans="1:9" x14ac:dyDescent="0.2">
      <c r="A2081" s="2">
        <v>17</v>
      </c>
      <c r="B2081" s="1" t="s">
        <v>213</v>
      </c>
      <c r="C2081" s="4">
        <v>1</v>
      </c>
      <c r="D2081" s="8">
        <v>1.1100000000000001</v>
      </c>
      <c r="E2081" s="4">
        <v>0</v>
      </c>
      <c r="F2081" s="8">
        <v>0</v>
      </c>
      <c r="G2081" s="4">
        <v>1</v>
      </c>
      <c r="H2081" s="8">
        <v>3.57</v>
      </c>
      <c r="I2081" s="4">
        <v>0</v>
      </c>
    </row>
    <row r="2082" spans="1:9" x14ac:dyDescent="0.2">
      <c r="A2082" s="2">
        <v>17</v>
      </c>
      <c r="B2082" s="1" t="s">
        <v>211</v>
      </c>
      <c r="C2082" s="4">
        <v>1</v>
      </c>
      <c r="D2082" s="8">
        <v>1.1100000000000001</v>
      </c>
      <c r="E2082" s="4">
        <v>0</v>
      </c>
      <c r="F2082" s="8">
        <v>0</v>
      </c>
      <c r="G2082" s="4">
        <v>1</v>
      </c>
      <c r="H2082" s="8">
        <v>3.57</v>
      </c>
      <c r="I2082" s="4">
        <v>0</v>
      </c>
    </row>
    <row r="2083" spans="1:9" x14ac:dyDescent="0.2">
      <c r="A2083" s="2">
        <v>17</v>
      </c>
      <c r="B2083" s="1" t="s">
        <v>355</v>
      </c>
      <c r="C2083" s="4">
        <v>1</v>
      </c>
      <c r="D2083" s="8">
        <v>1.1100000000000001</v>
      </c>
      <c r="E2083" s="4">
        <v>1</v>
      </c>
      <c r="F2083" s="8">
        <v>1.79</v>
      </c>
      <c r="G2083" s="4">
        <v>0</v>
      </c>
      <c r="H2083" s="8">
        <v>0</v>
      </c>
      <c r="I2083" s="4">
        <v>0</v>
      </c>
    </row>
    <row r="2084" spans="1:9" x14ac:dyDescent="0.2">
      <c r="A2084" s="2">
        <v>17</v>
      </c>
      <c r="B2084" s="1" t="s">
        <v>356</v>
      </c>
      <c r="C2084" s="4">
        <v>1</v>
      </c>
      <c r="D2084" s="8">
        <v>1.1100000000000001</v>
      </c>
      <c r="E2084" s="4">
        <v>0</v>
      </c>
      <c r="F2084" s="8">
        <v>0</v>
      </c>
      <c r="G2084" s="4">
        <v>1</v>
      </c>
      <c r="H2084" s="8">
        <v>3.57</v>
      </c>
      <c r="I2084" s="4">
        <v>0</v>
      </c>
    </row>
    <row r="2085" spans="1:9" x14ac:dyDescent="0.2">
      <c r="A2085" s="2">
        <v>17</v>
      </c>
      <c r="B2085" s="1" t="s">
        <v>196</v>
      </c>
      <c r="C2085" s="4">
        <v>1</v>
      </c>
      <c r="D2085" s="8">
        <v>1.1100000000000001</v>
      </c>
      <c r="E2085" s="4">
        <v>0</v>
      </c>
      <c r="F2085" s="8">
        <v>0</v>
      </c>
      <c r="G2085" s="4">
        <v>1</v>
      </c>
      <c r="H2085" s="8">
        <v>3.57</v>
      </c>
      <c r="I2085" s="4">
        <v>0</v>
      </c>
    </row>
    <row r="2086" spans="1:9" x14ac:dyDescent="0.2">
      <c r="A2086" s="2">
        <v>17</v>
      </c>
      <c r="B2086" s="1" t="s">
        <v>226</v>
      </c>
      <c r="C2086" s="4">
        <v>1</v>
      </c>
      <c r="D2086" s="8">
        <v>1.1100000000000001</v>
      </c>
      <c r="E2086" s="4">
        <v>1</v>
      </c>
      <c r="F2086" s="8">
        <v>1.79</v>
      </c>
      <c r="G2086" s="4">
        <v>0</v>
      </c>
      <c r="H2086" s="8">
        <v>0</v>
      </c>
      <c r="I2086" s="4">
        <v>0</v>
      </c>
    </row>
    <row r="2087" spans="1:9" x14ac:dyDescent="0.2">
      <c r="A2087" s="2">
        <v>17</v>
      </c>
      <c r="B2087" s="1" t="s">
        <v>227</v>
      </c>
      <c r="C2087" s="4">
        <v>1</v>
      </c>
      <c r="D2087" s="8">
        <v>1.1100000000000001</v>
      </c>
      <c r="E2087" s="4">
        <v>0</v>
      </c>
      <c r="F2087" s="8">
        <v>0</v>
      </c>
      <c r="G2087" s="4">
        <v>1</v>
      </c>
      <c r="H2087" s="8">
        <v>3.57</v>
      </c>
      <c r="I2087" s="4">
        <v>0</v>
      </c>
    </row>
    <row r="2088" spans="1:9" x14ac:dyDescent="0.2">
      <c r="A2088" s="2">
        <v>17</v>
      </c>
      <c r="B2088" s="1" t="s">
        <v>205</v>
      </c>
      <c r="C2088" s="4">
        <v>1</v>
      </c>
      <c r="D2088" s="8">
        <v>1.1100000000000001</v>
      </c>
      <c r="E2088" s="4">
        <v>1</v>
      </c>
      <c r="F2088" s="8">
        <v>1.79</v>
      </c>
      <c r="G2088" s="4">
        <v>0</v>
      </c>
      <c r="H2088" s="8">
        <v>0</v>
      </c>
      <c r="I2088" s="4">
        <v>0</v>
      </c>
    </row>
    <row r="2089" spans="1:9" x14ac:dyDescent="0.2">
      <c r="A2089" s="2">
        <v>17</v>
      </c>
      <c r="B2089" s="1" t="s">
        <v>288</v>
      </c>
      <c r="C2089" s="4">
        <v>1</v>
      </c>
      <c r="D2089" s="8">
        <v>1.1100000000000001</v>
      </c>
      <c r="E2089" s="4">
        <v>1</v>
      </c>
      <c r="F2089" s="8">
        <v>1.79</v>
      </c>
      <c r="G2089" s="4">
        <v>0</v>
      </c>
      <c r="H2089" s="8">
        <v>0</v>
      </c>
      <c r="I2089" s="4">
        <v>0</v>
      </c>
    </row>
    <row r="2090" spans="1:9" x14ac:dyDescent="0.2">
      <c r="A2090" s="2">
        <v>17</v>
      </c>
      <c r="B2090" s="1" t="s">
        <v>256</v>
      </c>
      <c r="C2090" s="4">
        <v>1</v>
      </c>
      <c r="D2090" s="8">
        <v>1.1100000000000001</v>
      </c>
      <c r="E2090" s="4">
        <v>0</v>
      </c>
      <c r="F2090" s="8">
        <v>0</v>
      </c>
      <c r="G2090" s="4">
        <v>1</v>
      </c>
      <c r="H2090" s="8">
        <v>3.57</v>
      </c>
      <c r="I2090" s="4">
        <v>0</v>
      </c>
    </row>
    <row r="2091" spans="1:9" x14ac:dyDescent="0.2">
      <c r="A2091" s="2">
        <v>17</v>
      </c>
      <c r="B2091" s="1" t="s">
        <v>322</v>
      </c>
      <c r="C2091" s="4">
        <v>1</v>
      </c>
      <c r="D2091" s="8">
        <v>1.1100000000000001</v>
      </c>
      <c r="E2091" s="4">
        <v>0</v>
      </c>
      <c r="F2091" s="8">
        <v>0</v>
      </c>
      <c r="G2091" s="4">
        <v>1</v>
      </c>
      <c r="H2091" s="8">
        <v>3.57</v>
      </c>
      <c r="I2091" s="4">
        <v>0</v>
      </c>
    </row>
    <row r="2092" spans="1:9" x14ac:dyDescent="0.2">
      <c r="A2092" s="2">
        <v>17</v>
      </c>
      <c r="B2092" s="1" t="s">
        <v>246</v>
      </c>
      <c r="C2092" s="4">
        <v>1</v>
      </c>
      <c r="D2092" s="8">
        <v>1.1100000000000001</v>
      </c>
      <c r="E2092" s="4">
        <v>1</v>
      </c>
      <c r="F2092" s="8">
        <v>1.79</v>
      </c>
      <c r="G2092" s="4">
        <v>0</v>
      </c>
      <c r="H2092" s="8">
        <v>0</v>
      </c>
      <c r="I2092" s="4">
        <v>0</v>
      </c>
    </row>
    <row r="2093" spans="1:9" x14ac:dyDescent="0.2">
      <c r="A2093" s="2">
        <v>17</v>
      </c>
      <c r="B2093" s="1" t="s">
        <v>184</v>
      </c>
      <c r="C2093" s="4">
        <v>1</v>
      </c>
      <c r="D2093" s="8">
        <v>1.1100000000000001</v>
      </c>
      <c r="E2093" s="4">
        <v>1</v>
      </c>
      <c r="F2093" s="8">
        <v>1.79</v>
      </c>
      <c r="G2093" s="4">
        <v>0</v>
      </c>
      <c r="H2093" s="8">
        <v>0</v>
      </c>
      <c r="I2093" s="4">
        <v>0</v>
      </c>
    </row>
    <row r="2094" spans="1:9" x14ac:dyDescent="0.2">
      <c r="A2094" s="2">
        <v>17</v>
      </c>
      <c r="B2094" s="1" t="s">
        <v>326</v>
      </c>
      <c r="C2094" s="4">
        <v>1</v>
      </c>
      <c r="D2094" s="8">
        <v>1.1100000000000001</v>
      </c>
      <c r="E2094" s="4">
        <v>1</v>
      </c>
      <c r="F2094" s="8">
        <v>1.79</v>
      </c>
      <c r="G2094" s="4">
        <v>0</v>
      </c>
      <c r="H2094" s="8">
        <v>0</v>
      </c>
      <c r="I2094" s="4">
        <v>0</v>
      </c>
    </row>
    <row r="2095" spans="1:9" x14ac:dyDescent="0.2">
      <c r="A2095" s="2">
        <v>17</v>
      </c>
      <c r="B2095" s="1" t="s">
        <v>247</v>
      </c>
      <c r="C2095" s="4">
        <v>1</v>
      </c>
      <c r="D2095" s="8">
        <v>1.1100000000000001</v>
      </c>
      <c r="E2095" s="4">
        <v>1</v>
      </c>
      <c r="F2095" s="8">
        <v>1.79</v>
      </c>
      <c r="G2095" s="4">
        <v>0</v>
      </c>
      <c r="H2095" s="8">
        <v>0</v>
      </c>
      <c r="I2095" s="4">
        <v>0</v>
      </c>
    </row>
    <row r="2096" spans="1:9" x14ac:dyDescent="0.2">
      <c r="A2096" s="2">
        <v>17</v>
      </c>
      <c r="B2096" s="1" t="s">
        <v>186</v>
      </c>
      <c r="C2096" s="4">
        <v>1</v>
      </c>
      <c r="D2096" s="8">
        <v>1.1100000000000001</v>
      </c>
      <c r="E2096" s="4">
        <v>1</v>
      </c>
      <c r="F2096" s="8">
        <v>1.79</v>
      </c>
      <c r="G2096" s="4">
        <v>0</v>
      </c>
      <c r="H2096" s="8">
        <v>0</v>
      </c>
      <c r="I2096" s="4">
        <v>0</v>
      </c>
    </row>
    <row r="2097" spans="1:9" x14ac:dyDescent="0.2">
      <c r="A2097" s="2">
        <v>17</v>
      </c>
      <c r="B2097" s="1" t="s">
        <v>187</v>
      </c>
      <c r="C2097" s="4">
        <v>1</v>
      </c>
      <c r="D2097" s="8">
        <v>1.1100000000000001</v>
      </c>
      <c r="E2097" s="4">
        <v>1</v>
      </c>
      <c r="F2097" s="8">
        <v>1.79</v>
      </c>
      <c r="G2097" s="4">
        <v>0</v>
      </c>
      <c r="H2097" s="8">
        <v>0</v>
      </c>
      <c r="I2097" s="4">
        <v>0</v>
      </c>
    </row>
    <row r="2098" spans="1:9" x14ac:dyDescent="0.2">
      <c r="A2098" s="2">
        <v>17</v>
      </c>
      <c r="B2098" s="1" t="s">
        <v>248</v>
      </c>
      <c r="C2098" s="4">
        <v>1</v>
      </c>
      <c r="D2098" s="8">
        <v>1.1100000000000001</v>
      </c>
      <c r="E2098" s="4">
        <v>1</v>
      </c>
      <c r="F2098" s="8">
        <v>1.79</v>
      </c>
      <c r="G2098" s="4">
        <v>0</v>
      </c>
      <c r="H2098" s="8">
        <v>0</v>
      </c>
      <c r="I2098" s="4">
        <v>0</v>
      </c>
    </row>
    <row r="2099" spans="1:9" x14ac:dyDescent="0.2">
      <c r="A2099" s="2">
        <v>17</v>
      </c>
      <c r="B2099" s="1" t="s">
        <v>223</v>
      </c>
      <c r="C2099" s="4">
        <v>1</v>
      </c>
      <c r="D2099" s="8">
        <v>1.1100000000000001</v>
      </c>
      <c r="E2099" s="4">
        <v>0</v>
      </c>
      <c r="F2099" s="8">
        <v>0</v>
      </c>
      <c r="G2099" s="4">
        <v>0</v>
      </c>
      <c r="H2099" s="8">
        <v>0</v>
      </c>
      <c r="I2099" s="4">
        <v>0</v>
      </c>
    </row>
    <row r="2100" spans="1:9" x14ac:dyDescent="0.2">
      <c r="A2100" s="2">
        <v>17</v>
      </c>
      <c r="B2100" s="1" t="s">
        <v>278</v>
      </c>
      <c r="C2100" s="4">
        <v>1</v>
      </c>
      <c r="D2100" s="8">
        <v>1.1100000000000001</v>
      </c>
      <c r="E2100" s="4">
        <v>1</v>
      </c>
      <c r="F2100" s="8">
        <v>1.79</v>
      </c>
      <c r="G2100" s="4">
        <v>0</v>
      </c>
      <c r="H2100" s="8">
        <v>0</v>
      </c>
      <c r="I2100" s="4">
        <v>0</v>
      </c>
    </row>
    <row r="2101" spans="1:9" x14ac:dyDescent="0.2">
      <c r="A2101" s="2">
        <v>17</v>
      </c>
      <c r="B2101" s="1" t="s">
        <v>193</v>
      </c>
      <c r="C2101" s="4">
        <v>1</v>
      </c>
      <c r="D2101" s="8">
        <v>1.1100000000000001</v>
      </c>
      <c r="E2101" s="4">
        <v>1</v>
      </c>
      <c r="F2101" s="8">
        <v>1.79</v>
      </c>
      <c r="G2101" s="4">
        <v>0</v>
      </c>
      <c r="H2101" s="8">
        <v>0</v>
      </c>
      <c r="I2101" s="4">
        <v>0</v>
      </c>
    </row>
    <row r="2102" spans="1:9" x14ac:dyDescent="0.2">
      <c r="A2102" s="2">
        <v>17</v>
      </c>
      <c r="B2102" s="1" t="s">
        <v>264</v>
      </c>
      <c r="C2102" s="4">
        <v>1</v>
      </c>
      <c r="D2102" s="8">
        <v>1.1100000000000001</v>
      </c>
      <c r="E2102" s="4">
        <v>0</v>
      </c>
      <c r="F2102" s="8">
        <v>0</v>
      </c>
      <c r="G2102" s="4">
        <v>0</v>
      </c>
      <c r="H2102" s="8">
        <v>0</v>
      </c>
      <c r="I2102" s="4">
        <v>0</v>
      </c>
    </row>
    <row r="2103" spans="1:9" x14ac:dyDescent="0.2">
      <c r="A2103" s="2">
        <v>17</v>
      </c>
      <c r="B2103" s="1" t="s">
        <v>200</v>
      </c>
      <c r="C2103" s="4">
        <v>1</v>
      </c>
      <c r="D2103" s="8">
        <v>1.1100000000000001</v>
      </c>
      <c r="E2103" s="4">
        <v>1</v>
      </c>
      <c r="F2103" s="8">
        <v>1.79</v>
      </c>
      <c r="G2103" s="4">
        <v>0</v>
      </c>
      <c r="H2103" s="8">
        <v>0</v>
      </c>
      <c r="I2103" s="4">
        <v>0</v>
      </c>
    </row>
    <row r="2104" spans="1:9" x14ac:dyDescent="0.2">
      <c r="A2104" s="2">
        <v>17</v>
      </c>
      <c r="B2104" s="1" t="s">
        <v>259</v>
      </c>
      <c r="C2104" s="4">
        <v>1</v>
      </c>
      <c r="D2104" s="8">
        <v>1.1100000000000001</v>
      </c>
      <c r="E2104" s="4">
        <v>1</v>
      </c>
      <c r="F2104" s="8">
        <v>1.79</v>
      </c>
      <c r="G2104" s="4">
        <v>0</v>
      </c>
      <c r="H2104" s="8">
        <v>0</v>
      </c>
      <c r="I2104" s="4">
        <v>0</v>
      </c>
    </row>
    <row r="2105" spans="1:9" x14ac:dyDescent="0.2">
      <c r="A2105" s="1"/>
      <c r="C2105" s="4"/>
      <c r="D2105" s="8"/>
      <c r="E2105" s="4"/>
      <c r="F2105" s="8"/>
      <c r="G2105" s="4"/>
      <c r="H2105" s="8"/>
      <c r="I2105" s="4"/>
    </row>
    <row r="2106" spans="1:9" x14ac:dyDescent="0.2">
      <c r="A2106" s="1" t="s">
        <v>76</v>
      </c>
      <c r="C2106" s="4"/>
      <c r="D2106" s="8"/>
      <c r="E2106" s="4"/>
      <c r="F2106" s="8"/>
      <c r="G2106" s="4"/>
      <c r="H2106" s="8"/>
      <c r="I2106" s="4"/>
    </row>
    <row r="2107" spans="1:9" x14ac:dyDescent="0.2">
      <c r="A2107" s="2">
        <v>1</v>
      </c>
      <c r="B2107" s="1" t="s">
        <v>174</v>
      </c>
      <c r="C2107" s="4">
        <v>14</v>
      </c>
      <c r="D2107" s="8">
        <v>6.06</v>
      </c>
      <c r="E2107" s="4">
        <v>5</v>
      </c>
      <c r="F2107" s="8">
        <v>3.68</v>
      </c>
      <c r="G2107" s="4">
        <v>9</v>
      </c>
      <c r="H2107" s="8">
        <v>10.34</v>
      </c>
      <c r="I2107" s="4">
        <v>0</v>
      </c>
    </row>
    <row r="2108" spans="1:9" x14ac:dyDescent="0.2">
      <c r="A2108" s="2">
        <v>2</v>
      </c>
      <c r="B2108" s="1" t="s">
        <v>185</v>
      </c>
      <c r="C2108" s="4">
        <v>13</v>
      </c>
      <c r="D2108" s="8">
        <v>5.63</v>
      </c>
      <c r="E2108" s="4">
        <v>12</v>
      </c>
      <c r="F2108" s="8">
        <v>8.82</v>
      </c>
      <c r="G2108" s="4">
        <v>1</v>
      </c>
      <c r="H2108" s="8">
        <v>1.1499999999999999</v>
      </c>
      <c r="I2108" s="4">
        <v>0</v>
      </c>
    </row>
    <row r="2109" spans="1:9" x14ac:dyDescent="0.2">
      <c r="A2109" s="2">
        <v>3</v>
      </c>
      <c r="B2109" s="1" t="s">
        <v>191</v>
      </c>
      <c r="C2109" s="4">
        <v>12</v>
      </c>
      <c r="D2109" s="8">
        <v>5.19</v>
      </c>
      <c r="E2109" s="4">
        <v>11</v>
      </c>
      <c r="F2109" s="8">
        <v>8.09</v>
      </c>
      <c r="G2109" s="4">
        <v>1</v>
      </c>
      <c r="H2109" s="8">
        <v>1.1499999999999999</v>
      </c>
      <c r="I2109" s="4">
        <v>0</v>
      </c>
    </row>
    <row r="2110" spans="1:9" x14ac:dyDescent="0.2">
      <c r="A2110" s="2">
        <v>4</v>
      </c>
      <c r="B2110" s="1" t="s">
        <v>190</v>
      </c>
      <c r="C2110" s="4">
        <v>7</v>
      </c>
      <c r="D2110" s="8">
        <v>3.03</v>
      </c>
      <c r="E2110" s="4">
        <v>7</v>
      </c>
      <c r="F2110" s="8">
        <v>5.15</v>
      </c>
      <c r="G2110" s="4">
        <v>0</v>
      </c>
      <c r="H2110" s="8">
        <v>0</v>
      </c>
      <c r="I2110" s="4">
        <v>0</v>
      </c>
    </row>
    <row r="2111" spans="1:9" x14ac:dyDescent="0.2">
      <c r="A2111" s="2">
        <v>4</v>
      </c>
      <c r="B2111" s="1" t="s">
        <v>192</v>
      </c>
      <c r="C2111" s="4">
        <v>7</v>
      </c>
      <c r="D2111" s="8">
        <v>3.03</v>
      </c>
      <c r="E2111" s="4">
        <v>7</v>
      </c>
      <c r="F2111" s="8">
        <v>5.15</v>
      </c>
      <c r="G2111" s="4">
        <v>0</v>
      </c>
      <c r="H2111" s="8">
        <v>0</v>
      </c>
      <c r="I2111" s="4">
        <v>0</v>
      </c>
    </row>
    <row r="2112" spans="1:9" x14ac:dyDescent="0.2">
      <c r="A2112" s="2">
        <v>6</v>
      </c>
      <c r="B2112" s="1" t="s">
        <v>175</v>
      </c>
      <c r="C2112" s="4">
        <v>6</v>
      </c>
      <c r="D2112" s="8">
        <v>2.6</v>
      </c>
      <c r="E2112" s="4">
        <v>4</v>
      </c>
      <c r="F2112" s="8">
        <v>2.94</v>
      </c>
      <c r="G2112" s="4">
        <v>2</v>
      </c>
      <c r="H2112" s="8">
        <v>2.2999999999999998</v>
      </c>
      <c r="I2112" s="4">
        <v>0</v>
      </c>
    </row>
    <row r="2113" spans="1:9" x14ac:dyDescent="0.2">
      <c r="A2113" s="2">
        <v>6</v>
      </c>
      <c r="B2113" s="1" t="s">
        <v>176</v>
      </c>
      <c r="C2113" s="4">
        <v>6</v>
      </c>
      <c r="D2113" s="8">
        <v>2.6</v>
      </c>
      <c r="E2113" s="4">
        <v>1</v>
      </c>
      <c r="F2113" s="8">
        <v>0.74</v>
      </c>
      <c r="G2113" s="4">
        <v>5</v>
      </c>
      <c r="H2113" s="8">
        <v>5.75</v>
      </c>
      <c r="I2113" s="4">
        <v>0</v>
      </c>
    </row>
    <row r="2114" spans="1:9" x14ac:dyDescent="0.2">
      <c r="A2114" s="2">
        <v>6</v>
      </c>
      <c r="B2114" s="1" t="s">
        <v>181</v>
      </c>
      <c r="C2114" s="4">
        <v>6</v>
      </c>
      <c r="D2114" s="8">
        <v>2.6</v>
      </c>
      <c r="E2114" s="4">
        <v>4</v>
      </c>
      <c r="F2114" s="8">
        <v>2.94</v>
      </c>
      <c r="G2114" s="4">
        <v>2</v>
      </c>
      <c r="H2114" s="8">
        <v>2.2999999999999998</v>
      </c>
      <c r="I2114" s="4">
        <v>0</v>
      </c>
    </row>
    <row r="2115" spans="1:9" x14ac:dyDescent="0.2">
      <c r="A2115" s="2">
        <v>9</v>
      </c>
      <c r="B2115" s="1" t="s">
        <v>218</v>
      </c>
      <c r="C2115" s="4">
        <v>5</v>
      </c>
      <c r="D2115" s="8">
        <v>2.16</v>
      </c>
      <c r="E2115" s="4">
        <v>4</v>
      </c>
      <c r="F2115" s="8">
        <v>2.94</v>
      </c>
      <c r="G2115" s="4">
        <v>1</v>
      </c>
      <c r="H2115" s="8">
        <v>1.1499999999999999</v>
      </c>
      <c r="I2115" s="4">
        <v>0</v>
      </c>
    </row>
    <row r="2116" spans="1:9" x14ac:dyDescent="0.2">
      <c r="A2116" s="2">
        <v>9</v>
      </c>
      <c r="B2116" s="1" t="s">
        <v>261</v>
      </c>
      <c r="C2116" s="4">
        <v>5</v>
      </c>
      <c r="D2116" s="8">
        <v>2.16</v>
      </c>
      <c r="E2116" s="4">
        <v>4</v>
      </c>
      <c r="F2116" s="8">
        <v>2.94</v>
      </c>
      <c r="G2116" s="4">
        <v>1</v>
      </c>
      <c r="H2116" s="8">
        <v>1.1499999999999999</v>
      </c>
      <c r="I2116" s="4">
        <v>0</v>
      </c>
    </row>
    <row r="2117" spans="1:9" x14ac:dyDescent="0.2">
      <c r="A2117" s="2">
        <v>9</v>
      </c>
      <c r="B2117" s="1" t="s">
        <v>178</v>
      </c>
      <c r="C2117" s="4">
        <v>5</v>
      </c>
      <c r="D2117" s="8">
        <v>2.16</v>
      </c>
      <c r="E2117" s="4">
        <v>1</v>
      </c>
      <c r="F2117" s="8">
        <v>0.74</v>
      </c>
      <c r="G2117" s="4">
        <v>4</v>
      </c>
      <c r="H2117" s="8">
        <v>4.5999999999999996</v>
      </c>
      <c r="I2117" s="4">
        <v>0</v>
      </c>
    </row>
    <row r="2118" spans="1:9" x14ac:dyDescent="0.2">
      <c r="A2118" s="2">
        <v>9</v>
      </c>
      <c r="B2118" s="1" t="s">
        <v>180</v>
      </c>
      <c r="C2118" s="4">
        <v>5</v>
      </c>
      <c r="D2118" s="8">
        <v>2.16</v>
      </c>
      <c r="E2118" s="4">
        <v>3</v>
      </c>
      <c r="F2118" s="8">
        <v>2.21</v>
      </c>
      <c r="G2118" s="4">
        <v>2</v>
      </c>
      <c r="H2118" s="8">
        <v>2.2999999999999998</v>
      </c>
      <c r="I2118" s="4">
        <v>0</v>
      </c>
    </row>
    <row r="2119" spans="1:9" x14ac:dyDescent="0.2">
      <c r="A2119" s="2">
        <v>9</v>
      </c>
      <c r="B2119" s="1" t="s">
        <v>216</v>
      </c>
      <c r="C2119" s="4">
        <v>5</v>
      </c>
      <c r="D2119" s="8">
        <v>2.16</v>
      </c>
      <c r="E2119" s="4">
        <v>1</v>
      </c>
      <c r="F2119" s="8">
        <v>0.74</v>
      </c>
      <c r="G2119" s="4">
        <v>4</v>
      </c>
      <c r="H2119" s="8">
        <v>4.5999999999999996</v>
      </c>
      <c r="I2119" s="4">
        <v>0</v>
      </c>
    </row>
    <row r="2120" spans="1:9" x14ac:dyDescent="0.2">
      <c r="A2120" s="2">
        <v>9</v>
      </c>
      <c r="B2120" s="1" t="s">
        <v>184</v>
      </c>
      <c r="C2120" s="4">
        <v>5</v>
      </c>
      <c r="D2120" s="8">
        <v>2.16</v>
      </c>
      <c r="E2120" s="4">
        <v>2</v>
      </c>
      <c r="F2120" s="8">
        <v>1.47</v>
      </c>
      <c r="G2120" s="4">
        <v>3</v>
      </c>
      <c r="H2120" s="8">
        <v>3.45</v>
      </c>
      <c r="I2120" s="4">
        <v>0</v>
      </c>
    </row>
    <row r="2121" spans="1:9" x14ac:dyDescent="0.2">
      <c r="A2121" s="2">
        <v>9</v>
      </c>
      <c r="B2121" s="1" t="s">
        <v>187</v>
      </c>
      <c r="C2121" s="4">
        <v>5</v>
      </c>
      <c r="D2121" s="8">
        <v>2.16</v>
      </c>
      <c r="E2121" s="4">
        <v>4</v>
      </c>
      <c r="F2121" s="8">
        <v>2.94</v>
      </c>
      <c r="G2121" s="4">
        <v>1</v>
      </c>
      <c r="H2121" s="8">
        <v>1.1499999999999999</v>
      </c>
      <c r="I2121" s="4">
        <v>0</v>
      </c>
    </row>
    <row r="2122" spans="1:9" x14ac:dyDescent="0.2">
      <c r="A2122" s="2">
        <v>16</v>
      </c>
      <c r="B2122" s="1" t="s">
        <v>201</v>
      </c>
      <c r="C2122" s="4">
        <v>4</v>
      </c>
      <c r="D2122" s="8">
        <v>1.73</v>
      </c>
      <c r="E2122" s="4">
        <v>4</v>
      </c>
      <c r="F2122" s="8">
        <v>2.94</v>
      </c>
      <c r="G2122" s="4">
        <v>0</v>
      </c>
      <c r="H2122" s="8">
        <v>0</v>
      </c>
      <c r="I2122" s="4">
        <v>0</v>
      </c>
    </row>
    <row r="2123" spans="1:9" x14ac:dyDescent="0.2">
      <c r="A2123" s="2">
        <v>16</v>
      </c>
      <c r="B2123" s="1" t="s">
        <v>214</v>
      </c>
      <c r="C2123" s="4">
        <v>4</v>
      </c>
      <c r="D2123" s="8">
        <v>1.73</v>
      </c>
      <c r="E2123" s="4">
        <v>3</v>
      </c>
      <c r="F2123" s="8">
        <v>2.21</v>
      </c>
      <c r="G2123" s="4">
        <v>1</v>
      </c>
      <c r="H2123" s="8">
        <v>1.1499999999999999</v>
      </c>
      <c r="I2123" s="4">
        <v>0</v>
      </c>
    </row>
    <row r="2124" spans="1:9" x14ac:dyDescent="0.2">
      <c r="A2124" s="2">
        <v>16</v>
      </c>
      <c r="B2124" s="1" t="s">
        <v>179</v>
      </c>
      <c r="C2124" s="4">
        <v>4</v>
      </c>
      <c r="D2124" s="8">
        <v>1.73</v>
      </c>
      <c r="E2124" s="4">
        <v>2</v>
      </c>
      <c r="F2124" s="8">
        <v>1.47</v>
      </c>
      <c r="G2124" s="4">
        <v>2</v>
      </c>
      <c r="H2124" s="8">
        <v>2.2999999999999998</v>
      </c>
      <c r="I2124" s="4">
        <v>0</v>
      </c>
    </row>
    <row r="2125" spans="1:9" x14ac:dyDescent="0.2">
      <c r="A2125" s="2">
        <v>16</v>
      </c>
      <c r="B2125" s="1" t="s">
        <v>215</v>
      </c>
      <c r="C2125" s="4">
        <v>4</v>
      </c>
      <c r="D2125" s="8">
        <v>1.73</v>
      </c>
      <c r="E2125" s="4">
        <v>2</v>
      </c>
      <c r="F2125" s="8">
        <v>1.47</v>
      </c>
      <c r="G2125" s="4">
        <v>2</v>
      </c>
      <c r="H2125" s="8">
        <v>2.2999999999999998</v>
      </c>
      <c r="I2125" s="4">
        <v>0</v>
      </c>
    </row>
    <row r="2126" spans="1:9" x14ac:dyDescent="0.2">
      <c r="A2126" s="2">
        <v>16</v>
      </c>
      <c r="B2126" s="1" t="s">
        <v>193</v>
      </c>
      <c r="C2126" s="4">
        <v>4</v>
      </c>
      <c r="D2126" s="8">
        <v>1.73</v>
      </c>
      <c r="E2126" s="4">
        <v>4</v>
      </c>
      <c r="F2126" s="8">
        <v>2.94</v>
      </c>
      <c r="G2126" s="4">
        <v>0</v>
      </c>
      <c r="H2126" s="8">
        <v>0</v>
      </c>
      <c r="I2126" s="4">
        <v>0</v>
      </c>
    </row>
    <row r="2127" spans="1:9" x14ac:dyDescent="0.2">
      <c r="A2127" s="2">
        <v>16</v>
      </c>
      <c r="B2127" s="1" t="s">
        <v>271</v>
      </c>
      <c r="C2127" s="4">
        <v>4</v>
      </c>
      <c r="D2127" s="8">
        <v>1.73</v>
      </c>
      <c r="E2127" s="4">
        <v>0</v>
      </c>
      <c r="F2127" s="8">
        <v>0</v>
      </c>
      <c r="G2127" s="4">
        <v>4</v>
      </c>
      <c r="H2127" s="8">
        <v>4.5999999999999996</v>
      </c>
      <c r="I2127" s="4">
        <v>0</v>
      </c>
    </row>
    <row r="2128" spans="1:9" x14ac:dyDescent="0.2">
      <c r="A2128" s="1"/>
      <c r="C2128" s="4"/>
      <c r="D2128" s="8"/>
      <c r="E2128" s="4"/>
      <c r="F2128" s="8"/>
      <c r="G2128" s="4"/>
      <c r="H2128" s="8"/>
      <c r="I2128" s="4"/>
    </row>
    <row r="2129" spans="1:9" x14ac:dyDescent="0.2">
      <c r="A2129" s="1" t="s">
        <v>77</v>
      </c>
      <c r="C2129" s="4"/>
      <c r="D2129" s="8"/>
      <c r="E2129" s="4"/>
      <c r="F2129" s="8"/>
      <c r="G2129" s="4"/>
      <c r="H2129" s="8"/>
      <c r="I2129" s="4"/>
    </row>
    <row r="2130" spans="1:9" x14ac:dyDescent="0.2">
      <c r="A2130" s="2">
        <v>1</v>
      </c>
      <c r="B2130" s="1" t="s">
        <v>185</v>
      </c>
      <c r="C2130" s="4">
        <v>8</v>
      </c>
      <c r="D2130" s="8">
        <v>13.33</v>
      </c>
      <c r="E2130" s="4">
        <v>6</v>
      </c>
      <c r="F2130" s="8">
        <v>18.18</v>
      </c>
      <c r="G2130" s="4">
        <v>2</v>
      </c>
      <c r="H2130" s="8">
        <v>7.69</v>
      </c>
      <c r="I2130" s="4">
        <v>0</v>
      </c>
    </row>
    <row r="2131" spans="1:9" x14ac:dyDescent="0.2">
      <c r="A2131" s="2">
        <v>2</v>
      </c>
      <c r="B2131" s="1" t="s">
        <v>174</v>
      </c>
      <c r="C2131" s="4">
        <v>5</v>
      </c>
      <c r="D2131" s="8">
        <v>8.33</v>
      </c>
      <c r="E2131" s="4">
        <v>0</v>
      </c>
      <c r="F2131" s="8">
        <v>0</v>
      </c>
      <c r="G2131" s="4">
        <v>5</v>
      </c>
      <c r="H2131" s="8">
        <v>19.23</v>
      </c>
      <c r="I2131" s="4">
        <v>0</v>
      </c>
    </row>
    <row r="2132" spans="1:9" x14ac:dyDescent="0.2">
      <c r="A2132" s="2">
        <v>3</v>
      </c>
      <c r="B2132" s="1" t="s">
        <v>210</v>
      </c>
      <c r="C2132" s="4">
        <v>3</v>
      </c>
      <c r="D2132" s="8">
        <v>5</v>
      </c>
      <c r="E2132" s="4">
        <v>3</v>
      </c>
      <c r="F2132" s="8">
        <v>9.09</v>
      </c>
      <c r="G2132" s="4">
        <v>0</v>
      </c>
      <c r="H2132" s="8">
        <v>0</v>
      </c>
      <c r="I2132" s="4">
        <v>0</v>
      </c>
    </row>
    <row r="2133" spans="1:9" x14ac:dyDescent="0.2">
      <c r="A2133" s="2">
        <v>3</v>
      </c>
      <c r="B2133" s="1" t="s">
        <v>178</v>
      </c>
      <c r="C2133" s="4">
        <v>3</v>
      </c>
      <c r="D2133" s="8">
        <v>5</v>
      </c>
      <c r="E2133" s="4">
        <v>2</v>
      </c>
      <c r="F2133" s="8">
        <v>6.06</v>
      </c>
      <c r="G2133" s="4">
        <v>1</v>
      </c>
      <c r="H2133" s="8">
        <v>3.85</v>
      </c>
      <c r="I2133" s="4">
        <v>0</v>
      </c>
    </row>
    <row r="2134" spans="1:9" x14ac:dyDescent="0.2">
      <c r="A2134" s="2">
        <v>3</v>
      </c>
      <c r="B2134" s="1" t="s">
        <v>181</v>
      </c>
      <c r="C2134" s="4">
        <v>3</v>
      </c>
      <c r="D2134" s="8">
        <v>5</v>
      </c>
      <c r="E2134" s="4">
        <v>1</v>
      </c>
      <c r="F2134" s="8">
        <v>3.03</v>
      </c>
      <c r="G2134" s="4">
        <v>2</v>
      </c>
      <c r="H2134" s="8">
        <v>7.69</v>
      </c>
      <c r="I2134" s="4">
        <v>0</v>
      </c>
    </row>
    <row r="2135" spans="1:9" x14ac:dyDescent="0.2">
      <c r="A2135" s="2">
        <v>6</v>
      </c>
      <c r="B2135" s="1" t="s">
        <v>177</v>
      </c>
      <c r="C2135" s="4">
        <v>2</v>
      </c>
      <c r="D2135" s="8">
        <v>3.33</v>
      </c>
      <c r="E2135" s="4">
        <v>1</v>
      </c>
      <c r="F2135" s="8">
        <v>3.03</v>
      </c>
      <c r="G2135" s="4">
        <v>1</v>
      </c>
      <c r="H2135" s="8">
        <v>3.85</v>
      </c>
      <c r="I2135" s="4">
        <v>0</v>
      </c>
    </row>
    <row r="2136" spans="1:9" x14ac:dyDescent="0.2">
      <c r="A2136" s="2">
        <v>6</v>
      </c>
      <c r="B2136" s="1" t="s">
        <v>237</v>
      </c>
      <c r="C2136" s="4">
        <v>2</v>
      </c>
      <c r="D2136" s="8">
        <v>3.33</v>
      </c>
      <c r="E2136" s="4">
        <v>0</v>
      </c>
      <c r="F2136" s="8">
        <v>0</v>
      </c>
      <c r="G2136" s="4">
        <v>2</v>
      </c>
      <c r="H2136" s="8">
        <v>7.69</v>
      </c>
      <c r="I2136" s="4">
        <v>0</v>
      </c>
    </row>
    <row r="2137" spans="1:9" x14ac:dyDescent="0.2">
      <c r="A2137" s="2">
        <v>6</v>
      </c>
      <c r="B2137" s="1" t="s">
        <v>179</v>
      </c>
      <c r="C2137" s="4">
        <v>2</v>
      </c>
      <c r="D2137" s="8">
        <v>3.33</v>
      </c>
      <c r="E2137" s="4">
        <v>2</v>
      </c>
      <c r="F2137" s="8">
        <v>6.06</v>
      </c>
      <c r="G2137" s="4">
        <v>0</v>
      </c>
      <c r="H2137" s="8">
        <v>0</v>
      </c>
      <c r="I2137" s="4">
        <v>0</v>
      </c>
    </row>
    <row r="2138" spans="1:9" x14ac:dyDescent="0.2">
      <c r="A2138" s="2">
        <v>6</v>
      </c>
      <c r="B2138" s="1" t="s">
        <v>190</v>
      </c>
      <c r="C2138" s="4">
        <v>2</v>
      </c>
      <c r="D2138" s="8">
        <v>3.33</v>
      </c>
      <c r="E2138" s="4">
        <v>2</v>
      </c>
      <c r="F2138" s="8">
        <v>6.06</v>
      </c>
      <c r="G2138" s="4">
        <v>0</v>
      </c>
      <c r="H2138" s="8">
        <v>0</v>
      </c>
      <c r="I2138" s="4">
        <v>0</v>
      </c>
    </row>
    <row r="2139" spans="1:9" x14ac:dyDescent="0.2">
      <c r="A2139" s="2">
        <v>6</v>
      </c>
      <c r="B2139" s="1" t="s">
        <v>359</v>
      </c>
      <c r="C2139" s="4">
        <v>2</v>
      </c>
      <c r="D2139" s="8">
        <v>3.33</v>
      </c>
      <c r="E2139" s="4">
        <v>0</v>
      </c>
      <c r="F2139" s="8">
        <v>0</v>
      </c>
      <c r="G2139" s="4">
        <v>2</v>
      </c>
      <c r="H2139" s="8">
        <v>7.69</v>
      </c>
      <c r="I2139" s="4">
        <v>0</v>
      </c>
    </row>
    <row r="2140" spans="1:9" x14ac:dyDescent="0.2">
      <c r="A2140" s="2">
        <v>11</v>
      </c>
      <c r="B2140" s="1" t="s">
        <v>287</v>
      </c>
      <c r="C2140" s="4">
        <v>1</v>
      </c>
      <c r="D2140" s="8">
        <v>1.67</v>
      </c>
      <c r="E2140" s="4">
        <v>0</v>
      </c>
      <c r="F2140" s="8">
        <v>0</v>
      </c>
      <c r="G2140" s="4">
        <v>1</v>
      </c>
      <c r="H2140" s="8">
        <v>3.85</v>
      </c>
      <c r="I2140" s="4">
        <v>0</v>
      </c>
    </row>
    <row r="2141" spans="1:9" x14ac:dyDescent="0.2">
      <c r="A2141" s="2">
        <v>11</v>
      </c>
      <c r="B2141" s="1" t="s">
        <v>176</v>
      </c>
      <c r="C2141" s="4">
        <v>1</v>
      </c>
      <c r="D2141" s="8">
        <v>1.67</v>
      </c>
      <c r="E2141" s="4">
        <v>1</v>
      </c>
      <c r="F2141" s="8">
        <v>3.03</v>
      </c>
      <c r="G2141" s="4">
        <v>0</v>
      </c>
      <c r="H2141" s="8">
        <v>0</v>
      </c>
      <c r="I2141" s="4">
        <v>0</v>
      </c>
    </row>
    <row r="2142" spans="1:9" x14ac:dyDescent="0.2">
      <c r="A2142" s="2">
        <v>11</v>
      </c>
      <c r="B2142" s="1" t="s">
        <v>201</v>
      </c>
      <c r="C2142" s="4">
        <v>1</v>
      </c>
      <c r="D2142" s="8">
        <v>1.67</v>
      </c>
      <c r="E2142" s="4">
        <v>1</v>
      </c>
      <c r="F2142" s="8">
        <v>3.03</v>
      </c>
      <c r="G2142" s="4">
        <v>0</v>
      </c>
      <c r="H2142" s="8">
        <v>0</v>
      </c>
      <c r="I2142" s="4">
        <v>0</v>
      </c>
    </row>
    <row r="2143" spans="1:9" x14ac:dyDescent="0.2">
      <c r="A2143" s="2">
        <v>11</v>
      </c>
      <c r="B2143" s="1" t="s">
        <v>286</v>
      </c>
      <c r="C2143" s="4">
        <v>1</v>
      </c>
      <c r="D2143" s="8">
        <v>1.67</v>
      </c>
      <c r="E2143" s="4">
        <v>1</v>
      </c>
      <c r="F2143" s="8">
        <v>3.03</v>
      </c>
      <c r="G2143" s="4">
        <v>0</v>
      </c>
      <c r="H2143" s="8">
        <v>0</v>
      </c>
      <c r="I2143" s="4">
        <v>0</v>
      </c>
    </row>
    <row r="2144" spans="1:9" x14ac:dyDescent="0.2">
      <c r="A2144" s="2">
        <v>11</v>
      </c>
      <c r="B2144" s="1" t="s">
        <v>262</v>
      </c>
      <c r="C2144" s="4">
        <v>1</v>
      </c>
      <c r="D2144" s="8">
        <v>1.67</v>
      </c>
      <c r="E2144" s="4">
        <v>0</v>
      </c>
      <c r="F2144" s="8">
        <v>0</v>
      </c>
      <c r="G2144" s="4">
        <v>1</v>
      </c>
      <c r="H2144" s="8">
        <v>3.85</v>
      </c>
      <c r="I2144" s="4">
        <v>0</v>
      </c>
    </row>
    <row r="2145" spans="1:9" x14ac:dyDescent="0.2">
      <c r="A2145" s="2">
        <v>11</v>
      </c>
      <c r="B2145" s="1" t="s">
        <v>308</v>
      </c>
      <c r="C2145" s="4">
        <v>1</v>
      </c>
      <c r="D2145" s="8">
        <v>1.67</v>
      </c>
      <c r="E2145" s="4">
        <v>1</v>
      </c>
      <c r="F2145" s="8">
        <v>3.03</v>
      </c>
      <c r="G2145" s="4">
        <v>0</v>
      </c>
      <c r="H2145" s="8">
        <v>0</v>
      </c>
      <c r="I2145" s="4">
        <v>0</v>
      </c>
    </row>
    <row r="2146" spans="1:9" x14ac:dyDescent="0.2">
      <c r="A2146" s="2">
        <v>11</v>
      </c>
      <c r="B2146" s="1" t="s">
        <v>230</v>
      </c>
      <c r="C2146" s="4">
        <v>1</v>
      </c>
      <c r="D2146" s="8">
        <v>1.67</v>
      </c>
      <c r="E2146" s="4">
        <v>0</v>
      </c>
      <c r="F2146" s="8">
        <v>0</v>
      </c>
      <c r="G2146" s="4">
        <v>1</v>
      </c>
      <c r="H2146" s="8">
        <v>3.85</v>
      </c>
      <c r="I2146" s="4">
        <v>0</v>
      </c>
    </row>
    <row r="2147" spans="1:9" x14ac:dyDescent="0.2">
      <c r="A2147" s="2">
        <v>11</v>
      </c>
      <c r="B2147" s="1" t="s">
        <v>236</v>
      </c>
      <c r="C2147" s="4">
        <v>1</v>
      </c>
      <c r="D2147" s="8">
        <v>1.67</v>
      </c>
      <c r="E2147" s="4">
        <v>1</v>
      </c>
      <c r="F2147" s="8">
        <v>3.03</v>
      </c>
      <c r="G2147" s="4">
        <v>0</v>
      </c>
      <c r="H2147" s="8">
        <v>0</v>
      </c>
      <c r="I2147" s="4">
        <v>0</v>
      </c>
    </row>
    <row r="2148" spans="1:9" x14ac:dyDescent="0.2">
      <c r="A2148" s="2">
        <v>11</v>
      </c>
      <c r="B2148" s="1" t="s">
        <v>240</v>
      </c>
      <c r="C2148" s="4">
        <v>1</v>
      </c>
      <c r="D2148" s="8">
        <v>1.67</v>
      </c>
      <c r="E2148" s="4">
        <v>0</v>
      </c>
      <c r="F2148" s="8">
        <v>0</v>
      </c>
      <c r="G2148" s="4">
        <v>1</v>
      </c>
      <c r="H2148" s="8">
        <v>3.85</v>
      </c>
      <c r="I2148" s="4">
        <v>0</v>
      </c>
    </row>
    <row r="2149" spans="1:9" x14ac:dyDescent="0.2">
      <c r="A2149" s="2">
        <v>11</v>
      </c>
      <c r="B2149" s="1" t="s">
        <v>213</v>
      </c>
      <c r="C2149" s="4">
        <v>1</v>
      </c>
      <c r="D2149" s="8">
        <v>1.67</v>
      </c>
      <c r="E2149" s="4">
        <v>1</v>
      </c>
      <c r="F2149" s="8">
        <v>3.03</v>
      </c>
      <c r="G2149" s="4">
        <v>0</v>
      </c>
      <c r="H2149" s="8">
        <v>0</v>
      </c>
      <c r="I2149" s="4">
        <v>0</v>
      </c>
    </row>
    <row r="2150" spans="1:9" x14ac:dyDescent="0.2">
      <c r="A2150" s="2">
        <v>11</v>
      </c>
      <c r="B2150" s="1" t="s">
        <v>357</v>
      </c>
      <c r="C2150" s="4">
        <v>1</v>
      </c>
      <c r="D2150" s="8">
        <v>1.67</v>
      </c>
      <c r="E2150" s="4">
        <v>0</v>
      </c>
      <c r="F2150" s="8">
        <v>0</v>
      </c>
      <c r="G2150" s="4">
        <v>1</v>
      </c>
      <c r="H2150" s="8">
        <v>3.85</v>
      </c>
      <c r="I2150" s="4">
        <v>0</v>
      </c>
    </row>
    <row r="2151" spans="1:9" x14ac:dyDescent="0.2">
      <c r="A2151" s="2">
        <v>11</v>
      </c>
      <c r="B2151" s="1" t="s">
        <v>226</v>
      </c>
      <c r="C2151" s="4">
        <v>1</v>
      </c>
      <c r="D2151" s="8">
        <v>1.67</v>
      </c>
      <c r="E2151" s="4">
        <v>1</v>
      </c>
      <c r="F2151" s="8">
        <v>3.03</v>
      </c>
      <c r="G2151" s="4">
        <v>0</v>
      </c>
      <c r="H2151" s="8">
        <v>0</v>
      </c>
      <c r="I2151" s="4">
        <v>0</v>
      </c>
    </row>
    <row r="2152" spans="1:9" x14ac:dyDescent="0.2">
      <c r="A2152" s="2">
        <v>11</v>
      </c>
      <c r="B2152" s="1" t="s">
        <v>233</v>
      </c>
      <c r="C2152" s="4">
        <v>1</v>
      </c>
      <c r="D2152" s="8">
        <v>1.67</v>
      </c>
      <c r="E2152" s="4">
        <v>1</v>
      </c>
      <c r="F2152" s="8">
        <v>3.03</v>
      </c>
      <c r="G2152" s="4">
        <v>0</v>
      </c>
      <c r="H2152" s="8">
        <v>0</v>
      </c>
      <c r="I2152" s="4">
        <v>0</v>
      </c>
    </row>
    <row r="2153" spans="1:9" x14ac:dyDescent="0.2">
      <c r="A2153" s="2">
        <v>11</v>
      </c>
      <c r="B2153" s="1" t="s">
        <v>227</v>
      </c>
      <c r="C2153" s="4">
        <v>1</v>
      </c>
      <c r="D2153" s="8">
        <v>1.67</v>
      </c>
      <c r="E2153" s="4">
        <v>0</v>
      </c>
      <c r="F2153" s="8">
        <v>0</v>
      </c>
      <c r="G2153" s="4">
        <v>1</v>
      </c>
      <c r="H2153" s="8">
        <v>3.85</v>
      </c>
      <c r="I2153" s="4">
        <v>0</v>
      </c>
    </row>
    <row r="2154" spans="1:9" x14ac:dyDescent="0.2">
      <c r="A2154" s="2">
        <v>11</v>
      </c>
      <c r="B2154" s="1" t="s">
        <v>197</v>
      </c>
      <c r="C2154" s="4">
        <v>1</v>
      </c>
      <c r="D2154" s="8">
        <v>1.67</v>
      </c>
      <c r="E2154" s="4">
        <v>1</v>
      </c>
      <c r="F2154" s="8">
        <v>3.03</v>
      </c>
      <c r="G2154" s="4">
        <v>0</v>
      </c>
      <c r="H2154" s="8">
        <v>0</v>
      </c>
      <c r="I2154" s="4">
        <v>0</v>
      </c>
    </row>
    <row r="2155" spans="1:9" x14ac:dyDescent="0.2">
      <c r="A2155" s="2">
        <v>11</v>
      </c>
      <c r="B2155" s="1" t="s">
        <v>180</v>
      </c>
      <c r="C2155" s="4">
        <v>1</v>
      </c>
      <c r="D2155" s="8">
        <v>1.67</v>
      </c>
      <c r="E2155" s="4">
        <v>1</v>
      </c>
      <c r="F2155" s="8">
        <v>3.03</v>
      </c>
      <c r="G2155" s="4">
        <v>0</v>
      </c>
      <c r="H2155" s="8">
        <v>0</v>
      </c>
      <c r="I2155" s="4">
        <v>0</v>
      </c>
    </row>
    <row r="2156" spans="1:9" x14ac:dyDescent="0.2">
      <c r="A2156" s="2">
        <v>11</v>
      </c>
      <c r="B2156" s="1" t="s">
        <v>205</v>
      </c>
      <c r="C2156" s="4">
        <v>1</v>
      </c>
      <c r="D2156" s="8">
        <v>1.67</v>
      </c>
      <c r="E2156" s="4">
        <v>1</v>
      </c>
      <c r="F2156" s="8">
        <v>3.03</v>
      </c>
      <c r="G2156" s="4">
        <v>0</v>
      </c>
      <c r="H2156" s="8">
        <v>0</v>
      </c>
      <c r="I2156" s="4">
        <v>0</v>
      </c>
    </row>
    <row r="2157" spans="1:9" x14ac:dyDescent="0.2">
      <c r="A2157" s="2">
        <v>11</v>
      </c>
      <c r="B2157" s="1" t="s">
        <v>222</v>
      </c>
      <c r="C2157" s="4">
        <v>1</v>
      </c>
      <c r="D2157" s="8">
        <v>1.67</v>
      </c>
      <c r="E2157" s="4">
        <v>1</v>
      </c>
      <c r="F2157" s="8">
        <v>3.03</v>
      </c>
      <c r="G2157" s="4">
        <v>0</v>
      </c>
      <c r="H2157" s="8">
        <v>0</v>
      </c>
      <c r="I2157" s="4">
        <v>0</v>
      </c>
    </row>
    <row r="2158" spans="1:9" x14ac:dyDescent="0.2">
      <c r="A2158" s="2">
        <v>11</v>
      </c>
      <c r="B2158" s="1" t="s">
        <v>215</v>
      </c>
      <c r="C2158" s="4">
        <v>1</v>
      </c>
      <c r="D2158" s="8">
        <v>1.67</v>
      </c>
      <c r="E2158" s="4">
        <v>0</v>
      </c>
      <c r="F2158" s="8">
        <v>0</v>
      </c>
      <c r="G2158" s="4">
        <v>1</v>
      </c>
      <c r="H2158" s="8">
        <v>3.85</v>
      </c>
      <c r="I2158" s="4">
        <v>0</v>
      </c>
    </row>
    <row r="2159" spans="1:9" x14ac:dyDescent="0.2">
      <c r="A2159" s="2">
        <v>11</v>
      </c>
      <c r="B2159" s="1" t="s">
        <v>216</v>
      </c>
      <c r="C2159" s="4">
        <v>1</v>
      </c>
      <c r="D2159" s="8">
        <v>1.67</v>
      </c>
      <c r="E2159" s="4">
        <v>0</v>
      </c>
      <c r="F2159" s="8">
        <v>0</v>
      </c>
      <c r="G2159" s="4">
        <v>1</v>
      </c>
      <c r="H2159" s="8">
        <v>3.85</v>
      </c>
      <c r="I2159" s="4">
        <v>0</v>
      </c>
    </row>
    <row r="2160" spans="1:9" x14ac:dyDescent="0.2">
      <c r="A2160" s="2">
        <v>11</v>
      </c>
      <c r="B2160" s="1" t="s">
        <v>297</v>
      </c>
      <c r="C2160" s="4">
        <v>1</v>
      </c>
      <c r="D2160" s="8">
        <v>1.67</v>
      </c>
      <c r="E2160" s="4">
        <v>1</v>
      </c>
      <c r="F2160" s="8">
        <v>3.03</v>
      </c>
      <c r="G2160" s="4">
        <v>0</v>
      </c>
      <c r="H2160" s="8">
        <v>0</v>
      </c>
      <c r="I2160" s="4">
        <v>0</v>
      </c>
    </row>
    <row r="2161" spans="1:9" x14ac:dyDescent="0.2">
      <c r="A2161" s="2">
        <v>11</v>
      </c>
      <c r="B2161" s="1" t="s">
        <v>191</v>
      </c>
      <c r="C2161" s="4">
        <v>1</v>
      </c>
      <c r="D2161" s="8">
        <v>1.67</v>
      </c>
      <c r="E2161" s="4">
        <v>1</v>
      </c>
      <c r="F2161" s="8">
        <v>3.03</v>
      </c>
      <c r="G2161" s="4">
        <v>0</v>
      </c>
      <c r="H2161" s="8">
        <v>0</v>
      </c>
      <c r="I2161" s="4">
        <v>0</v>
      </c>
    </row>
    <row r="2162" spans="1:9" x14ac:dyDescent="0.2">
      <c r="A2162" s="2">
        <v>11</v>
      </c>
      <c r="B2162" s="1" t="s">
        <v>257</v>
      </c>
      <c r="C2162" s="4">
        <v>1</v>
      </c>
      <c r="D2162" s="8">
        <v>1.67</v>
      </c>
      <c r="E2162" s="4">
        <v>0</v>
      </c>
      <c r="F2162" s="8">
        <v>0</v>
      </c>
      <c r="G2162" s="4">
        <v>1</v>
      </c>
      <c r="H2162" s="8">
        <v>3.85</v>
      </c>
      <c r="I2162" s="4">
        <v>0</v>
      </c>
    </row>
    <row r="2163" spans="1:9" x14ac:dyDescent="0.2">
      <c r="A2163" s="2">
        <v>11</v>
      </c>
      <c r="B2163" s="1" t="s">
        <v>358</v>
      </c>
      <c r="C2163" s="4">
        <v>1</v>
      </c>
      <c r="D2163" s="8">
        <v>1.67</v>
      </c>
      <c r="E2163" s="4">
        <v>1</v>
      </c>
      <c r="F2163" s="8">
        <v>3.03</v>
      </c>
      <c r="G2163" s="4">
        <v>0</v>
      </c>
      <c r="H2163" s="8">
        <v>0</v>
      </c>
      <c r="I2163" s="4">
        <v>0</v>
      </c>
    </row>
    <row r="2164" spans="1:9" x14ac:dyDescent="0.2">
      <c r="A2164" s="2">
        <v>11</v>
      </c>
      <c r="B2164" s="1" t="s">
        <v>278</v>
      </c>
      <c r="C2164" s="4">
        <v>1</v>
      </c>
      <c r="D2164" s="8">
        <v>1.67</v>
      </c>
      <c r="E2164" s="4">
        <v>0</v>
      </c>
      <c r="F2164" s="8">
        <v>0</v>
      </c>
      <c r="G2164" s="4">
        <v>0</v>
      </c>
      <c r="H2164" s="8">
        <v>0</v>
      </c>
      <c r="I2164" s="4">
        <v>0</v>
      </c>
    </row>
    <row r="2165" spans="1:9" x14ac:dyDescent="0.2">
      <c r="A2165" s="2">
        <v>11</v>
      </c>
      <c r="B2165" s="1" t="s">
        <v>193</v>
      </c>
      <c r="C2165" s="4">
        <v>1</v>
      </c>
      <c r="D2165" s="8">
        <v>1.67</v>
      </c>
      <c r="E2165" s="4">
        <v>1</v>
      </c>
      <c r="F2165" s="8">
        <v>3.03</v>
      </c>
      <c r="G2165" s="4">
        <v>0</v>
      </c>
      <c r="H2165" s="8">
        <v>0</v>
      </c>
      <c r="I2165" s="4">
        <v>0</v>
      </c>
    </row>
    <row r="2166" spans="1:9" x14ac:dyDescent="0.2">
      <c r="A2166" s="2">
        <v>11</v>
      </c>
      <c r="B2166" s="1" t="s">
        <v>290</v>
      </c>
      <c r="C2166" s="4">
        <v>1</v>
      </c>
      <c r="D2166" s="8">
        <v>1.67</v>
      </c>
      <c r="E2166" s="4">
        <v>0</v>
      </c>
      <c r="F2166" s="8">
        <v>0</v>
      </c>
      <c r="G2166" s="4">
        <v>1</v>
      </c>
      <c r="H2166" s="8">
        <v>3.85</v>
      </c>
      <c r="I2166" s="4">
        <v>0</v>
      </c>
    </row>
    <row r="2167" spans="1:9" x14ac:dyDescent="0.2">
      <c r="A2167" s="2">
        <v>11</v>
      </c>
      <c r="B2167" s="1" t="s">
        <v>259</v>
      </c>
      <c r="C2167" s="4">
        <v>1</v>
      </c>
      <c r="D2167" s="8">
        <v>1.67</v>
      </c>
      <c r="E2167" s="4">
        <v>0</v>
      </c>
      <c r="F2167" s="8">
        <v>0</v>
      </c>
      <c r="G2167" s="4">
        <v>1</v>
      </c>
      <c r="H2167" s="8">
        <v>3.85</v>
      </c>
      <c r="I2167" s="4">
        <v>0</v>
      </c>
    </row>
    <row r="2168" spans="1:9" x14ac:dyDescent="0.2">
      <c r="A2168" s="1"/>
      <c r="C2168" s="4"/>
      <c r="D2168" s="8"/>
      <c r="E2168" s="4"/>
      <c r="F2168" s="8"/>
      <c r="G2168" s="4"/>
      <c r="H2168" s="8"/>
      <c r="I2168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81F7D-92B6-4371-BC89-522B8A291A1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401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85</v>
      </c>
      <c r="D6" s="8">
        <v>14.51</v>
      </c>
      <c r="E6" s="12">
        <v>34</v>
      </c>
      <c r="F6" s="8">
        <v>11.89</v>
      </c>
      <c r="G6" s="12">
        <v>51</v>
      </c>
      <c r="H6" s="8">
        <v>17.059999999999999</v>
      </c>
      <c r="I6" s="12">
        <v>0</v>
      </c>
    </row>
    <row r="7" spans="2:9" ht="15" customHeight="1" x14ac:dyDescent="0.2">
      <c r="B7" t="s">
        <v>80</v>
      </c>
      <c r="C7" s="12">
        <v>156</v>
      </c>
      <c r="D7" s="8">
        <v>26.62</v>
      </c>
      <c r="E7" s="12">
        <v>59</v>
      </c>
      <c r="F7" s="8">
        <v>20.63</v>
      </c>
      <c r="G7" s="12">
        <v>97</v>
      </c>
      <c r="H7" s="8">
        <v>32.44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0.17</v>
      </c>
      <c r="E8" s="12">
        <v>0</v>
      </c>
      <c r="F8" s="8">
        <v>0</v>
      </c>
      <c r="G8" s="12">
        <v>1</v>
      </c>
      <c r="H8" s="8">
        <v>0.33</v>
      </c>
      <c r="I8" s="12">
        <v>0</v>
      </c>
    </row>
    <row r="9" spans="2:9" ht="15" customHeight="1" x14ac:dyDescent="0.2">
      <c r="B9" t="s">
        <v>82</v>
      </c>
      <c r="C9" s="12">
        <v>2</v>
      </c>
      <c r="D9" s="8">
        <v>0.34</v>
      </c>
      <c r="E9" s="12">
        <v>1</v>
      </c>
      <c r="F9" s="8">
        <v>0.35</v>
      </c>
      <c r="G9" s="12">
        <v>1</v>
      </c>
      <c r="H9" s="8">
        <v>0.33</v>
      </c>
      <c r="I9" s="12">
        <v>0</v>
      </c>
    </row>
    <row r="10" spans="2:9" ht="15" customHeight="1" x14ac:dyDescent="0.2">
      <c r="B10" t="s">
        <v>83</v>
      </c>
      <c r="C10" s="12">
        <v>3</v>
      </c>
      <c r="D10" s="8">
        <v>0.51</v>
      </c>
      <c r="E10" s="12">
        <v>1</v>
      </c>
      <c r="F10" s="8">
        <v>0.35</v>
      </c>
      <c r="G10" s="12">
        <v>2</v>
      </c>
      <c r="H10" s="8">
        <v>0.67</v>
      </c>
      <c r="I10" s="12">
        <v>0</v>
      </c>
    </row>
    <row r="11" spans="2:9" ht="15" customHeight="1" x14ac:dyDescent="0.2">
      <c r="B11" t="s">
        <v>84</v>
      </c>
      <c r="C11" s="12">
        <v>118</v>
      </c>
      <c r="D11" s="8">
        <v>20.14</v>
      </c>
      <c r="E11" s="12">
        <v>45</v>
      </c>
      <c r="F11" s="8">
        <v>15.73</v>
      </c>
      <c r="G11" s="12">
        <v>73</v>
      </c>
      <c r="H11" s="8">
        <v>24.41</v>
      </c>
      <c r="I11" s="12">
        <v>0</v>
      </c>
    </row>
    <row r="12" spans="2:9" ht="15" customHeight="1" x14ac:dyDescent="0.2">
      <c r="B12" t="s">
        <v>85</v>
      </c>
      <c r="C12" s="12">
        <v>6</v>
      </c>
      <c r="D12" s="8">
        <v>1.02</v>
      </c>
      <c r="E12" s="12">
        <v>2</v>
      </c>
      <c r="F12" s="8">
        <v>0.7</v>
      </c>
      <c r="G12" s="12">
        <v>4</v>
      </c>
      <c r="H12" s="8">
        <v>1.34</v>
      </c>
      <c r="I12" s="12">
        <v>0</v>
      </c>
    </row>
    <row r="13" spans="2:9" ht="15" customHeight="1" x14ac:dyDescent="0.2">
      <c r="B13" t="s">
        <v>86</v>
      </c>
      <c r="C13" s="12">
        <v>25</v>
      </c>
      <c r="D13" s="8">
        <v>4.2699999999999996</v>
      </c>
      <c r="E13" s="12">
        <v>12</v>
      </c>
      <c r="F13" s="8">
        <v>4.2</v>
      </c>
      <c r="G13" s="12">
        <v>13</v>
      </c>
      <c r="H13" s="8">
        <v>4.3499999999999996</v>
      </c>
      <c r="I13" s="12">
        <v>0</v>
      </c>
    </row>
    <row r="14" spans="2:9" ht="15" customHeight="1" x14ac:dyDescent="0.2">
      <c r="B14" t="s">
        <v>87</v>
      </c>
      <c r="C14" s="12">
        <v>20</v>
      </c>
      <c r="D14" s="8">
        <v>3.41</v>
      </c>
      <c r="E14" s="12">
        <v>14</v>
      </c>
      <c r="F14" s="8">
        <v>4.9000000000000004</v>
      </c>
      <c r="G14" s="12">
        <v>6</v>
      </c>
      <c r="H14" s="8">
        <v>2.0099999999999998</v>
      </c>
      <c r="I14" s="12">
        <v>0</v>
      </c>
    </row>
    <row r="15" spans="2:9" ht="15" customHeight="1" x14ac:dyDescent="0.2">
      <c r="B15" t="s">
        <v>88</v>
      </c>
      <c r="C15" s="12">
        <v>59</v>
      </c>
      <c r="D15" s="8">
        <v>10.07</v>
      </c>
      <c r="E15" s="12">
        <v>40</v>
      </c>
      <c r="F15" s="8">
        <v>13.99</v>
      </c>
      <c r="G15" s="12">
        <v>19</v>
      </c>
      <c r="H15" s="8">
        <v>6.35</v>
      </c>
      <c r="I15" s="12">
        <v>0</v>
      </c>
    </row>
    <row r="16" spans="2:9" ht="15" customHeight="1" x14ac:dyDescent="0.2">
      <c r="B16" t="s">
        <v>89</v>
      </c>
      <c r="C16" s="12">
        <v>55</v>
      </c>
      <c r="D16" s="8">
        <v>9.39</v>
      </c>
      <c r="E16" s="12">
        <v>42</v>
      </c>
      <c r="F16" s="8">
        <v>14.69</v>
      </c>
      <c r="G16" s="12">
        <v>13</v>
      </c>
      <c r="H16" s="8">
        <v>4.3499999999999996</v>
      </c>
      <c r="I16" s="12">
        <v>0</v>
      </c>
    </row>
    <row r="17" spans="2:9" ht="15" customHeight="1" x14ac:dyDescent="0.2">
      <c r="B17" t="s">
        <v>90</v>
      </c>
      <c r="C17" s="12">
        <v>19</v>
      </c>
      <c r="D17" s="8">
        <v>3.24</v>
      </c>
      <c r="E17" s="12">
        <v>13</v>
      </c>
      <c r="F17" s="8">
        <v>4.55</v>
      </c>
      <c r="G17" s="12">
        <v>5</v>
      </c>
      <c r="H17" s="8">
        <v>1.67</v>
      </c>
      <c r="I17" s="12">
        <v>0</v>
      </c>
    </row>
    <row r="18" spans="2:9" ht="15" customHeight="1" x14ac:dyDescent="0.2">
      <c r="B18" t="s">
        <v>91</v>
      </c>
      <c r="C18" s="12">
        <v>17</v>
      </c>
      <c r="D18" s="8">
        <v>2.9</v>
      </c>
      <c r="E18" s="12">
        <v>14</v>
      </c>
      <c r="F18" s="8">
        <v>4.9000000000000004</v>
      </c>
      <c r="G18" s="12">
        <v>3</v>
      </c>
      <c r="H18" s="8">
        <v>1</v>
      </c>
      <c r="I18" s="12">
        <v>0</v>
      </c>
    </row>
    <row r="19" spans="2:9" ht="15" customHeight="1" x14ac:dyDescent="0.2">
      <c r="B19" t="s">
        <v>92</v>
      </c>
      <c r="C19" s="12">
        <v>20</v>
      </c>
      <c r="D19" s="8">
        <v>3.41</v>
      </c>
      <c r="E19" s="12">
        <v>9</v>
      </c>
      <c r="F19" s="8">
        <v>3.15</v>
      </c>
      <c r="G19" s="12">
        <v>11</v>
      </c>
      <c r="H19" s="8">
        <v>3.68</v>
      </c>
      <c r="I19" s="12">
        <v>0</v>
      </c>
    </row>
    <row r="20" spans="2:9" ht="15" customHeight="1" x14ac:dyDescent="0.2">
      <c r="B20" s="9" t="s">
        <v>363</v>
      </c>
      <c r="C20" s="12">
        <f>SUM(LTBL_20383[総数／事業所数])</f>
        <v>586</v>
      </c>
      <c r="E20" s="12">
        <f>SUBTOTAL(109,LTBL_20383[個人／事業所数])</f>
        <v>286</v>
      </c>
      <c r="G20" s="12">
        <f>SUBTOTAL(109,LTBL_20383[法人／事業所数])</f>
        <v>299</v>
      </c>
      <c r="I20" s="12">
        <f>SUBTOTAL(109,LTBL_20383[法人以外の団体／事業所数])</f>
        <v>0</v>
      </c>
    </row>
    <row r="21" spans="2:9" ht="15" customHeight="1" x14ac:dyDescent="0.2">
      <c r="E21" s="11">
        <f>LTBL_20383[[#Totals],[個人／事業所数]]/LTBL_20383[[#Totals],[総数／事業所数]]</f>
        <v>0.48805460750853241</v>
      </c>
      <c r="G21" s="11">
        <f>LTBL_20383[[#Totals],[法人／事業所数]]/LTBL_20383[[#Totals],[総数／事業所数]]</f>
        <v>0.51023890784982939</v>
      </c>
      <c r="I21" s="11">
        <f>LTBL_20383[[#Totals],[法人以外の団体／事業所数]]/LTBL_20383[[#Totals],[総数／事業所数]]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54</v>
      </c>
      <c r="D24" s="8">
        <v>9.2200000000000006</v>
      </c>
      <c r="E24" s="12">
        <v>38</v>
      </c>
      <c r="F24" s="8">
        <v>13.29</v>
      </c>
      <c r="G24" s="12">
        <v>16</v>
      </c>
      <c r="H24" s="8">
        <v>5.35</v>
      </c>
      <c r="I24" s="12">
        <v>0</v>
      </c>
    </row>
    <row r="25" spans="2:9" ht="15" customHeight="1" x14ac:dyDescent="0.2">
      <c r="B25" t="s">
        <v>116</v>
      </c>
      <c r="C25" s="12">
        <v>44</v>
      </c>
      <c r="D25" s="8">
        <v>7.51</v>
      </c>
      <c r="E25" s="12">
        <v>35</v>
      </c>
      <c r="F25" s="8">
        <v>12.24</v>
      </c>
      <c r="G25" s="12">
        <v>9</v>
      </c>
      <c r="H25" s="8">
        <v>3.01</v>
      </c>
      <c r="I25" s="12">
        <v>0</v>
      </c>
    </row>
    <row r="26" spans="2:9" ht="15" customHeight="1" x14ac:dyDescent="0.2">
      <c r="B26" t="s">
        <v>101</v>
      </c>
      <c r="C26" s="12">
        <v>42</v>
      </c>
      <c r="D26" s="8">
        <v>7.17</v>
      </c>
      <c r="E26" s="12">
        <v>11</v>
      </c>
      <c r="F26" s="8">
        <v>3.85</v>
      </c>
      <c r="G26" s="12">
        <v>31</v>
      </c>
      <c r="H26" s="8">
        <v>10.37</v>
      </c>
      <c r="I26" s="12">
        <v>0</v>
      </c>
    </row>
    <row r="27" spans="2:9" ht="15" customHeight="1" x14ac:dyDescent="0.2">
      <c r="B27" t="s">
        <v>105</v>
      </c>
      <c r="C27" s="12">
        <v>36</v>
      </c>
      <c r="D27" s="8">
        <v>6.14</v>
      </c>
      <c r="E27" s="12">
        <v>15</v>
      </c>
      <c r="F27" s="8">
        <v>5.24</v>
      </c>
      <c r="G27" s="12">
        <v>21</v>
      </c>
      <c r="H27" s="8">
        <v>7.02</v>
      </c>
      <c r="I27" s="12">
        <v>0</v>
      </c>
    </row>
    <row r="28" spans="2:9" ht="15" customHeight="1" x14ac:dyDescent="0.2">
      <c r="B28" t="s">
        <v>110</v>
      </c>
      <c r="C28" s="12">
        <v>34</v>
      </c>
      <c r="D28" s="8">
        <v>5.8</v>
      </c>
      <c r="E28" s="12">
        <v>17</v>
      </c>
      <c r="F28" s="8">
        <v>5.94</v>
      </c>
      <c r="G28" s="12">
        <v>17</v>
      </c>
      <c r="H28" s="8">
        <v>5.69</v>
      </c>
      <c r="I28" s="12">
        <v>0</v>
      </c>
    </row>
    <row r="29" spans="2:9" ht="15" customHeight="1" x14ac:dyDescent="0.2">
      <c r="B29" t="s">
        <v>102</v>
      </c>
      <c r="C29" s="12">
        <v>29</v>
      </c>
      <c r="D29" s="8">
        <v>4.95</v>
      </c>
      <c r="E29" s="12">
        <v>19</v>
      </c>
      <c r="F29" s="8">
        <v>6.64</v>
      </c>
      <c r="G29" s="12">
        <v>10</v>
      </c>
      <c r="H29" s="8">
        <v>3.34</v>
      </c>
      <c r="I29" s="12">
        <v>0</v>
      </c>
    </row>
    <row r="30" spans="2:9" ht="15" customHeight="1" x14ac:dyDescent="0.2">
      <c r="B30" t="s">
        <v>108</v>
      </c>
      <c r="C30" s="12">
        <v>26</v>
      </c>
      <c r="D30" s="8">
        <v>4.4400000000000004</v>
      </c>
      <c r="E30" s="12">
        <v>13</v>
      </c>
      <c r="F30" s="8">
        <v>4.55</v>
      </c>
      <c r="G30" s="12">
        <v>13</v>
      </c>
      <c r="H30" s="8">
        <v>4.3499999999999996</v>
      </c>
      <c r="I30" s="12">
        <v>0</v>
      </c>
    </row>
    <row r="31" spans="2:9" ht="15" customHeight="1" x14ac:dyDescent="0.2">
      <c r="B31" t="s">
        <v>109</v>
      </c>
      <c r="C31" s="12">
        <v>26</v>
      </c>
      <c r="D31" s="8">
        <v>4.4400000000000004</v>
      </c>
      <c r="E31" s="12">
        <v>11</v>
      </c>
      <c r="F31" s="8">
        <v>3.85</v>
      </c>
      <c r="G31" s="12">
        <v>15</v>
      </c>
      <c r="H31" s="8">
        <v>5.0199999999999996</v>
      </c>
      <c r="I31" s="12">
        <v>0</v>
      </c>
    </row>
    <row r="32" spans="2:9" ht="15" customHeight="1" x14ac:dyDescent="0.2">
      <c r="B32" t="s">
        <v>111</v>
      </c>
      <c r="C32" s="12">
        <v>20</v>
      </c>
      <c r="D32" s="8">
        <v>3.41</v>
      </c>
      <c r="E32" s="12">
        <v>11</v>
      </c>
      <c r="F32" s="8">
        <v>3.85</v>
      </c>
      <c r="G32" s="12">
        <v>9</v>
      </c>
      <c r="H32" s="8">
        <v>3.01</v>
      </c>
      <c r="I32" s="12">
        <v>0</v>
      </c>
    </row>
    <row r="33" spans="2:9" ht="15" customHeight="1" x14ac:dyDescent="0.2">
      <c r="B33" t="s">
        <v>104</v>
      </c>
      <c r="C33" s="12">
        <v>19</v>
      </c>
      <c r="D33" s="8">
        <v>3.24</v>
      </c>
      <c r="E33" s="12">
        <v>6</v>
      </c>
      <c r="F33" s="8">
        <v>2.1</v>
      </c>
      <c r="G33" s="12">
        <v>13</v>
      </c>
      <c r="H33" s="8">
        <v>4.3499999999999996</v>
      </c>
      <c r="I33" s="12">
        <v>0</v>
      </c>
    </row>
    <row r="34" spans="2:9" ht="15" customHeight="1" x14ac:dyDescent="0.2">
      <c r="B34" t="s">
        <v>117</v>
      </c>
      <c r="C34" s="12">
        <v>19</v>
      </c>
      <c r="D34" s="8">
        <v>3.24</v>
      </c>
      <c r="E34" s="12">
        <v>13</v>
      </c>
      <c r="F34" s="8">
        <v>4.55</v>
      </c>
      <c r="G34" s="12">
        <v>5</v>
      </c>
      <c r="H34" s="8">
        <v>1.67</v>
      </c>
      <c r="I34" s="12">
        <v>0</v>
      </c>
    </row>
    <row r="35" spans="2:9" ht="15" customHeight="1" x14ac:dyDescent="0.2">
      <c r="B35" t="s">
        <v>103</v>
      </c>
      <c r="C35" s="12">
        <v>14</v>
      </c>
      <c r="D35" s="8">
        <v>2.39</v>
      </c>
      <c r="E35" s="12">
        <v>4</v>
      </c>
      <c r="F35" s="8">
        <v>1.4</v>
      </c>
      <c r="G35" s="12">
        <v>10</v>
      </c>
      <c r="H35" s="8">
        <v>3.34</v>
      </c>
      <c r="I35" s="12">
        <v>0</v>
      </c>
    </row>
    <row r="36" spans="2:9" ht="15" customHeight="1" x14ac:dyDescent="0.2">
      <c r="B36" t="s">
        <v>152</v>
      </c>
      <c r="C36" s="12">
        <v>14</v>
      </c>
      <c r="D36" s="8">
        <v>2.39</v>
      </c>
      <c r="E36" s="12">
        <v>6</v>
      </c>
      <c r="F36" s="8">
        <v>2.1</v>
      </c>
      <c r="G36" s="12">
        <v>8</v>
      </c>
      <c r="H36" s="8">
        <v>2.68</v>
      </c>
      <c r="I36" s="12">
        <v>0</v>
      </c>
    </row>
    <row r="37" spans="2:9" ht="15" customHeight="1" x14ac:dyDescent="0.2">
      <c r="B37" t="s">
        <v>158</v>
      </c>
      <c r="C37" s="12">
        <v>13</v>
      </c>
      <c r="D37" s="8">
        <v>2.2200000000000002</v>
      </c>
      <c r="E37" s="12">
        <v>4</v>
      </c>
      <c r="F37" s="8">
        <v>1.4</v>
      </c>
      <c r="G37" s="12">
        <v>9</v>
      </c>
      <c r="H37" s="8">
        <v>3.01</v>
      </c>
      <c r="I37" s="12">
        <v>0</v>
      </c>
    </row>
    <row r="38" spans="2:9" ht="15" customHeight="1" x14ac:dyDescent="0.2">
      <c r="B38" t="s">
        <v>118</v>
      </c>
      <c r="C38" s="12">
        <v>13</v>
      </c>
      <c r="D38" s="8">
        <v>2.2200000000000002</v>
      </c>
      <c r="E38" s="12">
        <v>13</v>
      </c>
      <c r="F38" s="8">
        <v>4.55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126</v>
      </c>
      <c r="C39" s="12">
        <v>12</v>
      </c>
      <c r="D39" s="8">
        <v>2.0499999999999998</v>
      </c>
      <c r="E39" s="12">
        <v>6</v>
      </c>
      <c r="F39" s="8">
        <v>2.1</v>
      </c>
      <c r="G39" s="12">
        <v>6</v>
      </c>
      <c r="H39" s="8">
        <v>2.0099999999999998</v>
      </c>
      <c r="I39" s="12">
        <v>0</v>
      </c>
    </row>
    <row r="40" spans="2:9" ht="15" customHeight="1" x14ac:dyDescent="0.2">
      <c r="B40" t="s">
        <v>107</v>
      </c>
      <c r="C40" s="12">
        <v>12</v>
      </c>
      <c r="D40" s="8">
        <v>2.0499999999999998</v>
      </c>
      <c r="E40" s="12">
        <v>4</v>
      </c>
      <c r="F40" s="8">
        <v>1.4</v>
      </c>
      <c r="G40" s="12">
        <v>8</v>
      </c>
      <c r="H40" s="8">
        <v>2.68</v>
      </c>
      <c r="I40" s="12">
        <v>0</v>
      </c>
    </row>
    <row r="41" spans="2:9" ht="15" customHeight="1" x14ac:dyDescent="0.2">
      <c r="B41" t="s">
        <v>112</v>
      </c>
      <c r="C41" s="12">
        <v>11</v>
      </c>
      <c r="D41" s="8">
        <v>1.88</v>
      </c>
      <c r="E41" s="12">
        <v>8</v>
      </c>
      <c r="F41" s="8">
        <v>2.8</v>
      </c>
      <c r="G41" s="12">
        <v>3</v>
      </c>
      <c r="H41" s="8">
        <v>1</v>
      </c>
      <c r="I41" s="12">
        <v>0</v>
      </c>
    </row>
    <row r="42" spans="2:9" ht="15" customHeight="1" x14ac:dyDescent="0.2">
      <c r="B42" t="s">
        <v>155</v>
      </c>
      <c r="C42" s="12">
        <v>10</v>
      </c>
      <c r="D42" s="8">
        <v>1.71</v>
      </c>
      <c r="E42" s="12">
        <v>3</v>
      </c>
      <c r="F42" s="8">
        <v>1.05</v>
      </c>
      <c r="G42" s="12">
        <v>7</v>
      </c>
      <c r="H42" s="8">
        <v>2.34</v>
      </c>
      <c r="I42" s="12">
        <v>0</v>
      </c>
    </row>
    <row r="43" spans="2:9" ht="15" customHeight="1" x14ac:dyDescent="0.2">
      <c r="B43" t="s">
        <v>154</v>
      </c>
      <c r="C43" s="12">
        <v>10</v>
      </c>
      <c r="D43" s="8">
        <v>1.71</v>
      </c>
      <c r="E43" s="12">
        <v>4</v>
      </c>
      <c r="F43" s="8">
        <v>1.4</v>
      </c>
      <c r="G43" s="12">
        <v>6</v>
      </c>
      <c r="H43" s="8">
        <v>2.0099999999999998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191</v>
      </c>
      <c r="C47" s="12">
        <v>22</v>
      </c>
      <c r="D47" s="8">
        <v>3.75</v>
      </c>
      <c r="E47" s="12">
        <v>20</v>
      </c>
      <c r="F47" s="8">
        <v>6.99</v>
      </c>
      <c r="G47" s="12">
        <v>2</v>
      </c>
      <c r="H47" s="8">
        <v>0.67</v>
      </c>
      <c r="I47" s="12">
        <v>0</v>
      </c>
    </row>
    <row r="48" spans="2:9" ht="15" customHeight="1" x14ac:dyDescent="0.2">
      <c r="B48" t="s">
        <v>203</v>
      </c>
      <c r="C48" s="12">
        <v>21</v>
      </c>
      <c r="D48" s="8">
        <v>3.58</v>
      </c>
      <c r="E48" s="12">
        <v>10</v>
      </c>
      <c r="F48" s="8">
        <v>3.5</v>
      </c>
      <c r="G48" s="12">
        <v>11</v>
      </c>
      <c r="H48" s="8">
        <v>3.68</v>
      </c>
      <c r="I48" s="12">
        <v>0</v>
      </c>
    </row>
    <row r="49" spans="2:9" ht="15" customHeight="1" x14ac:dyDescent="0.2">
      <c r="B49" t="s">
        <v>180</v>
      </c>
      <c r="C49" s="12">
        <v>18</v>
      </c>
      <c r="D49" s="8">
        <v>3.07</v>
      </c>
      <c r="E49" s="12">
        <v>5</v>
      </c>
      <c r="F49" s="8">
        <v>1.75</v>
      </c>
      <c r="G49" s="12">
        <v>13</v>
      </c>
      <c r="H49" s="8">
        <v>4.3499999999999996</v>
      </c>
      <c r="I49" s="12">
        <v>0</v>
      </c>
    </row>
    <row r="50" spans="2:9" ht="15" customHeight="1" x14ac:dyDescent="0.2">
      <c r="B50" t="s">
        <v>187</v>
      </c>
      <c r="C50" s="12">
        <v>16</v>
      </c>
      <c r="D50" s="8">
        <v>2.73</v>
      </c>
      <c r="E50" s="12">
        <v>9</v>
      </c>
      <c r="F50" s="8">
        <v>3.15</v>
      </c>
      <c r="G50" s="12">
        <v>7</v>
      </c>
      <c r="H50" s="8">
        <v>2.34</v>
      </c>
      <c r="I50" s="12">
        <v>0</v>
      </c>
    </row>
    <row r="51" spans="2:9" ht="15" customHeight="1" x14ac:dyDescent="0.2">
      <c r="B51" t="s">
        <v>188</v>
      </c>
      <c r="C51" s="12">
        <v>16</v>
      </c>
      <c r="D51" s="8">
        <v>2.73</v>
      </c>
      <c r="E51" s="12">
        <v>10</v>
      </c>
      <c r="F51" s="8">
        <v>3.5</v>
      </c>
      <c r="G51" s="12">
        <v>6</v>
      </c>
      <c r="H51" s="8">
        <v>2.0099999999999998</v>
      </c>
      <c r="I51" s="12">
        <v>0</v>
      </c>
    </row>
    <row r="52" spans="2:9" ht="15" customHeight="1" x14ac:dyDescent="0.2">
      <c r="B52" t="s">
        <v>183</v>
      </c>
      <c r="C52" s="12">
        <v>15</v>
      </c>
      <c r="D52" s="8">
        <v>2.56</v>
      </c>
      <c r="E52" s="12">
        <v>11</v>
      </c>
      <c r="F52" s="8">
        <v>3.85</v>
      </c>
      <c r="G52" s="12">
        <v>4</v>
      </c>
      <c r="H52" s="8">
        <v>1.34</v>
      </c>
      <c r="I52" s="12">
        <v>0</v>
      </c>
    </row>
    <row r="53" spans="2:9" ht="15" customHeight="1" x14ac:dyDescent="0.2">
      <c r="B53" t="s">
        <v>176</v>
      </c>
      <c r="C53" s="12">
        <v>14</v>
      </c>
      <c r="D53" s="8">
        <v>2.39</v>
      </c>
      <c r="E53" s="12">
        <v>8</v>
      </c>
      <c r="F53" s="8">
        <v>2.8</v>
      </c>
      <c r="G53" s="12">
        <v>6</v>
      </c>
      <c r="H53" s="8">
        <v>2.0099999999999998</v>
      </c>
      <c r="I53" s="12">
        <v>0</v>
      </c>
    </row>
    <row r="54" spans="2:9" ht="15" customHeight="1" x14ac:dyDescent="0.2">
      <c r="B54" t="s">
        <v>190</v>
      </c>
      <c r="C54" s="12">
        <v>14</v>
      </c>
      <c r="D54" s="8">
        <v>2.39</v>
      </c>
      <c r="E54" s="12">
        <v>11</v>
      </c>
      <c r="F54" s="8">
        <v>3.85</v>
      </c>
      <c r="G54" s="12">
        <v>3</v>
      </c>
      <c r="H54" s="8">
        <v>1</v>
      </c>
      <c r="I54" s="12">
        <v>0</v>
      </c>
    </row>
    <row r="55" spans="2:9" ht="15" customHeight="1" x14ac:dyDescent="0.2">
      <c r="B55" t="s">
        <v>189</v>
      </c>
      <c r="C55" s="12">
        <v>13</v>
      </c>
      <c r="D55" s="8">
        <v>2.2200000000000002</v>
      </c>
      <c r="E55" s="12">
        <v>13</v>
      </c>
      <c r="F55" s="8">
        <v>4.55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204</v>
      </c>
      <c r="C56" s="12">
        <v>11</v>
      </c>
      <c r="D56" s="8">
        <v>1.88</v>
      </c>
      <c r="E56" s="12">
        <v>4</v>
      </c>
      <c r="F56" s="8">
        <v>1.4</v>
      </c>
      <c r="G56" s="12">
        <v>7</v>
      </c>
      <c r="H56" s="8">
        <v>2.34</v>
      </c>
      <c r="I56" s="12">
        <v>0</v>
      </c>
    </row>
    <row r="57" spans="2:9" ht="15" customHeight="1" x14ac:dyDescent="0.2">
      <c r="B57" t="s">
        <v>179</v>
      </c>
      <c r="C57" s="12">
        <v>11</v>
      </c>
      <c r="D57" s="8">
        <v>1.88</v>
      </c>
      <c r="E57" s="12">
        <v>6</v>
      </c>
      <c r="F57" s="8">
        <v>2.1</v>
      </c>
      <c r="G57" s="12">
        <v>5</v>
      </c>
      <c r="H57" s="8">
        <v>1.67</v>
      </c>
      <c r="I57" s="12">
        <v>0</v>
      </c>
    </row>
    <row r="58" spans="2:9" ht="15" customHeight="1" x14ac:dyDescent="0.2">
      <c r="B58" t="s">
        <v>194</v>
      </c>
      <c r="C58" s="12">
        <v>11</v>
      </c>
      <c r="D58" s="8">
        <v>1.88</v>
      </c>
      <c r="E58" s="12">
        <v>5</v>
      </c>
      <c r="F58" s="8">
        <v>1.75</v>
      </c>
      <c r="G58" s="12">
        <v>6</v>
      </c>
      <c r="H58" s="8">
        <v>2.0099999999999998</v>
      </c>
      <c r="I58" s="12">
        <v>0</v>
      </c>
    </row>
    <row r="59" spans="2:9" ht="15" customHeight="1" x14ac:dyDescent="0.2">
      <c r="B59" t="s">
        <v>175</v>
      </c>
      <c r="C59" s="12">
        <v>10</v>
      </c>
      <c r="D59" s="8">
        <v>1.71</v>
      </c>
      <c r="E59" s="12">
        <v>1</v>
      </c>
      <c r="F59" s="8">
        <v>0.35</v>
      </c>
      <c r="G59" s="12">
        <v>9</v>
      </c>
      <c r="H59" s="8">
        <v>3.01</v>
      </c>
      <c r="I59" s="12">
        <v>0</v>
      </c>
    </row>
    <row r="60" spans="2:9" ht="15" customHeight="1" x14ac:dyDescent="0.2">
      <c r="B60" t="s">
        <v>210</v>
      </c>
      <c r="C60" s="12">
        <v>10</v>
      </c>
      <c r="D60" s="8">
        <v>1.71</v>
      </c>
      <c r="E60" s="12">
        <v>9</v>
      </c>
      <c r="F60" s="8">
        <v>3.15</v>
      </c>
      <c r="G60" s="12">
        <v>1</v>
      </c>
      <c r="H60" s="8">
        <v>0.33</v>
      </c>
      <c r="I60" s="12">
        <v>0</v>
      </c>
    </row>
    <row r="61" spans="2:9" ht="15" customHeight="1" x14ac:dyDescent="0.2">
      <c r="B61" t="s">
        <v>279</v>
      </c>
      <c r="C61" s="12">
        <v>9</v>
      </c>
      <c r="D61" s="8">
        <v>1.54</v>
      </c>
      <c r="E61" s="12">
        <v>3</v>
      </c>
      <c r="F61" s="8">
        <v>1.05</v>
      </c>
      <c r="G61" s="12">
        <v>6</v>
      </c>
      <c r="H61" s="8">
        <v>2.0099999999999998</v>
      </c>
      <c r="I61" s="12">
        <v>0</v>
      </c>
    </row>
    <row r="62" spans="2:9" ht="15" customHeight="1" x14ac:dyDescent="0.2">
      <c r="B62" t="s">
        <v>192</v>
      </c>
      <c r="C62" s="12">
        <v>9</v>
      </c>
      <c r="D62" s="8">
        <v>1.54</v>
      </c>
      <c r="E62" s="12">
        <v>6</v>
      </c>
      <c r="F62" s="8">
        <v>2.1</v>
      </c>
      <c r="G62" s="12">
        <v>3</v>
      </c>
      <c r="H62" s="8">
        <v>1</v>
      </c>
      <c r="I62" s="12">
        <v>0</v>
      </c>
    </row>
    <row r="63" spans="2:9" ht="15" customHeight="1" x14ac:dyDescent="0.2">
      <c r="B63" t="s">
        <v>193</v>
      </c>
      <c r="C63" s="12">
        <v>9</v>
      </c>
      <c r="D63" s="8">
        <v>1.54</v>
      </c>
      <c r="E63" s="12">
        <v>9</v>
      </c>
      <c r="F63" s="8">
        <v>3.15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275</v>
      </c>
      <c r="C64" s="12">
        <v>8</v>
      </c>
      <c r="D64" s="8">
        <v>1.37</v>
      </c>
      <c r="E64" s="12">
        <v>4</v>
      </c>
      <c r="F64" s="8">
        <v>1.4</v>
      </c>
      <c r="G64" s="12">
        <v>4</v>
      </c>
      <c r="H64" s="8">
        <v>1.34</v>
      </c>
      <c r="I64" s="12">
        <v>0</v>
      </c>
    </row>
    <row r="65" spans="2:9" ht="15" customHeight="1" x14ac:dyDescent="0.2">
      <c r="B65" t="s">
        <v>196</v>
      </c>
      <c r="C65" s="12">
        <v>8</v>
      </c>
      <c r="D65" s="8">
        <v>1.37</v>
      </c>
      <c r="E65" s="12">
        <v>2</v>
      </c>
      <c r="F65" s="8">
        <v>0.7</v>
      </c>
      <c r="G65" s="12">
        <v>6</v>
      </c>
      <c r="H65" s="8">
        <v>2.0099999999999998</v>
      </c>
      <c r="I65" s="12">
        <v>0</v>
      </c>
    </row>
    <row r="66" spans="2:9" ht="15" customHeight="1" x14ac:dyDescent="0.2">
      <c r="B66" t="s">
        <v>200</v>
      </c>
      <c r="C66" s="12">
        <v>8</v>
      </c>
      <c r="D66" s="8">
        <v>1.37</v>
      </c>
      <c r="E66" s="12">
        <v>5</v>
      </c>
      <c r="F66" s="8">
        <v>1.75</v>
      </c>
      <c r="G66" s="12">
        <v>3</v>
      </c>
      <c r="H66" s="8">
        <v>1</v>
      </c>
      <c r="I66" s="12">
        <v>0</v>
      </c>
    </row>
    <row r="68" spans="2:9" ht="15" customHeight="1" x14ac:dyDescent="0.2">
      <c r="B68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73C4E-CE3D-4F6A-AFD2-55B21FE33625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402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53</v>
      </c>
      <c r="D6" s="8">
        <v>19.7</v>
      </c>
      <c r="E6" s="12">
        <v>28</v>
      </c>
      <c r="F6" s="8">
        <v>16.37</v>
      </c>
      <c r="G6" s="12">
        <v>25</v>
      </c>
      <c r="H6" s="8">
        <v>26.04</v>
      </c>
      <c r="I6" s="12">
        <v>0</v>
      </c>
    </row>
    <row r="7" spans="2:9" ht="15" customHeight="1" x14ac:dyDescent="0.2">
      <c r="B7" t="s">
        <v>80</v>
      </c>
      <c r="C7" s="12">
        <v>38</v>
      </c>
      <c r="D7" s="8">
        <v>14.13</v>
      </c>
      <c r="E7" s="12">
        <v>16</v>
      </c>
      <c r="F7" s="8">
        <v>9.36</v>
      </c>
      <c r="G7" s="12">
        <v>22</v>
      </c>
      <c r="H7" s="8">
        <v>22.92</v>
      </c>
      <c r="I7" s="12">
        <v>0</v>
      </c>
    </row>
    <row r="8" spans="2:9" ht="15" customHeight="1" x14ac:dyDescent="0.2">
      <c r="B8" t="s">
        <v>81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4</v>
      </c>
      <c r="D9" s="8">
        <v>1.49</v>
      </c>
      <c r="E9" s="12">
        <v>2</v>
      </c>
      <c r="F9" s="8">
        <v>1.17</v>
      </c>
      <c r="G9" s="12">
        <v>2</v>
      </c>
      <c r="H9" s="8">
        <v>2.08</v>
      </c>
      <c r="I9" s="12">
        <v>0</v>
      </c>
    </row>
    <row r="10" spans="2:9" ht="15" customHeight="1" x14ac:dyDescent="0.2">
      <c r="B10" t="s">
        <v>83</v>
      </c>
      <c r="C10" s="12">
        <v>4</v>
      </c>
      <c r="D10" s="8">
        <v>1.49</v>
      </c>
      <c r="E10" s="12">
        <v>1</v>
      </c>
      <c r="F10" s="8">
        <v>0.57999999999999996</v>
      </c>
      <c r="G10" s="12">
        <v>3</v>
      </c>
      <c r="H10" s="8">
        <v>3.13</v>
      </c>
      <c r="I10" s="12">
        <v>0</v>
      </c>
    </row>
    <row r="11" spans="2:9" ht="15" customHeight="1" x14ac:dyDescent="0.2">
      <c r="B11" t="s">
        <v>84</v>
      </c>
      <c r="C11" s="12">
        <v>43</v>
      </c>
      <c r="D11" s="8">
        <v>15.99</v>
      </c>
      <c r="E11" s="12">
        <v>21</v>
      </c>
      <c r="F11" s="8">
        <v>12.28</v>
      </c>
      <c r="G11" s="12">
        <v>22</v>
      </c>
      <c r="H11" s="8">
        <v>22.92</v>
      </c>
      <c r="I11" s="12">
        <v>0</v>
      </c>
    </row>
    <row r="12" spans="2:9" ht="15" customHeight="1" x14ac:dyDescent="0.2">
      <c r="B12" t="s">
        <v>85</v>
      </c>
      <c r="C12" s="12">
        <v>1</v>
      </c>
      <c r="D12" s="8">
        <v>0.37</v>
      </c>
      <c r="E12" s="12">
        <v>0</v>
      </c>
      <c r="F12" s="8">
        <v>0</v>
      </c>
      <c r="G12" s="12">
        <v>1</v>
      </c>
      <c r="H12" s="8">
        <v>1.04</v>
      </c>
      <c r="I12" s="12">
        <v>0</v>
      </c>
    </row>
    <row r="13" spans="2:9" ht="15" customHeight="1" x14ac:dyDescent="0.2">
      <c r="B13" t="s">
        <v>86</v>
      </c>
      <c r="C13" s="12">
        <v>5</v>
      </c>
      <c r="D13" s="8">
        <v>1.86</v>
      </c>
      <c r="E13" s="12">
        <v>1</v>
      </c>
      <c r="F13" s="8">
        <v>0.57999999999999996</v>
      </c>
      <c r="G13" s="12">
        <v>4</v>
      </c>
      <c r="H13" s="8">
        <v>4.17</v>
      </c>
      <c r="I13" s="12">
        <v>0</v>
      </c>
    </row>
    <row r="14" spans="2:9" ht="15" customHeight="1" x14ac:dyDescent="0.2">
      <c r="B14" t="s">
        <v>87</v>
      </c>
      <c r="C14" s="12">
        <v>19</v>
      </c>
      <c r="D14" s="8">
        <v>7.06</v>
      </c>
      <c r="E14" s="12">
        <v>15</v>
      </c>
      <c r="F14" s="8">
        <v>8.77</v>
      </c>
      <c r="G14" s="12">
        <v>3</v>
      </c>
      <c r="H14" s="8">
        <v>3.13</v>
      </c>
      <c r="I14" s="12">
        <v>0</v>
      </c>
    </row>
    <row r="15" spans="2:9" ht="15" customHeight="1" x14ac:dyDescent="0.2">
      <c r="B15" t="s">
        <v>88</v>
      </c>
      <c r="C15" s="12">
        <v>39</v>
      </c>
      <c r="D15" s="8">
        <v>14.5</v>
      </c>
      <c r="E15" s="12">
        <v>30</v>
      </c>
      <c r="F15" s="8">
        <v>17.54</v>
      </c>
      <c r="G15" s="12">
        <v>9</v>
      </c>
      <c r="H15" s="8">
        <v>9.3800000000000008</v>
      </c>
      <c r="I15" s="12">
        <v>0</v>
      </c>
    </row>
    <row r="16" spans="2:9" ht="15" customHeight="1" x14ac:dyDescent="0.2">
      <c r="B16" t="s">
        <v>89</v>
      </c>
      <c r="C16" s="12">
        <v>27</v>
      </c>
      <c r="D16" s="8">
        <v>10.039999999999999</v>
      </c>
      <c r="E16" s="12">
        <v>26</v>
      </c>
      <c r="F16" s="8">
        <v>15.2</v>
      </c>
      <c r="G16" s="12">
        <v>1</v>
      </c>
      <c r="H16" s="8">
        <v>1.04</v>
      </c>
      <c r="I16" s="12">
        <v>0</v>
      </c>
    </row>
    <row r="17" spans="2:9" ht="15" customHeight="1" x14ac:dyDescent="0.2">
      <c r="B17" t="s">
        <v>90</v>
      </c>
      <c r="C17" s="12">
        <v>13</v>
      </c>
      <c r="D17" s="8">
        <v>4.83</v>
      </c>
      <c r="E17" s="12">
        <v>13</v>
      </c>
      <c r="F17" s="8">
        <v>7.6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13</v>
      </c>
      <c r="D18" s="8">
        <v>4.83</v>
      </c>
      <c r="E18" s="12">
        <v>13</v>
      </c>
      <c r="F18" s="8">
        <v>7.6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92</v>
      </c>
      <c r="C19" s="12">
        <v>10</v>
      </c>
      <c r="D19" s="8">
        <v>3.72</v>
      </c>
      <c r="E19" s="12">
        <v>5</v>
      </c>
      <c r="F19" s="8">
        <v>2.92</v>
      </c>
      <c r="G19" s="12">
        <v>4</v>
      </c>
      <c r="H19" s="8">
        <v>4.17</v>
      </c>
      <c r="I19" s="12">
        <v>0</v>
      </c>
    </row>
    <row r="20" spans="2:9" ht="15" customHeight="1" x14ac:dyDescent="0.2">
      <c r="B20" s="9" t="s">
        <v>363</v>
      </c>
      <c r="C20" s="12">
        <f>SUM(LTBL_20384[総数／事業所数])</f>
        <v>269</v>
      </c>
      <c r="E20" s="12">
        <f>SUBTOTAL(109,LTBL_20384[個人／事業所数])</f>
        <v>171</v>
      </c>
      <c r="G20" s="12">
        <f>SUBTOTAL(109,LTBL_20384[法人／事業所数])</f>
        <v>96</v>
      </c>
      <c r="I20" s="12">
        <f>SUBTOTAL(109,LTBL_20384[法人以外の団体／事業所数])</f>
        <v>0</v>
      </c>
    </row>
    <row r="21" spans="2:9" ht="15" customHeight="1" x14ac:dyDescent="0.2">
      <c r="E21" s="11">
        <f>LTBL_20384[[#Totals],[個人／事業所数]]/LTBL_20384[[#Totals],[総数／事業所数]]</f>
        <v>0.63568773234200748</v>
      </c>
      <c r="G21" s="11">
        <f>LTBL_20384[[#Totals],[法人／事業所数]]/LTBL_20384[[#Totals],[総数／事業所数]]</f>
        <v>0.35687732342007433</v>
      </c>
      <c r="I21" s="11">
        <f>LTBL_20384[[#Totals],[法人以外の団体／事業所数]]/LTBL_20384[[#Totals],[総数／事業所数]]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34</v>
      </c>
      <c r="D24" s="8">
        <v>12.64</v>
      </c>
      <c r="E24" s="12">
        <v>29</v>
      </c>
      <c r="F24" s="8">
        <v>16.96</v>
      </c>
      <c r="G24" s="12">
        <v>5</v>
      </c>
      <c r="H24" s="8">
        <v>5.21</v>
      </c>
      <c r="I24" s="12">
        <v>0</v>
      </c>
    </row>
    <row r="25" spans="2:9" ht="15" customHeight="1" x14ac:dyDescent="0.2">
      <c r="B25" t="s">
        <v>101</v>
      </c>
      <c r="C25" s="12">
        <v>30</v>
      </c>
      <c r="D25" s="8">
        <v>11.15</v>
      </c>
      <c r="E25" s="12">
        <v>14</v>
      </c>
      <c r="F25" s="8">
        <v>8.19</v>
      </c>
      <c r="G25" s="12">
        <v>16</v>
      </c>
      <c r="H25" s="8">
        <v>16.670000000000002</v>
      </c>
      <c r="I25" s="12">
        <v>0</v>
      </c>
    </row>
    <row r="26" spans="2:9" ht="15" customHeight="1" x14ac:dyDescent="0.2">
      <c r="B26" t="s">
        <v>116</v>
      </c>
      <c r="C26" s="12">
        <v>26</v>
      </c>
      <c r="D26" s="8">
        <v>9.67</v>
      </c>
      <c r="E26" s="12">
        <v>25</v>
      </c>
      <c r="F26" s="8">
        <v>14.62</v>
      </c>
      <c r="G26" s="12">
        <v>1</v>
      </c>
      <c r="H26" s="8">
        <v>1.04</v>
      </c>
      <c r="I26" s="12">
        <v>0</v>
      </c>
    </row>
    <row r="27" spans="2:9" ht="15" customHeight="1" x14ac:dyDescent="0.2">
      <c r="B27" t="s">
        <v>102</v>
      </c>
      <c r="C27" s="12">
        <v>16</v>
      </c>
      <c r="D27" s="8">
        <v>5.95</v>
      </c>
      <c r="E27" s="12">
        <v>10</v>
      </c>
      <c r="F27" s="8">
        <v>5.85</v>
      </c>
      <c r="G27" s="12">
        <v>6</v>
      </c>
      <c r="H27" s="8">
        <v>6.25</v>
      </c>
      <c r="I27" s="12">
        <v>0</v>
      </c>
    </row>
    <row r="28" spans="2:9" ht="15" customHeight="1" x14ac:dyDescent="0.2">
      <c r="B28" t="s">
        <v>108</v>
      </c>
      <c r="C28" s="12">
        <v>15</v>
      </c>
      <c r="D28" s="8">
        <v>5.58</v>
      </c>
      <c r="E28" s="12">
        <v>8</v>
      </c>
      <c r="F28" s="8">
        <v>4.68</v>
      </c>
      <c r="G28" s="12">
        <v>7</v>
      </c>
      <c r="H28" s="8">
        <v>7.29</v>
      </c>
      <c r="I28" s="12">
        <v>0</v>
      </c>
    </row>
    <row r="29" spans="2:9" ht="15" customHeight="1" x14ac:dyDescent="0.2">
      <c r="B29" t="s">
        <v>117</v>
      </c>
      <c r="C29" s="12">
        <v>13</v>
      </c>
      <c r="D29" s="8">
        <v>4.83</v>
      </c>
      <c r="E29" s="12">
        <v>13</v>
      </c>
      <c r="F29" s="8">
        <v>7.6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118</v>
      </c>
      <c r="C30" s="12">
        <v>13</v>
      </c>
      <c r="D30" s="8">
        <v>4.83</v>
      </c>
      <c r="E30" s="12">
        <v>13</v>
      </c>
      <c r="F30" s="8">
        <v>7.6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110</v>
      </c>
      <c r="C31" s="12">
        <v>12</v>
      </c>
      <c r="D31" s="8">
        <v>4.46</v>
      </c>
      <c r="E31" s="12">
        <v>6</v>
      </c>
      <c r="F31" s="8">
        <v>3.51</v>
      </c>
      <c r="G31" s="12">
        <v>6</v>
      </c>
      <c r="H31" s="8">
        <v>6.25</v>
      </c>
      <c r="I31" s="12">
        <v>0</v>
      </c>
    </row>
    <row r="32" spans="2:9" ht="15" customHeight="1" x14ac:dyDescent="0.2">
      <c r="B32" t="s">
        <v>112</v>
      </c>
      <c r="C32" s="12">
        <v>9</v>
      </c>
      <c r="D32" s="8">
        <v>3.35</v>
      </c>
      <c r="E32" s="12">
        <v>9</v>
      </c>
      <c r="F32" s="8">
        <v>5.26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113</v>
      </c>
      <c r="C33" s="12">
        <v>9</v>
      </c>
      <c r="D33" s="8">
        <v>3.35</v>
      </c>
      <c r="E33" s="12">
        <v>5</v>
      </c>
      <c r="F33" s="8">
        <v>2.92</v>
      </c>
      <c r="G33" s="12">
        <v>3</v>
      </c>
      <c r="H33" s="8">
        <v>3.13</v>
      </c>
      <c r="I33" s="12">
        <v>0</v>
      </c>
    </row>
    <row r="34" spans="2:9" ht="15" customHeight="1" x14ac:dyDescent="0.2">
      <c r="B34" t="s">
        <v>103</v>
      </c>
      <c r="C34" s="12">
        <v>7</v>
      </c>
      <c r="D34" s="8">
        <v>2.6</v>
      </c>
      <c r="E34" s="12">
        <v>4</v>
      </c>
      <c r="F34" s="8">
        <v>2.34</v>
      </c>
      <c r="G34" s="12">
        <v>3</v>
      </c>
      <c r="H34" s="8">
        <v>3.13</v>
      </c>
      <c r="I34" s="12">
        <v>0</v>
      </c>
    </row>
    <row r="35" spans="2:9" ht="15" customHeight="1" x14ac:dyDescent="0.2">
      <c r="B35" t="s">
        <v>127</v>
      </c>
      <c r="C35" s="12">
        <v>6</v>
      </c>
      <c r="D35" s="8">
        <v>2.23</v>
      </c>
      <c r="E35" s="12">
        <v>3</v>
      </c>
      <c r="F35" s="8">
        <v>1.75</v>
      </c>
      <c r="G35" s="12">
        <v>3</v>
      </c>
      <c r="H35" s="8">
        <v>3.13</v>
      </c>
      <c r="I35" s="12">
        <v>0</v>
      </c>
    </row>
    <row r="36" spans="2:9" ht="15" customHeight="1" x14ac:dyDescent="0.2">
      <c r="B36" t="s">
        <v>105</v>
      </c>
      <c r="C36" s="12">
        <v>6</v>
      </c>
      <c r="D36" s="8">
        <v>2.23</v>
      </c>
      <c r="E36" s="12">
        <v>2</v>
      </c>
      <c r="F36" s="8">
        <v>1.17</v>
      </c>
      <c r="G36" s="12">
        <v>4</v>
      </c>
      <c r="H36" s="8">
        <v>4.17</v>
      </c>
      <c r="I36" s="12">
        <v>0</v>
      </c>
    </row>
    <row r="37" spans="2:9" ht="15" customHeight="1" x14ac:dyDescent="0.2">
      <c r="B37" t="s">
        <v>109</v>
      </c>
      <c r="C37" s="12">
        <v>6</v>
      </c>
      <c r="D37" s="8">
        <v>2.23</v>
      </c>
      <c r="E37" s="12">
        <v>4</v>
      </c>
      <c r="F37" s="8">
        <v>2.34</v>
      </c>
      <c r="G37" s="12">
        <v>2</v>
      </c>
      <c r="H37" s="8">
        <v>2.08</v>
      </c>
      <c r="I37" s="12">
        <v>0</v>
      </c>
    </row>
    <row r="38" spans="2:9" ht="15" customHeight="1" x14ac:dyDescent="0.2">
      <c r="B38" t="s">
        <v>130</v>
      </c>
      <c r="C38" s="12">
        <v>5</v>
      </c>
      <c r="D38" s="8">
        <v>1.86</v>
      </c>
      <c r="E38" s="12">
        <v>4</v>
      </c>
      <c r="F38" s="8">
        <v>2.34</v>
      </c>
      <c r="G38" s="12">
        <v>1</v>
      </c>
      <c r="H38" s="8">
        <v>1.04</v>
      </c>
      <c r="I38" s="12">
        <v>0</v>
      </c>
    </row>
    <row r="39" spans="2:9" ht="15" customHeight="1" x14ac:dyDescent="0.2">
      <c r="B39" t="s">
        <v>120</v>
      </c>
      <c r="C39" s="12">
        <v>5</v>
      </c>
      <c r="D39" s="8">
        <v>1.86</v>
      </c>
      <c r="E39" s="12">
        <v>3</v>
      </c>
      <c r="F39" s="8">
        <v>1.75</v>
      </c>
      <c r="G39" s="12">
        <v>2</v>
      </c>
      <c r="H39" s="8">
        <v>2.08</v>
      </c>
      <c r="I39" s="12">
        <v>0</v>
      </c>
    </row>
    <row r="40" spans="2:9" ht="15" customHeight="1" x14ac:dyDescent="0.2">
      <c r="B40" t="s">
        <v>143</v>
      </c>
      <c r="C40" s="12">
        <v>4</v>
      </c>
      <c r="D40" s="8">
        <v>1.49</v>
      </c>
      <c r="E40" s="12">
        <v>0</v>
      </c>
      <c r="F40" s="8">
        <v>0</v>
      </c>
      <c r="G40" s="12">
        <v>4</v>
      </c>
      <c r="H40" s="8">
        <v>4.17</v>
      </c>
      <c r="I40" s="12">
        <v>0</v>
      </c>
    </row>
    <row r="41" spans="2:9" ht="15" customHeight="1" x14ac:dyDescent="0.2">
      <c r="B41" t="s">
        <v>135</v>
      </c>
      <c r="C41" s="12">
        <v>4</v>
      </c>
      <c r="D41" s="8">
        <v>1.49</v>
      </c>
      <c r="E41" s="12">
        <v>2</v>
      </c>
      <c r="F41" s="8">
        <v>1.17</v>
      </c>
      <c r="G41" s="12">
        <v>2</v>
      </c>
      <c r="H41" s="8">
        <v>2.08</v>
      </c>
      <c r="I41" s="12">
        <v>0</v>
      </c>
    </row>
    <row r="42" spans="2:9" ht="15" customHeight="1" x14ac:dyDescent="0.2">
      <c r="B42" t="s">
        <v>107</v>
      </c>
      <c r="C42" s="12">
        <v>4</v>
      </c>
      <c r="D42" s="8">
        <v>1.49</v>
      </c>
      <c r="E42" s="12">
        <v>1</v>
      </c>
      <c r="F42" s="8">
        <v>0.57999999999999996</v>
      </c>
      <c r="G42" s="12">
        <v>3</v>
      </c>
      <c r="H42" s="8">
        <v>3.13</v>
      </c>
      <c r="I42" s="12">
        <v>0</v>
      </c>
    </row>
    <row r="43" spans="2:9" ht="15" customHeight="1" x14ac:dyDescent="0.2">
      <c r="B43" t="s">
        <v>114</v>
      </c>
      <c r="C43" s="12">
        <v>4</v>
      </c>
      <c r="D43" s="8">
        <v>1.49</v>
      </c>
      <c r="E43" s="12">
        <v>1</v>
      </c>
      <c r="F43" s="8">
        <v>0.57999999999999996</v>
      </c>
      <c r="G43" s="12">
        <v>3</v>
      </c>
      <c r="H43" s="8">
        <v>3.13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191</v>
      </c>
      <c r="C47" s="12">
        <v>17</v>
      </c>
      <c r="D47" s="8">
        <v>6.32</v>
      </c>
      <c r="E47" s="12">
        <v>16</v>
      </c>
      <c r="F47" s="8">
        <v>9.36</v>
      </c>
      <c r="G47" s="12">
        <v>1</v>
      </c>
      <c r="H47" s="8">
        <v>1.04</v>
      </c>
      <c r="I47" s="12">
        <v>0</v>
      </c>
    </row>
    <row r="48" spans="2:9" ht="15" customHeight="1" x14ac:dyDescent="0.2">
      <c r="B48" t="s">
        <v>174</v>
      </c>
      <c r="C48" s="12">
        <v>13</v>
      </c>
      <c r="D48" s="8">
        <v>4.83</v>
      </c>
      <c r="E48" s="12">
        <v>5</v>
      </c>
      <c r="F48" s="8">
        <v>2.92</v>
      </c>
      <c r="G48" s="12">
        <v>8</v>
      </c>
      <c r="H48" s="8">
        <v>8.33</v>
      </c>
      <c r="I48" s="12">
        <v>0</v>
      </c>
    </row>
    <row r="49" spans="2:9" ht="15" customHeight="1" x14ac:dyDescent="0.2">
      <c r="B49" t="s">
        <v>193</v>
      </c>
      <c r="C49" s="12">
        <v>12</v>
      </c>
      <c r="D49" s="8">
        <v>4.46</v>
      </c>
      <c r="E49" s="12">
        <v>12</v>
      </c>
      <c r="F49" s="8">
        <v>7.02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187</v>
      </c>
      <c r="C50" s="12">
        <v>10</v>
      </c>
      <c r="D50" s="8">
        <v>3.72</v>
      </c>
      <c r="E50" s="12">
        <v>8</v>
      </c>
      <c r="F50" s="8">
        <v>4.68</v>
      </c>
      <c r="G50" s="12">
        <v>2</v>
      </c>
      <c r="H50" s="8">
        <v>2.08</v>
      </c>
      <c r="I50" s="12">
        <v>0</v>
      </c>
    </row>
    <row r="51" spans="2:9" ht="15" customHeight="1" x14ac:dyDescent="0.2">
      <c r="B51" t="s">
        <v>197</v>
      </c>
      <c r="C51" s="12">
        <v>8</v>
      </c>
      <c r="D51" s="8">
        <v>2.97</v>
      </c>
      <c r="E51" s="12">
        <v>6</v>
      </c>
      <c r="F51" s="8">
        <v>3.51</v>
      </c>
      <c r="G51" s="12">
        <v>2</v>
      </c>
      <c r="H51" s="8">
        <v>2.08</v>
      </c>
      <c r="I51" s="12">
        <v>0</v>
      </c>
    </row>
    <row r="52" spans="2:9" ht="15" customHeight="1" x14ac:dyDescent="0.2">
      <c r="B52" t="s">
        <v>192</v>
      </c>
      <c r="C52" s="12">
        <v>8</v>
      </c>
      <c r="D52" s="8">
        <v>2.97</v>
      </c>
      <c r="E52" s="12">
        <v>8</v>
      </c>
      <c r="F52" s="8">
        <v>4.68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175</v>
      </c>
      <c r="C53" s="12">
        <v>7</v>
      </c>
      <c r="D53" s="8">
        <v>2.6</v>
      </c>
      <c r="E53" s="12">
        <v>3</v>
      </c>
      <c r="F53" s="8">
        <v>1.75</v>
      </c>
      <c r="G53" s="12">
        <v>4</v>
      </c>
      <c r="H53" s="8">
        <v>4.17</v>
      </c>
      <c r="I53" s="12">
        <v>0</v>
      </c>
    </row>
    <row r="54" spans="2:9" ht="15" customHeight="1" x14ac:dyDescent="0.2">
      <c r="B54" t="s">
        <v>184</v>
      </c>
      <c r="C54" s="12">
        <v>7</v>
      </c>
      <c r="D54" s="8">
        <v>2.6</v>
      </c>
      <c r="E54" s="12">
        <v>4</v>
      </c>
      <c r="F54" s="8">
        <v>2.34</v>
      </c>
      <c r="G54" s="12">
        <v>2</v>
      </c>
      <c r="H54" s="8">
        <v>2.08</v>
      </c>
      <c r="I54" s="12">
        <v>0</v>
      </c>
    </row>
    <row r="55" spans="2:9" ht="15" customHeight="1" x14ac:dyDescent="0.2">
      <c r="B55" t="s">
        <v>189</v>
      </c>
      <c r="C55" s="12">
        <v>7</v>
      </c>
      <c r="D55" s="8">
        <v>2.6</v>
      </c>
      <c r="E55" s="12">
        <v>7</v>
      </c>
      <c r="F55" s="8">
        <v>4.09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190</v>
      </c>
      <c r="C56" s="12">
        <v>7</v>
      </c>
      <c r="D56" s="8">
        <v>2.6</v>
      </c>
      <c r="E56" s="12">
        <v>7</v>
      </c>
      <c r="F56" s="8">
        <v>4.09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176</v>
      </c>
      <c r="C57" s="12">
        <v>6</v>
      </c>
      <c r="D57" s="8">
        <v>2.23</v>
      </c>
      <c r="E57" s="12">
        <v>4</v>
      </c>
      <c r="F57" s="8">
        <v>2.34</v>
      </c>
      <c r="G57" s="12">
        <v>2</v>
      </c>
      <c r="H57" s="8">
        <v>2.08</v>
      </c>
      <c r="I57" s="12">
        <v>0</v>
      </c>
    </row>
    <row r="58" spans="2:9" ht="15" customHeight="1" x14ac:dyDescent="0.2">
      <c r="B58" t="s">
        <v>210</v>
      </c>
      <c r="C58" s="12">
        <v>6</v>
      </c>
      <c r="D58" s="8">
        <v>2.23</v>
      </c>
      <c r="E58" s="12">
        <v>4</v>
      </c>
      <c r="F58" s="8">
        <v>2.34</v>
      </c>
      <c r="G58" s="12">
        <v>2</v>
      </c>
      <c r="H58" s="8">
        <v>2.08</v>
      </c>
      <c r="I58" s="12">
        <v>0</v>
      </c>
    </row>
    <row r="59" spans="2:9" ht="15" customHeight="1" x14ac:dyDescent="0.2">
      <c r="B59" t="s">
        <v>280</v>
      </c>
      <c r="C59" s="12">
        <v>5</v>
      </c>
      <c r="D59" s="8">
        <v>1.86</v>
      </c>
      <c r="E59" s="12">
        <v>5</v>
      </c>
      <c r="F59" s="8">
        <v>2.92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188</v>
      </c>
      <c r="C60" s="12">
        <v>5</v>
      </c>
      <c r="D60" s="8">
        <v>1.86</v>
      </c>
      <c r="E60" s="12">
        <v>5</v>
      </c>
      <c r="F60" s="8">
        <v>2.92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198</v>
      </c>
      <c r="C61" s="12">
        <v>5</v>
      </c>
      <c r="D61" s="8">
        <v>1.86</v>
      </c>
      <c r="E61" s="12">
        <v>5</v>
      </c>
      <c r="F61" s="8">
        <v>2.92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200</v>
      </c>
      <c r="C62" s="12">
        <v>5</v>
      </c>
      <c r="D62" s="8">
        <v>1.86</v>
      </c>
      <c r="E62" s="12">
        <v>3</v>
      </c>
      <c r="F62" s="8">
        <v>1.75</v>
      </c>
      <c r="G62" s="12">
        <v>2</v>
      </c>
      <c r="H62" s="8">
        <v>2.08</v>
      </c>
      <c r="I62" s="12">
        <v>0</v>
      </c>
    </row>
    <row r="63" spans="2:9" ht="15" customHeight="1" x14ac:dyDescent="0.2">
      <c r="B63" t="s">
        <v>208</v>
      </c>
      <c r="C63" s="12">
        <v>4</v>
      </c>
      <c r="D63" s="8">
        <v>1.49</v>
      </c>
      <c r="E63" s="12">
        <v>2</v>
      </c>
      <c r="F63" s="8">
        <v>1.17</v>
      </c>
      <c r="G63" s="12">
        <v>2</v>
      </c>
      <c r="H63" s="8">
        <v>2.08</v>
      </c>
      <c r="I63" s="12">
        <v>0</v>
      </c>
    </row>
    <row r="64" spans="2:9" ht="15" customHeight="1" x14ac:dyDescent="0.2">
      <c r="B64" t="s">
        <v>201</v>
      </c>
      <c r="C64" s="12">
        <v>4</v>
      </c>
      <c r="D64" s="8">
        <v>1.49</v>
      </c>
      <c r="E64" s="12">
        <v>2</v>
      </c>
      <c r="F64" s="8">
        <v>1.17</v>
      </c>
      <c r="G64" s="12">
        <v>2</v>
      </c>
      <c r="H64" s="8">
        <v>2.08</v>
      </c>
      <c r="I64" s="12">
        <v>0</v>
      </c>
    </row>
    <row r="65" spans="2:9" ht="15" customHeight="1" x14ac:dyDescent="0.2">
      <c r="B65" t="s">
        <v>178</v>
      </c>
      <c r="C65" s="12">
        <v>4</v>
      </c>
      <c r="D65" s="8">
        <v>1.49</v>
      </c>
      <c r="E65" s="12">
        <v>3</v>
      </c>
      <c r="F65" s="8">
        <v>1.75</v>
      </c>
      <c r="G65" s="12">
        <v>1</v>
      </c>
      <c r="H65" s="8">
        <v>1.04</v>
      </c>
      <c r="I65" s="12">
        <v>0</v>
      </c>
    </row>
    <row r="66" spans="2:9" ht="15" customHeight="1" x14ac:dyDescent="0.2">
      <c r="B66" t="s">
        <v>203</v>
      </c>
      <c r="C66" s="12">
        <v>4</v>
      </c>
      <c r="D66" s="8">
        <v>1.49</v>
      </c>
      <c r="E66" s="12">
        <v>2</v>
      </c>
      <c r="F66" s="8">
        <v>1.17</v>
      </c>
      <c r="G66" s="12">
        <v>2</v>
      </c>
      <c r="H66" s="8">
        <v>2.08</v>
      </c>
      <c r="I66" s="12">
        <v>0</v>
      </c>
    </row>
    <row r="67" spans="2:9" ht="15" customHeight="1" x14ac:dyDescent="0.2">
      <c r="B67" t="s">
        <v>196</v>
      </c>
      <c r="C67" s="12">
        <v>4</v>
      </c>
      <c r="D67" s="8">
        <v>1.49</v>
      </c>
      <c r="E67" s="12">
        <v>1</v>
      </c>
      <c r="F67" s="8">
        <v>0.57999999999999996</v>
      </c>
      <c r="G67" s="12">
        <v>3</v>
      </c>
      <c r="H67" s="8">
        <v>3.13</v>
      </c>
      <c r="I67" s="12">
        <v>0</v>
      </c>
    </row>
    <row r="68" spans="2:9" ht="15" customHeight="1" x14ac:dyDescent="0.2">
      <c r="B68" t="s">
        <v>180</v>
      </c>
      <c r="C68" s="12">
        <v>4</v>
      </c>
      <c r="D68" s="8">
        <v>1.49</v>
      </c>
      <c r="E68" s="12">
        <v>4</v>
      </c>
      <c r="F68" s="8">
        <v>2.34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186</v>
      </c>
      <c r="C69" s="12">
        <v>4</v>
      </c>
      <c r="D69" s="8">
        <v>1.49</v>
      </c>
      <c r="E69" s="12">
        <v>3</v>
      </c>
      <c r="F69" s="8">
        <v>1.75</v>
      </c>
      <c r="G69" s="12">
        <v>1</v>
      </c>
      <c r="H69" s="8">
        <v>1.04</v>
      </c>
      <c r="I69" s="12">
        <v>0</v>
      </c>
    </row>
    <row r="70" spans="2:9" ht="15" customHeight="1" x14ac:dyDescent="0.2">
      <c r="B70" t="s">
        <v>209</v>
      </c>
      <c r="C70" s="12">
        <v>4</v>
      </c>
      <c r="D70" s="8">
        <v>1.49</v>
      </c>
      <c r="E70" s="12">
        <v>4</v>
      </c>
      <c r="F70" s="8">
        <v>2.34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568A8-2720-4FDC-9C17-FE961C286154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403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49</v>
      </c>
      <c r="D6" s="8">
        <v>16.440000000000001</v>
      </c>
      <c r="E6" s="12">
        <v>24</v>
      </c>
      <c r="F6" s="8">
        <v>17.02</v>
      </c>
      <c r="G6" s="12">
        <v>25</v>
      </c>
      <c r="H6" s="8">
        <v>16.34</v>
      </c>
      <c r="I6" s="12">
        <v>0</v>
      </c>
    </row>
    <row r="7" spans="2:9" ht="15" customHeight="1" x14ac:dyDescent="0.2">
      <c r="B7" t="s">
        <v>80</v>
      </c>
      <c r="C7" s="12">
        <v>57</v>
      </c>
      <c r="D7" s="8">
        <v>19.13</v>
      </c>
      <c r="E7" s="12">
        <v>17</v>
      </c>
      <c r="F7" s="8">
        <v>12.06</v>
      </c>
      <c r="G7" s="12">
        <v>40</v>
      </c>
      <c r="H7" s="8">
        <v>26.14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0.34</v>
      </c>
      <c r="E8" s="12">
        <v>0</v>
      </c>
      <c r="F8" s="8">
        <v>0</v>
      </c>
      <c r="G8" s="12">
        <v>1</v>
      </c>
      <c r="H8" s="8">
        <v>0.65</v>
      </c>
      <c r="I8" s="12">
        <v>0</v>
      </c>
    </row>
    <row r="9" spans="2:9" ht="15" customHeight="1" x14ac:dyDescent="0.2">
      <c r="B9" t="s">
        <v>82</v>
      </c>
      <c r="C9" s="12">
        <v>3</v>
      </c>
      <c r="D9" s="8">
        <v>1.01</v>
      </c>
      <c r="E9" s="12">
        <v>0</v>
      </c>
      <c r="F9" s="8">
        <v>0</v>
      </c>
      <c r="G9" s="12">
        <v>3</v>
      </c>
      <c r="H9" s="8">
        <v>1.96</v>
      </c>
      <c r="I9" s="12">
        <v>0</v>
      </c>
    </row>
    <row r="10" spans="2:9" ht="15" customHeight="1" x14ac:dyDescent="0.2">
      <c r="B10" t="s">
        <v>83</v>
      </c>
      <c r="C10" s="12">
        <v>2</v>
      </c>
      <c r="D10" s="8">
        <v>0.67</v>
      </c>
      <c r="E10" s="12">
        <v>1</v>
      </c>
      <c r="F10" s="8">
        <v>0.71</v>
      </c>
      <c r="G10" s="12">
        <v>1</v>
      </c>
      <c r="H10" s="8">
        <v>0.65</v>
      </c>
      <c r="I10" s="12">
        <v>0</v>
      </c>
    </row>
    <row r="11" spans="2:9" ht="15" customHeight="1" x14ac:dyDescent="0.2">
      <c r="B11" t="s">
        <v>84</v>
      </c>
      <c r="C11" s="12">
        <v>54</v>
      </c>
      <c r="D11" s="8">
        <v>18.12</v>
      </c>
      <c r="E11" s="12">
        <v>14</v>
      </c>
      <c r="F11" s="8">
        <v>9.93</v>
      </c>
      <c r="G11" s="12">
        <v>40</v>
      </c>
      <c r="H11" s="8">
        <v>26.14</v>
      </c>
      <c r="I11" s="12">
        <v>0</v>
      </c>
    </row>
    <row r="12" spans="2:9" ht="15" customHeight="1" x14ac:dyDescent="0.2">
      <c r="B12" t="s">
        <v>85</v>
      </c>
      <c r="C12" s="12">
        <v>1</v>
      </c>
      <c r="D12" s="8">
        <v>0.34</v>
      </c>
      <c r="E12" s="12">
        <v>0</v>
      </c>
      <c r="F12" s="8">
        <v>0</v>
      </c>
      <c r="G12" s="12">
        <v>1</v>
      </c>
      <c r="H12" s="8">
        <v>0.65</v>
      </c>
      <c r="I12" s="12">
        <v>0</v>
      </c>
    </row>
    <row r="13" spans="2:9" ht="15" customHeight="1" x14ac:dyDescent="0.2">
      <c r="B13" t="s">
        <v>86</v>
      </c>
      <c r="C13" s="12">
        <v>20</v>
      </c>
      <c r="D13" s="8">
        <v>6.71</v>
      </c>
      <c r="E13" s="12">
        <v>6</v>
      </c>
      <c r="F13" s="8">
        <v>4.26</v>
      </c>
      <c r="G13" s="12">
        <v>14</v>
      </c>
      <c r="H13" s="8">
        <v>9.15</v>
      </c>
      <c r="I13" s="12">
        <v>0</v>
      </c>
    </row>
    <row r="14" spans="2:9" ht="15" customHeight="1" x14ac:dyDescent="0.2">
      <c r="B14" t="s">
        <v>87</v>
      </c>
      <c r="C14" s="12">
        <v>12</v>
      </c>
      <c r="D14" s="8">
        <v>4.03</v>
      </c>
      <c r="E14" s="12">
        <v>6</v>
      </c>
      <c r="F14" s="8">
        <v>4.26</v>
      </c>
      <c r="G14" s="12">
        <v>6</v>
      </c>
      <c r="H14" s="8">
        <v>3.92</v>
      </c>
      <c r="I14" s="12">
        <v>0</v>
      </c>
    </row>
    <row r="15" spans="2:9" ht="15" customHeight="1" x14ac:dyDescent="0.2">
      <c r="B15" t="s">
        <v>88</v>
      </c>
      <c r="C15" s="12">
        <v>13</v>
      </c>
      <c r="D15" s="8">
        <v>4.3600000000000003</v>
      </c>
      <c r="E15" s="12">
        <v>8</v>
      </c>
      <c r="F15" s="8">
        <v>5.67</v>
      </c>
      <c r="G15" s="12">
        <v>5</v>
      </c>
      <c r="H15" s="8">
        <v>3.27</v>
      </c>
      <c r="I15" s="12">
        <v>0</v>
      </c>
    </row>
    <row r="16" spans="2:9" ht="15" customHeight="1" x14ac:dyDescent="0.2">
      <c r="B16" t="s">
        <v>89</v>
      </c>
      <c r="C16" s="12">
        <v>41</v>
      </c>
      <c r="D16" s="8">
        <v>13.76</v>
      </c>
      <c r="E16" s="12">
        <v>35</v>
      </c>
      <c r="F16" s="8">
        <v>24.82</v>
      </c>
      <c r="G16" s="12">
        <v>5</v>
      </c>
      <c r="H16" s="8">
        <v>3.27</v>
      </c>
      <c r="I16" s="12">
        <v>0</v>
      </c>
    </row>
    <row r="17" spans="2:9" ht="15" customHeight="1" x14ac:dyDescent="0.2">
      <c r="B17" t="s">
        <v>90</v>
      </c>
      <c r="C17" s="12">
        <v>20</v>
      </c>
      <c r="D17" s="8">
        <v>6.71</v>
      </c>
      <c r="E17" s="12">
        <v>15</v>
      </c>
      <c r="F17" s="8">
        <v>10.64</v>
      </c>
      <c r="G17" s="12">
        <v>3</v>
      </c>
      <c r="H17" s="8">
        <v>1.96</v>
      </c>
      <c r="I17" s="12">
        <v>0</v>
      </c>
    </row>
    <row r="18" spans="2:9" ht="15" customHeight="1" x14ac:dyDescent="0.2">
      <c r="B18" t="s">
        <v>91</v>
      </c>
      <c r="C18" s="12">
        <v>13</v>
      </c>
      <c r="D18" s="8">
        <v>4.3600000000000003</v>
      </c>
      <c r="E18" s="12">
        <v>11</v>
      </c>
      <c r="F18" s="8">
        <v>7.8</v>
      </c>
      <c r="G18" s="12">
        <v>1</v>
      </c>
      <c r="H18" s="8">
        <v>0.65</v>
      </c>
      <c r="I18" s="12">
        <v>0</v>
      </c>
    </row>
    <row r="19" spans="2:9" ht="15" customHeight="1" x14ac:dyDescent="0.2">
      <c r="B19" t="s">
        <v>92</v>
      </c>
      <c r="C19" s="12">
        <v>12</v>
      </c>
      <c r="D19" s="8">
        <v>4.03</v>
      </c>
      <c r="E19" s="12">
        <v>4</v>
      </c>
      <c r="F19" s="8">
        <v>2.84</v>
      </c>
      <c r="G19" s="12">
        <v>8</v>
      </c>
      <c r="H19" s="8">
        <v>5.23</v>
      </c>
      <c r="I19" s="12">
        <v>0</v>
      </c>
    </row>
    <row r="20" spans="2:9" ht="15" customHeight="1" x14ac:dyDescent="0.2">
      <c r="B20" s="9" t="s">
        <v>363</v>
      </c>
      <c r="C20" s="12">
        <f>SUM(LTBL_20385[総数／事業所数])</f>
        <v>298</v>
      </c>
      <c r="E20" s="12">
        <f>SUBTOTAL(109,LTBL_20385[個人／事業所数])</f>
        <v>141</v>
      </c>
      <c r="G20" s="12">
        <f>SUBTOTAL(109,LTBL_20385[法人／事業所数])</f>
        <v>153</v>
      </c>
      <c r="I20" s="12">
        <f>SUBTOTAL(109,LTBL_20385[法人以外の団体／事業所数])</f>
        <v>0</v>
      </c>
    </row>
    <row r="21" spans="2:9" ht="15" customHeight="1" x14ac:dyDescent="0.2">
      <c r="E21" s="11">
        <f>LTBL_20385[[#Totals],[個人／事業所数]]/LTBL_20385[[#Totals],[総数／事業所数]]</f>
        <v>0.47315436241610737</v>
      </c>
      <c r="G21" s="11">
        <f>LTBL_20385[[#Totals],[法人／事業所数]]/LTBL_20385[[#Totals],[総数／事業所数]]</f>
        <v>0.51342281879194629</v>
      </c>
      <c r="I21" s="11">
        <f>LTBL_20385[[#Totals],[法人以外の団体／事業所数]]/LTBL_20385[[#Totals],[総数／事業所数]]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116</v>
      </c>
      <c r="C24" s="12">
        <v>40</v>
      </c>
      <c r="D24" s="8">
        <v>13.42</v>
      </c>
      <c r="E24" s="12">
        <v>35</v>
      </c>
      <c r="F24" s="8">
        <v>24.82</v>
      </c>
      <c r="G24" s="12">
        <v>5</v>
      </c>
      <c r="H24" s="8">
        <v>3.27</v>
      </c>
      <c r="I24" s="12">
        <v>0</v>
      </c>
    </row>
    <row r="25" spans="2:9" ht="15" customHeight="1" x14ac:dyDescent="0.2">
      <c r="B25" t="s">
        <v>101</v>
      </c>
      <c r="C25" s="12">
        <v>23</v>
      </c>
      <c r="D25" s="8">
        <v>7.72</v>
      </c>
      <c r="E25" s="12">
        <v>8</v>
      </c>
      <c r="F25" s="8">
        <v>5.67</v>
      </c>
      <c r="G25" s="12">
        <v>15</v>
      </c>
      <c r="H25" s="8">
        <v>9.8000000000000007</v>
      </c>
      <c r="I25" s="12">
        <v>0</v>
      </c>
    </row>
    <row r="26" spans="2:9" ht="15" customHeight="1" x14ac:dyDescent="0.2">
      <c r="B26" t="s">
        <v>117</v>
      </c>
      <c r="C26" s="12">
        <v>20</v>
      </c>
      <c r="D26" s="8">
        <v>6.71</v>
      </c>
      <c r="E26" s="12">
        <v>15</v>
      </c>
      <c r="F26" s="8">
        <v>10.64</v>
      </c>
      <c r="G26" s="12">
        <v>3</v>
      </c>
      <c r="H26" s="8">
        <v>1.96</v>
      </c>
      <c r="I26" s="12">
        <v>0</v>
      </c>
    </row>
    <row r="27" spans="2:9" ht="15" customHeight="1" x14ac:dyDescent="0.2">
      <c r="B27" t="s">
        <v>102</v>
      </c>
      <c r="C27" s="12">
        <v>17</v>
      </c>
      <c r="D27" s="8">
        <v>5.7</v>
      </c>
      <c r="E27" s="12">
        <v>10</v>
      </c>
      <c r="F27" s="8">
        <v>7.09</v>
      </c>
      <c r="G27" s="12">
        <v>7</v>
      </c>
      <c r="H27" s="8">
        <v>4.58</v>
      </c>
      <c r="I27" s="12">
        <v>0</v>
      </c>
    </row>
    <row r="28" spans="2:9" ht="15" customHeight="1" x14ac:dyDescent="0.2">
      <c r="B28" t="s">
        <v>110</v>
      </c>
      <c r="C28" s="12">
        <v>17</v>
      </c>
      <c r="D28" s="8">
        <v>5.7</v>
      </c>
      <c r="E28" s="12">
        <v>8</v>
      </c>
      <c r="F28" s="8">
        <v>5.67</v>
      </c>
      <c r="G28" s="12">
        <v>9</v>
      </c>
      <c r="H28" s="8">
        <v>5.88</v>
      </c>
      <c r="I28" s="12">
        <v>0</v>
      </c>
    </row>
    <row r="29" spans="2:9" ht="15" customHeight="1" x14ac:dyDescent="0.2">
      <c r="B29" t="s">
        <v>105</v>
      </c>
      <c r="C29" s="12">
        <v>12</v>
      </c>
      <c r="D29" s="8">
        <v>4.03</v>
      </c>
      <c r="E29" s="12">
        <v>3</v>
      </c>
      <c r="F29" s="8">
        <v>2.13</v>
      </c>
      <c r="G29" s="12">
        <v>9</v>
      </c>
      <c r="H29" s="8">
        <v>5.88</v>
      </c>
      <c r="I29" s="12">
        <v>0</v>
      </c>
    </row>
    <row r="30" spans="2:9" ht="15" customHeight="1" x14ac:dyDescent="0.2">
      <c r="B30" t="s">
        <v>111</v>
      </c>
      <c r="C30" s="12">
        <v>12</v>
      </c>
      <c r="D30" s="8">
        <v>4.03</v>
      </c>
      <c r="E30" s="12">
        <v>6</v>
      </c>
      <c r="F30" s="8">
        <v>4.26</v>
      </c>
      <c r="G30" s="12">
        <v>6</v>
      </c>
      <c r="H30" s="8">
        <v>3.92</v>
      </c>
      <c r="I30" s="12">
        <v>0</v>
      </c>
    </row>
    <row r="31" spans="2:9" ht="15" customHeight="1" x14ac:dyDescent="0.2">
      <c r="B31" t="s">
        <v>104</v>
      </c>
      <c r="C31" s="12">
        <v>11</v>
      </c>
      <c r="D31" s="8">
        <v>3.69</v>
      </c>
      <c r="E31" s="12">
        <v>3</v>
      </c>
      <c r="F31" s="8">
        <v>2.13</v>
      </c>
      <c r="G31" s="12">
        <v>8</v>
      </c>
      <c r="H31" s="8">
        <v>5.23</v>
      </c>
      <c r="I31" s="12">
        <v>0</v>
      </c>
    </row>
    <row r="32" spans="2:9" ht="15" customHeight="1" x14ac:dyDescent="0.2">
      <c r="B32" t="s">
        <v>109</v>
      </c>
      <c r="C32" s="12">
        <v>11</v>
      </c>
      <c r="D32" s="8">
        <v>3.69</v>
      </c>
      <c r="E32" s="12">
        <v>2</v>
      </c>
      <c r="F32" s="8">
        <v>1.42</v>
      </c>
      <c r="G32" s="12">
        <v>9</v>
      </c>
      <c r="H32" s="8">
        <v>5.88</v>
      </c>
      <c r="I32" s="12">
        <v>0</v>
      </c>
    </row>
    <row r="33" spans="2:9" ht="15" customHeight="1" x14ac:dyDescent="0.2">
      <c r="B33" t="s">
        <v>118</v>
      </c>
      <c r="C33" s="12">
        <v>11</v>
      </c>
      <c r="D33" s="8">
        <v>3.69</v>
      </c>
      <c r="E33" s="12">
        <v>11</v>
      </c>
      <c r="F33" s="8">
        <v>7.8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103</v>
      </c>
      <c r="C34" s="12">
        <v>9</v>
      </c>
      <c r="D34" s="8">
        <v>3.02</v>
      </c>
      <c r="E34" s="12">
        <v>6</v>
      </c>
      <c r="F34" s="8">
        <v>4.26</v>
      </c>
      <c r="G34" s="12">
        <v>3</v>
      </c>
      <c r="H34" s="8">
        <v>1.96</v>
      </c>
      <c r="I34" s="12">
        <v>0</v>
      </c>
    </row>
    <row r="35" spans="2:9" ht="15" customHeight="1" x14ac:dyDescent="0.2">
      <c r="B35" t="s">
        <v>106</v>
      </c>
      <c r="C35" s="12">
        <v>9</v>
      </c>
      <c r="D35" s="8">
        <v>3.02</v>
      </c>
      <c r="E35" s="12">
        <v>0</v>
      </c>
      <c r="F35" s="8">
        <v>0</v>
      </c>
      <c r="G35" s="12">
        <v>9</v>
      </c>
      <c r="H35" s="8">
        <v>5.88</v>
      </c>
      <c r="I35" s="12">
        <v>0</v>
      </c>
    </row>
    <row r="36" spans="2:9" ht="15" customHeight="1" x14ac:dyDescent="0.2">
      <c r="B36" t="s">
        <v>115</v>
      </c>
      <c r="C36" s="12">
        <v>9</v>
      </c>
      <c r="D36" s="8">
        <v>3.02</v>
      </c>
      <c r="E36" s="12">
        <v>7</v>
      </c>
      <c r="F36" s="8">
        <v>4.96</v>
      </c>
      <c r="G36" s="12">
        <v>2</v>
      </c>
      <c r="H36" s="8">
        <v>1.31</v>
      </c>
      <c r="I36" s="12">
        <v>0</v>
      </c>
    </row>
    <row r="37" spans="2:9" ht="15" customHeight="1" x14ac:dyDescent="0.2">
      <c r="B37" t="s">
        <v>120</v>
      </c>
      <c r="C37" s="12">
        <v>7</v>
      </c>
      <c r="D37" s="8">
        <v>2.35</v>
      </c>
      <c r="E37" s="12">
        <v>4</v>
      </c>
      <c r="F37" s="8">
        <v>2.84</v>
      </c>
      <c r="G37" s="12">
        <v>3</v>
      </c>
      <c r="H37" s="8">
        <v>1.96</v>
      </c>
      <c r="I37" s="12">
        <v>0</v>
      </c>
    </row>
    <row r="38" spans="2:9" ht="15" customHeight="1" x14ac:dyDescent="0.2">
      <c r="B38" t="s">
        <v>112</v>
      </c>
      <c r="C38" s="12">
        <v>6</v>
      </c>
      <c r="D38" s="8">
        <v>2.0099999999999998</v>
      </c>
      <c r="E38" s="12">
        <v>3</v>
      </c>
      <c r="F38" s="8">
        <v>2.13</v>
      </c>
      <c r="G38" s="12">
        <v>3</v>
      </c>
      <c r="H38" s="8">
        <v>1.96</v>
      </c>
      <c r="I38" s="12">
        <v>0</v>
      </c>
    </row>
    <row r="39" spans="2:9" ht="15" customHeight="1" x14ac:dyDescent="0.2">
      <c r="B39" t="s">
        <v>113</v>
      </c>
      <c r="C39" s="12">
        <v>6</v>
      </c>
      <c r="D39" s="8">
        <v>2.0099999999999998</v>
      </c>
      <c r="E39" s="12">
        <v>3</v>
      </c>
      <c r="F39" s="8">
        <v>2.13</v>
      </c>
      <c r="G39" s="12">
        <v>3</v>
      </c>
      <c r="H39" s="8">
        <v>1.96</v>
      </c>
      <c r="I39" s="12">
        <v>0</v>
      </c>
    </row>
    <row r="40" spans="2:9" ht="15" customHeight="1" x14ac:dyDescent="0.2">
      <c r="B40" t="s">
        <v>158</v>
      </c>
      <c r="C40" s="12">
        <v>5</v>
      </c>
      <c r="D40" s="8">
        <v>1.68</v>
      </c>
      <c r="E40" s="12">
        <v>1</v>
      </c>
      <c r="F40" s="8">
        <v>0.71</v>
      </c>
      <c r="G40" s="12">
        <v>4</v>
      </c>
      <c r="H40" s="8">
        <v>2.61</v>
      </c>
      <c r="I40" s="12">
        <v>0</v>
      </c>
    </row>
    <row r="41" spans="2:9" ht="15" customHeight="1" x14ac:dyDescent="0.2">
      <c r="B41" t="s">
        <v>121</v>
      </c>
      <c r="C41" s="12">
        <v>5</v>
      </c>
      <c r="D41" s="8">
        <v>1.68</v>
      </c>
      <c r="E41" s="12">
        <v>0</v>
      </c>
      <c r="F41" s="8">
        <v>0</v>
      </c>
      <c r="G41" s="12">
        <v>5</v>
      </c>
      <c r="H41" s="8">
        <v>3.27</v>
      </c>
      <c r="I41" s="12">
        <v>0</v>
      </c>
    </row>
    <row r="42" spans="2:9" ht="15" customHeight="1" x14ac:dyDescent="0.2">
      <c r="B42" t="s">
        <v>123</v>
      </c>
      <c r="C42" s="12">
        <v>5</v>
      </c>
      <c r="D42" s="8">
        <v>1.68</v>
      </c>
      <c r="E42" s="12">
        <v>0</v>
      </c>
      <c r="F42" s="8">
        <v>0</v>
      </c>
      <c r="G42" s="12">
        <v>5</v>
      </c>
      <c r="H42" s="8">
        <v>3.27</v>
      </c>
      <c r="I42" s="12">
        <v>0</v>
      </c>
    </row>
    <row r="43" spans="2:9" ht="15" customHeight="1" x14ac:dyDescent="0.2">
      <c r="B43" t="s">
        <v>126</v>
      </c>
      <c r="C43" s="12">
        <v>4</v>
      </c>
      <c r="D43" s="8">
        <v>1.34</v>
      </c>
      <c r="E43" s="12">
        <v>3</v>
      </c>
      <c r="F43" s="8">
        <v>2.13</v>
      </c>
      <c r="G43" s="12">
        <v>1</v>
      </c>
      <c r="H43" s="8">
        <v>0.65</v>
      </c>
      <c r="I43" s="12">
        <v>0</v>
      </c>
    </row>
    <row r="44" spans="2:9" ht="15" customHeight="1" x14ac:dyDescent="0.2">
      <c r="B44" t="s">
        <v>154</v>
      </c>
      <c r="C44" s="12">
        <v>4</v>
      </c>
      <c r="D44" s="8">
        <v>1.34</v>
      </c>
      <c r="E44" s="12">
        <v>0</v>
      </c>
      <c r="F44" s="8">
        <v>0</v>
      </c>
      <c r="G44" s="12">
        <v>4</v>
      </c>
      <c r="H44" s="8">
        <v>2.61</v>
      </c>
      <c r="I44" s="12">
        <v>0</v>
      </c>
    </row>
    <row r="45" spans="2:9" ht="15" customHeight="1" x14ac:dyDescent="0.2">
      <c r="B45" t="s">
        <v>125</v>
      </c>
      <c r="C45" s="12">
        <v>4</v>
      </c>
      <c r="D45" s="8">
        <v>1.34</v>
      </c>
      <c r="E45" s="12">
        <v>1</v>
      </c>
      <c r="F45" s="8">
        <v>0.71</v>
      </c>
      <c r="G45" s="12">
        <v>3</v>
      </c>
      <c r="H45" s="8">
        <v>1.96</v>
      </c>
      <c r="I45" s="12">
        <v>0</v>
      </c>
    </row>
    <row r="46" spans="2:9" ht="15" customHeight="1" x14ac:dyDescent="0.2">
      <c r="B46" t="s">
        <v>108</v>
      </c>
      <c r="C46" s="12">
        <v>4</v>
      </c>
      <c r="D46" s="8">
        <v>1.34</v>
      </c>
      <c r="E46" s="12">
        <v>2</v>
      </c>
      <c r="F46" s="8">
        <v>1.42</v>
      </c>
      <c r="G46" s="12">
        <v>2</v>
      </c>
      <c r="H46" s="8">
        <v>1.31</v>
      </c>
      <c r="I46" s="12">
        <v>0</v>
      </c>
    </row>
    <row r="49" spans="2:9" ht="33" customHeight="1" x14ac:dyDescent="0.2">
      <c r="B49" t="s">
        <v>365</v>
      </c>
      <c r="C49" s="10" t="s">
        <v>94</v>
      </c>
      <c r="D49" s="10" t="s">
        <v>95</v>
      </c>
      <c r="E49" s="10" t="s">
        <v>96</v>
      </c>
      <c r="F49" s="10" t="s">
        <v>97</v>
      </c>
      <c r="G49" s="10" t="s">
        <v>98</v>
      </c>
      <c r="H49" s="10" t="s">
        <v>99</v>
      </c>
      <c r="I49" s="10" t="s">
        <v>100</v>
      </c>
    </row>
    <row r="50" spans="2:9" ht="15" customHeight="1" x14ac:dyDescent="0.2">
      <c r="B50" t="s">
        <v>191</v>
      </c>
      <c r="C50" s="12">
        <v>22</v>
      </c>
      <c r="D50" s="8">
        <v>7.38</v>
      </c>
      <c r="E50" s="12">
        <v>21</v>
      </c>
      <c r="F50" s="8">
        <v>14.89</v>
      </c>
      <c r="G50" s="12">
        <v>1</v>
      </c>
      <c r="H50" s="8">
        <v>0.65</v>
      </c>
      <c r="I50" s="12">
        <v>0</v>
      </c>
    </row>
    <row r="51" spans="2:9" ht="15" customHeight="1" x14ac:dyDescent="0.2">
      <c r="B51" t="s">
        <v>192</v>
      </c>
      <c r="C51" s="12">
        <v>16</v>
      </c>
      <c r="D51" s="8">
        <v>5.37</v>
      </c>
      <c r="E51" s="12">
        <v>14</v>
      </c>
      <c r="F51" s="8">
        <v>9.93</v>
      </c>
      <c r="G51" s="12">
        <v>2</v>
      </c>
      <c r="H51" s="8">
        <v>1.31</v>
      </c>
      <c r="I51" s="12">
        <v>0</v>
      </c>
    </row>
    <row r="52" spans="2:9" ht="15" customHeight="1" x14ac:dyDescent="0.2">
      <c r="B52" t="s">
        <v>180</v>
      </c>
      <c r="C52" s="12">
        <v>10</v>
      </c>
      <c r="D52" s="8">
        <v>3.36</v>
      </c>
      <c r="E52" s="12">
        <v>2</v>
      </c>
      <c r="F52" s="8">
        <v>1.42</v>
      </c>
      <c r="G52" s="12">
        <v>8</v>
      </c>
      <c r="H52" s="8">
        <v>5.23</v>
      </c>
      <c r="I52" s="12">
        <v>0</v>
      </c>
    </row>
    <row r="53" spans="2:9" ht="15" customHeight="1" x14ac:dyDescent="0.2">
      <c r="B53" t="s">
        <v>190</v>
      </c>
      <c r="C53" s="12">
        <v>10</v>
      </c>
      <c r="D53" s="8">
        <v>3.36</v>
      </c>
      <c r="E53" s="12">
        <v>10</v>
      </c>
      <c r="F53" s="8">
        <v>7.09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193</v>
      </c>
      <c r="C54" s="12">
        <v>10</v>
      </c>
      <c r="D54" s="8">
        <v>3.36</v>
      </c>
      <c r="E54" s="12">
        <v>10</v>
      </c>
      <c r="F54" s="8">
        <v>7.09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174</v>
      </c>
      <c r="C55" s="12">
        <v>9</v>
      </c>
      <c r="D55" s="8">
        <v>3.02</v>
      </c>
      <c r="E55" s="12">
        <v>3</v>
      </c>
      <c r="F55" s="8">
        <v>2.13</v>
      </c>
      <c r="G55" s="12">
        <v>6</v>
      </c>
      <c r="H55" s="8">
        <v>3.92</v>
      </c>
      <c r="I55" s="12">
        <v>0</v>
      </c>
    </row>
    <row r="56" spans="2:9" ht="15" customHeight="1" x14ac:dyDescent="0.2">
      <c r="B56" t="s">
        <v>203</v>
      </c>
      <c r="C56" s="12">
        <v>7</v>
      </c>
      <c r="D56" s="8">
        <v>2.35</v>
      </c>
      <c r="E56" s="12">
        <v>1</v>
      </c>
      <c r="F56" s="8">
        <v>0.71</v>
      </c>
      <c r="G56" s="12">
        <v>6</v>
      </c>
      <c r="H56" s="8">
        <v>3.92</v>
      </c>
      <c r="I56" s="12">
        <v>0</v>
      </c>
    </row>
    <row r="57" spans="2:9" ht="15" customHeight="1" x14ac:dyDescent="0.2">
      <c r="B57" t="s">
        <v>183</v>
      </c>
      <c r="C57" s="12">
        <v>7</v>
      </c>
      <c r="D57" s="8">
        <v>2.35</v>
      </c>
      <c r="E57" s="12">
        <v>5</v>
      </c>
      <c r="F57" s="8">
        <v>3.55</v>
      </c>
      <c r="G57" s="12">
        <v>2</v>
      </c>
      <c r="H57" s="8">
        <v>1.31</v>
      </c>
      <c r="I57" s="12">
        <v>0</v>
      </c>
    </row>
    <row r="58" spans="2:9" ht="15" customHeight="1" x14ac:dyDescent="0.2">
      <c r="B58" t="s">
        <v>200</v>
      </c>
      <c r="C58" s="12">
        <v>7</v>
      </c>
      <c r="D58" s="8">
        <v>2.35</v>
      </c>
      <c r="E58" s="12">
        <v>4</v>
      </c>
      <c r="F58" s="8">
        <v>2.84</v>
      </c>
      <c r="G58" s="12">
        <v>3</v>
      </c>
      <c r="H58" s="8">
        <v>1.96</v>
      </c>
      <c r="I58" s="12">
        <v>0</v>
      </c>
    </row>
    <row r="59" spans="2:9" ht="15" customHeight="1" x14ac:dyDescent="0.2">
      <c r="B59" t="s">
        <v>175</v>
      </c>
      <c r="C59" s="12">
        <v>6</v>
      </c>
      <c r="D59" s="8">
        <v>2.0099999999999998</v>
      </c>
      <c r="E59" s="12">
        <v>2</v>
      </c>
      <c r="F59" s="8">
        <v>1.42</v>
      </c>
      <c r="G59" s="12">
        <v>4</v>
      </c>
      <c r="H59" s="8">
        <v>2.61</v>
      </c>
      <c r="I59" s="12">
        <v>0</v>
      </c>
    </row>
    <row r="60" spans="2:9" ht="15" customHeight="1" x14ac:dyDescent="0.2">
      <c r="B60" t="s">
        <v>177</v>
      </c>
      <c r="C60" s="12">
        <v>5</v>
      </c>
      <c r="D60" s="8">
        <v>1.68</v>
      </c>
      <c r="E60" s="12">
        <v>4</v>
      </c>
      <c r="F60" s="8">
        <v>2.84</v>
      </c>
      <c r="G60" s="12">
        <v>1</v>
      </c>
      <c r="H60" s="8">
        <v>0.65</v>
      </c>
      <c r="I60" s="12">
        <v>0</v>
      </c>
    </row>
    <row r="61" spans="2:9" ht="15" customHeight="1" x14ac:dyDescent="0.2">
      <c r="B61" t="s">
        <v>281</v>
      </c>
      <c r="C61" s="12">
        <v>5</v>
      </c>
      <c r="D61" s="8">
        <v>1.68</v>
      </c>
      <c r="E61" s="12">
        <v>1</v>
      </c>
      <c r="F61" s="8">
        <v>0.71</v>
      </c>
      <c r="G61" s="12">
        <v>4</v>
      </c>
      <c r="H61" s="8">
        <v>2.61</v>
      </c>
      <c r="I61" s="12">
        <v>0</v>
      </c>
    </row>
    <row r="62" spans="2:9" ht="15" customHeight="1" x14ac:dyDescent="0.2">
      <c r="B62" t="s">
        <v>282</v>
      </c>
      <c r="C62" s="12">
        <v>5</v>
      </c>
      <c r="D62" s="8">
        <v>1.68</v>
      </c>
      <c r="E62" s="12">
        <v>4</v>
      </c>
      <c r="F62" s="8">
        <v>2.84</v>
      </c>
      <c r="G62" s="12">
        <v>1</v>
      </c>
      <c r="H62" s="8">
        <v>0.65</v>
      </c>
      <c r="I62" s="12">
        <v>0</v>
      </c>
    </row>
    <row r="63" spans="2:9" ht="15" customHeight="1" x14ac:dyDescent="0.2">
      <c r="B63" t="s">
        <v>187</v>
      </c>
      <c r="C63" s="12">
        <v>5</v>
      </c>
      <c r="D63" s="8">
        <v>1.68</v>
      </c>
      <c r="E63" s="12">
        <v>3</v>
      </c>
      <c r="F63" s="8">
        <v>2.13</v>
      </c>
      <c r="G63" s="12">
        <v>2</v>
      </c>
      <c r="H63" s="8">
        <v>1.31</v>
      </c>
      <c r="I63" s="12">
        <v>0</v>
      </c>
    </row>
    <row r="64" spans="2:9" ht="15" customHeight="1" x14ac:dyDescent="0.2">
      <c r="B64" t="s">
        <v>178</v>
      </c>
      <c r="C64" s="12">
        <v>4</v>
      </c>
      <c r="D64" s="8">
        <v>1.34</v>
      </c>
      <c r="E64" s="12">
        <v>2</v>
      </c>
      <c r="F64" s="8">
        <v>1.42</v>
      </c>
      <c r="G64" s="12">
        <v>2</v>
      </c>
      <c r="H64" s="8">
        <v>1.31</v>
      </c>
      <c r="I64" s="12">
        <v>0</v>
      </c>
    </row>
    <row r="65" spans="2:9" ht="15" customHeight="1" x14ac:dyDescent="0.2">
      <c r="B65" t="s">
        <v>202</v>
      </c>
      <c r="C65" s="12">
        <v>4</v>
      </c>
      <c r="D65" s="8">
        <v>1.34</v>
      </c>
      <c r="E65" s="12">
        <v>3</v>
      </c>
      <c r="F65" s="8">
        <v>2.13</v>
      </c>
      <c r="G65" s="12">
        <v>1</v>
      </c>
      <c r="H65" s="8">
        <v>0.65</v>
      </c>
      <c r="I65" s="12">
        <v>0</v>
      </c>
    </row>
    <row r="66" spans="2:9" ht="15" customHeight="1" x14ac:dyDescent="0.2">
      <c r="B66" t="s">
        <v>211</v>
      </c>
      <c r="C66" s="12">
        <v>4</v>
      </c>
      <c r="D66" s="8">
        <v>1.34</v>
      </c>
      <c r="E66" s="12">
        <v>0</v>
      </c>
      <c r="F66" s="8">
        <v>0</v>
      </c>
      <c r="G66" s="12">
        <v>4</v>
      </c>
      <c r="H66" s="8">
        <v>2.61</v>
      </c>
      <c r="I66" s="12">
        <v>0</v>
      </c>
    </row>
    <row r="67" spans="2:9" ht="15" customHeight="1" x14ac:dyDescent="0.2">
      <c r="B67" t="s">
        <v>206</v>
      </c>
      <c r="C67" s="12">
        <v>4</v>
      </c>
      <c r="D67" s="8">
        <v>1.34</v>
      </c>
      <c r="E67" s="12">
        <v>0</v>
      </c>
      <c r="F67" s="8">
        <v>0</v>
      </c>
      <c r="G67" s="12">
        <v>4</v>
      </c>
      <c r="H67" s="8">
        <v>2.61</v>
      </c>
      <c r="I67" s="12">
        <v>0</v>
      </c>
    </row>
    <row r="68" spans="2:9" ht="15" customHeight="1" x14ac:dyDescent="0.2">
      <c r="B68" t="s">
        <v>181</v>
      </c>
      <c r="C68" s="12">
        <v>4</v>
      </c>
      <c r="D68" s="8">
        <v>1.34</v>
      </c>
      <c r="E68" s="12">
        <v>1</v>
      </c>
      <c r="F68" s="8">
        <v>0.71</v>
      </c>
      <c r="G68" s="12">
        <v>3</v>
      </c>
      <c r="H68" s="8">
        <v>1.96</v>
      </c>
      <c r="I68" s="12">
        <v>0</v>
      </c>
    </row>
    <row r="69" spans="2:9" ht="15" customHeight="1" x14ac:dyDescent="0.2">
      <c r="B69" t="s">
        <v>199</v>
      </c>
      <c r="C69" s="12">
        <v>4</v>
      </c>
      <c r="D69" s="8">
        <v>1.34</v>
      </c>
      <c r="E69" s="12">
        <v>1</v>
      </c>
      <c r="F69" s="8">
        <v>0.71</v>
      </c>
      <c r="G69" s="12">
        <v>3</v>
      </c>
      <c r="H69" s="8">
        <v>1.96</v>
      </c>
      <c r="I69" s="12">
        <v>0</v>
      </c>
    </row>
    <row r="70" spans="2:9" ht="15" customHeight="1" x14ac:dyDescent="0.2">
      <c r="B70" t="s">
        <v>283</v>
      </c>
      <c r="C70" s="12">
        <v>4</v>
      </c>
      <c r="D70" s="8">
        <v>1.34</v>
      </c>
      <c r="E70" s="12">
        <v>3</v>
      </c>
      <c r="F70" s="8">
        <v>2.13</v>
      </c>
      <c r="G70" s="12">
        <v>1</v>
      </c>
      <c r="H70" s="8">
        <v>0.65</v>
      </c>
      <c r="I70" s="12">
        <v>0</v>
      </c>
    </row>
    <row r="72" spans="2:9" ht="15" customHeight="1" x14ac:dyDescent="0.2">
      <c r="B72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7BCFF-C9FB-4C8F-97FA-F4F6ACDBD404}">
  <sheetPr>
    <pageSetUpPr fitToPage="1"/>
  </sheetPr>
  <dimension ref="B2:I9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404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28</v>
      </c>
      <c r="D6" s="8">
        <v>23.33</v>
      </c>
      <c r="E6" s="12">
        <v>16</v>
      </c>
      <c r="F6" s="8">
        <v>21.33</v>
      </c>
      <c r="G6" s="12">
        <v>12</v>
      </c>
      <c r="H6" s="8">
        <v>28.57</v>
      </c>
      <c r="I6" s="12">
        <v>0</v>
      </c>
    </row>
    <row r="7" spans="2:9" ht="15" customHeight="1" x14ac:dyDescent="0.2">
      <c r="B7" t="s">
        <v>80</v>
      </c>
      <c r="C7" s="12">
        <v>22</v>
      </c>
      <c r="D7" s="8">
        <v>18.329999999999998</v>
      </c>
      <c r="E7" s="12">
        <v>10</v>
      </c>
      <c r="F7" s="8">
        <v>13.33</v>
      </c>
      <c r="G7" s="12">
        <v>12</v>
      </c>
      <c r="H7" s="8">
        <v>28.57</v>
      </c>
      <c r="I7" s="12">
        <v>0</v>
      </c>
    </row>
    <row r="8" spans="2:9" ht="15" customHeight="1" x14ac:dyDescent="0.2">
      <c r="B8" t="s">
        <v>81</v>
      </c>
      <c r="C8" s="12">
        <v>2</v>
      </c>
      <c r="D8" s="8">
        <v>1.67</v>
      </c>
      <c r="E8" s="12">
        <v>0</v>
      </c>
      <c r="F8" s="8">
        <v>0</v>
      </c>
      <c r="G8" s="12">
        <v>2</v>
      </c>
      <c r="H8" s="8">
        <v>4.76</v>
      </c>
      <c r="I8" s="12">
        <v>0</v>
      </c>
    </row>
    <row r="9" spans="2:9" ht="15" customHeight="1" x14ac:dyDescent="0.2">
      <c r="B9" t="s">
        <v>82</v>
      </c>
      <c r="C9" s="12">
        <v>2</v>
      </c>
      <c r="D9" s="8">
        <v>1.67</v>
      </c>
      <c r="E9" s="12">
        <v>2</v>
      </c>
      <c r="F9" s="8">
        <v>2.67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1</v>
      </c>
      <c r="D10" s="8">
        <v>0.83</v>
      </c>
      <c r="E10" s="12">
        <v>1</v>
      </c>
      <c r="F10" s="8">
        <v>1.33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84</v>
      </c>
      <c r="C11" s="12">
        <v>20</v>
      </c>
      <c r="D11" s="8">
        <v>16.670000000000002</v>
      </c>
      <c r="E11" s="12">
        <v>13</v>
      </c>
      <c r="F11" s="8">
        <v>17.329999999999998</v>
      </c>
      <c r="G11" s="12">
        <v>7</v>
      </c>
      <c r="H11" s="8">
        <v>16.670000000000002</v>
      </c>
      <c r="I11" s="12">
        <v>0</v>
      </c>
    </row>
    <row r="12" spans="2:9" ht="15" customHeight="1" x14ac:dyDescent="0.2">
      <c r="B12" t="s">
        <v>85</v>
      </c>
      <c r="C12" s="12">
        <v>1</v>
      </c>
      <c r="D12" s="8">
        <v>0.83</v>
      </c>
      <c r="E12" s="12">
        <v>1</v>
      </c>
      <c r="F12" s="8">
        <v>1.33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2</v>
      </c>
      <c r="D13" s="8">
        <v>1.67</v>
      </c>
      <c r="E13" s="12">
        <v>0</v>
      </c>
      <c r="F13" s="8">
        <v>0</v>
      </c>
      <c r="G13" s="12">
        <v>2</v>
      </c>
      <c r="H13" s="8">
        <v>4.76</v>
      </c>
      <c r="I13" s="12">
        <v>0</v>
      </c>
    </row>
    <row r="14" spans="2:9" ht="15" customHeight="1" x14ac:dyDescent="0.2">
      <c r="B14" t="s">
        <v>87</v>
      </c>
      <c r="C14" s="12">
        <v>4</v>
      </c>
      <c r="D14" s="8">
        <v>3.33</v>
      </c>
      <c r="E14" s="12">
        <v>3</v>
      </c>
      <c r="F14" s="8">
        <v>4</v>
      </c>
      <c r="G14" s="12">
        <v>1</v>
      </c>
      <c r="H14" s="8">
        <v>2.38</v>
      </c>
      <c r="I14" s="12">
        <v>0</v>
      </c>
    </row>
    <row r="15" spans="2:9" ht="15" customHeight="1" x14ac:dyDescent="0.2">
      <c r="B15" t="s">
        <v>88</v>
      </c>
      <c r="C15" s="12">
        <v>13</v>
      </c>
      <c r="D15" s="8">
        <v>10.83</v>
      </c>
      <c r="E15" s="12">
        <v>12</v>
      </c>
      <c r="F15" s="8">
        <v>16</v>
      </c>
      <c r="G15" s="12">
        <v>1</v>
      </c>
      <c r="H15" s="8">
        <v>2.38</v>
      </c>
      <c r="I15" s="12">
        <v>0</v>
      </c>
    </row>
    <row r="16" spans="2:9" ht="15" customHeight="1" x14ac:dyDescent="0.2">
      <c r="B16" t="s">
        <v>89</v>
      </c>
      <c r="C16" s="12">
        <v>10</v>
      </c>
      <c r="D16" s="8">
        <v>8.33</v>
      </c>
      <c r="E16" s="12">
        <v>10</v>
      </c>
      <c r="F16" s="8">
        <v>13.33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90</v>
      </c>
      <c r="C17" s="12">
        <v>3</v>
      </c>
      <c r="D17" s="8">
        <v>2.5</v>
      </c>
      <c r="E17" s="12">
        <v>0</v>
      </c>
      <c r="F17" s="8">
        <v>0</v>
      </c>
      <c r="G17" s="12">
        <v>1</v>
      </c>
      <c r="H17" s="8">
        <v>2.38</v>
      </c>
      <c r="I17" s="12">
        <v>0</v>
      </c>
    </row>
    <row r="18" spans="2:9" ht="15" customHeight="1" x14ac:dyDescent="0.2">
      <c r="B18" t="s">
        <v>91</v>
      </c>
      <c r="C18" s="12">
        <v>7</v>
      </c>
      <c r="D18" s="8">
        <v>5.83</v>
      </c>
      <c r="E18" s="12">
        <v>5</v>
      </c>
      <c r="F18" s="8">
        <v>6.67</v>
      </c>
      <c r="G18" s="12">
        <v>2</v>
      </c>
      <c r="H18" s="8">
        <v>4.76</v>
      </c>
      <c r="I18" s="12">
        <v>0</v>
      </c>
    </row>
    <row r="19" spans="2:9" ht="15" customHeight="1" x14ac:dyDescent="0.2">
      <c r="B19" t="s">
        <v>92</v>
      </c>
      <c r="C19" s="12">
        <v>5</v>
      </c>
      <c r="D19" s="8">
        <v>4.17</v>
      </c>
      <c r="E19" s="12">
        <v>2</v>
      </c>
      <c r="F19" s="8">
        <v>2.67</v>
      </c>
      <c r="G19" s="12">
        <v>2</v>
      </c>
      <c r="H19" s="8">
        <v>4.76</v>
      </c>
      <c r="I19" s="12">
        <v>0</v>
      </c>
    </row>
    <row r="20" spans="2:9" ht="15" customHeight="1" x14ac:dyDescent="0.2">
      <c r="B20" s="9" t="s">
        <v>363</v>
      </c>
      <c r="C20" s="12">
        <f>SUM(LTBL_20386[総数／事業所数])</f>
        <v>120</v>
      </c>
      <c r="E20" s="12">
        <f>SUBTOTAL(109,LTBL_20386[個人／事業所数])</f>
        <v>75</v>
      </c>
      <c r="G20" s="12">
        <f>SUBTOTAL(109,LTBL_20386[法人／事業所数])</f>
        <v>42</v>
      </c>
      <c r="I20" s="12">
        <f>SUBTOTAL(109,LTBL_20386[法人以外の団体／事業所数])</f>
        <v>0</v>
      </c>
    </row>
    <row r="21" spans="2:9" ht="15" customHeight="1" x14ac:dyDescent="0.2">
      <c r="E21" s="11">
        <f>LTBL_20386[[#Totals],[個人／事業所数]]/LTBL_20386[[#Totals],[総数／事業所数]]</f>
        <v>0.625</v>
      </c>
      <c r="G21" s="11">
        <f>LTBL_20386[[#Totals],[法人／事業所数]]/LTBL_20386[[#Totals],[総数／事業所数]]</f>
        <v>0.35</v>
      </c>
      <c r="I21" s="11">
        <f>LTBL_20386[[#Totals],[法人以外の団体／事業所数]]/LTBL_20386[[#Totals],[総数／事業所数]]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101</v>
      </c>
      <c r="C24" s="12">
        <v>14</v>
      </c>
      <c r="D24" s="8">
        <v>11.67</v>
      </c>
      <c r="E24" s="12">
        <v>4</v>
      </c>
      <c r="F24" s="8">
        <v>5.33</v>
      </c>
      <c r="G24" s="12">
        <v>10</v>
      </c>
      <c r="H24" s="8">
        <v>23.81</v>
      </c>
      <c r="I24" s="12">
        <v>0</v>
      </c>
    </row>
    <row r="25" spans="2:9" ht="15" customHeight="1" x14ac:dyDescent="0.2">
      <c r="B25" t="s">
        <v>115</v>
      </c>
      <c r="C25" s="12">
        <v>11</v>
      </c>
      <c r="D25" s="8">
        <v>9.17</v>
      </c>
      <c r="E25" s="12">
        <v>10</v>
      </c>
      <c r="F25" s="8">
        <v>13.33</v>
      </c>
      <c r="G25" s="12">
        <v>1</v>
      </c>
      <c r="H25" s="8">
        <v>2.38</v>
      </c>
      <c r="I25" s="12">
        <v>0</v>
      </c>
    </row>
    <row r="26" spans="2:9" ht="15" customHeight="1" x14ac:dyDescent="0.2">
      <c r="B26" t="s">
        <v>102</v>
      </c>
      <c r="C26" s="12">
        <v>10</v>
      </c>
      <c r="D26" s="8">
        <v>8.33</v>
      </c>
      <c r="E26" s="12">
        <v>9</v>
      </c>
      <c r="F26" s="8">
        <v>12</v>
      </c>
      <c r="G26" s="12">
        <v>1</v>
      </c>
      <c r="H26" s="8">
        <v>2.38</v>
      </c>
      <c r="I26" s="12">
        <v>0</v>
      </c>
    </row>
    <row r="27" spans="2:9" ht="15" customHeight="1" x14ac:dyDescent="0.2">
      <c r="B27" t="s">
        <v>116</v>
      </c>
      <c r="C27" s="12">
        <v>10</v>
      </c>
      <c r="D27" s="8">
        <v>8.33</v>
      </c>
      <c r="E27" s="12">
        <v>10</v>
      </c>
      <c r="F27" s="8">
        <v>13.33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108</v>
      </c>
      <c r="C28" s="12">
        <v>8</v>
      </c>
      <c r="D28" s="8">
        <v>6.67</v>
      </c>
      <c r="E28" s="12">
        <v>7</v>
      </c>
      <c r="F28" s="8">
        <v>9.33</v>
      </c>
      <c r="G28" s="12">
        <v>1</v>
      </c>
      <c r="H28" s="8">
        <v>2.38</v>
      </c>
      <c r="I28" s="12">
        <v>0</v>
      </c>
    </row>
    <row r="29" spans="2:9" ht="15" customHeight="1" x14ac:dyDescent="0.2">
      <c r="B29" t="s">
        <v>110</v>
      </c>
      <c r="C29" s="12">
        <v>8</v>
      </c>
      <c r="D29" s="8">
        <v>6.67</v>
      </c>
      <c r="E29" s="12">
        <v>3</v>
      </c>
      <c r="F29" s="8">
        <v>4</v>
      </c>
      <c r="G29" s="12">
        <v>5</v>
      </c>
      <c r="H29" s="8">
        <v>11.9</v>
      </c>
      <c r="I29" s="12">
        <v>0</v>
      </c>
    </row>
    <row r="30" spans="2:9" ht="15" customHeight="1" x14ac:dyDescent="0.2">
      <c r="B30" t="s">
        <v>118</v>
      </c>
      <c r="C30" s="12">
        <v>6</v>
      </c>
      <c r="D30" s="8">
        <v>5</v>
      </c>
      <c r="E30" s="12">
        <v>5</v>
      </c>
      <c r="F30" s="8">
        <v>6.67</v>
      </c>
      <c r="G30" s="12">
        <v>1</v>
      </c>
      <c r="H30" s="8">
        <v>2.38</v>
      </c>
      <c r="I30" s="12">
        <v>0</v>
      </c>
    </row>
    <row r="31" spans="2:9" ht="15" customHeight="1" x14ac:dyDescent="0.2">
      <c r="B31" t="s">
        <v>103</v>
      </c>
      <c r="C31" s="12">
        <v>4</v>
      </c>
      <c r="D31" s="8">
        <v>3.33</v>
      </c>
      <c r="E31" s="12">
        <v>3</v>
      </c>
      <c r="F31" s="8">
        <v>4</v>
      </c>
      <c r="G31" s="12">
        <v>1</v>
      </c>
      <c r="H31" s="8">
        <v>2.38</v>
      </c>
      <c r="I31" s="12">
        <v>0</v>
      </c>
    </row>
    <row r="32" spans="2:9" ht="15" customHeight="1" x14ac:dyDescent="0.2">
      <c r="B32" t="s">
        <v>113</v>
      </c>
      <c r="C32" s="12">
        <v>4</v>
      </c>
      <c r="D32" s="8">
        <v>3.33</v>
      </c>
      <c r="E32" s="12">
        <v>3</v>
      </c>
      <c r="F32" s="8">
        <v>4</v>
      </c>
      <c r="G32" s="12">
        <v>1</v>
      </c>
      <c r="H32" s="8">
        <v>2.38</v>
      </c>
      <c r="I32" s="12">
        <v>0</v>
      </c>
    </row>
    <row r="33" spans="2:9" ht="15" customHeight="1" x14ac:dyDescent="0.2">
      <c r="B33" t="s">
        <v>127</v>
      </c>
      <c r="C33" s="12">
        <v>3</v>
      </c>
      <c r="D33" s="8">
        <v>2.5</v>
      </c>
      <c r="E33" s="12">
        <v>0</v>
      </c>
      <c r="F33" s="8">
        <v>0</v>
      </c>
      <c r="G33" s="12">
        <v>3</v>
      </c>
      <c r="H33" s="8">
        <v>7.14</v>
      </c>
      <c r="I33" s="12">
        <v>0</v>
      </c>
    </row>
    <row r="34" spans="2:9" ht="15" customHeight="1" x14ac:dyDescent="0.2">
      <c r="B34" t="s">
        <v>130</v>
      </c>
      <c r="C34" s="12">
        <v>3</v>
      </c>
      <c r="D34" s="8">
        <v>2.5</v>
      </c>
      <c r="E34" s="12">
        <v>3</v>
      </c>
      <c r="F34" s="8">
        <v>4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152</v>
      </c>
      <c r="C35" s="12">
        <v>3</v>
      </c>
      <c r="D35" s="8">
        <v>2.5</v>
      </c>
      <c r="E35" s="12">
        <v>1</v>
      </c>
      <c r="F35" s="8">
        <v>1.33</v>
      </c>
      <c r="G35" s="12">
        <v>2</v>
      </c>
      <c r="H35" s="8">
        <v>4.76</v>
      </c>
      <c r="I35" s="12">
        <v>0</v>
      </c>
    </row>
    <row r="36" spans="2:9" ht="15" customHeight="1" x14ac:dyDescent="0.2">
      <c r="B36" t="s">
        <v>117</v>
      </c>
      <c r="C36" s="12">
        <v>3</v>
      </c>
      <c r="D36" s="8">
        <v>2.5</v>
      </c>
      <c r="E36" s="12">
        <v>0</v>
      </c>
      <c r="F36" s="8">
        <v>0</v>
      </c>
      <c r="G36" s="12">
        <v>1</v>
      </c>
      <c r="H36" s="8">
        <v>2.38</v>
      </c>
      <c r="I36" s="12">
        <v>0</v>
      </c>
    </row>
    <row r="37" spans="2:9" ht="15" customHeight="1" x14ac:dyDescent="0.2">
      <c r="B37" t="s">
        <v>120</v>
      </c>
      <c r="C37" s="12">
        <v>3</v>
      </c>
      <c r="D37" s="8">
        <v>2.5</v>
      </c>
      <c r="E37" s="12">
        <v>1</v>
      </c>
      <c r="F37" s="8">
        <v>1.33</v>
      </c>
      <c r="G37" s="12">
        <v>2</v>
      </c>
      <c r="H37" s="8">
        <v>4.76</v>
      </c>
      <c r="I37" s="12">
        <v>0</v>
      </c>
    </row>
    <row r="38" spans="2:9" ht="15" customHeight="1" x14ac:dyDescent="0.2">
      <c r="B38" t="s">
        <v>157</v>
      </c>
      <c r="C38" s="12">
        <v>2</v>
      </c>
      <c r="D38" s="8">
        <v>1.67</v>
      </c>
      <c r="E38" s="12">
        <v>0</v>
      </c>
      <c r="F38" s="8">
        <v>0</v>
      </c>
      <c r="G38" s="12">
        <v>2</v>
      </c>
      <c r="H38" s="8">
        <v>4.76</v>
      </c>
      <c r="I38" s="12">
        <v>0</v>
      </c>
    </row>
    <row r="39" spans="2:9" ht="15" customHeight="1" x14ac:dyDescent="0.2">
      <c r="B39" t="s">
        <v>156</v>
      </c>
      <c r="C39" s="12">
        <v>2</v>
      </c>
      <c r="D39" s="8">
        <v>1.67</v>
      </c>
      <c r="E39" s="12">
        <v>1</v>
      </c>
      <c r="F39" s="8">
        <v>1.33</v>
      </c>
      <c r="G39" s="12">
        <v>1</v>
      </c>
      <c r="H39" s="8">
        <v>2.38</v>
      </c>
      <c r="I39" s="12">
        <v>0</v>
      </c>
    </row>
    <row r="40" spans="2:9" ht="15" customHeight="1" x14ac:dyDescent="0.2">
      <c r="B40" t="s">
        <v>143</v>
      </c>
      <c r="C40" s="12">
        <v>2</v>
      </c>
      <c r="D40" s="8">
        <v>1.67</v>
      </c>
      <c r="E40" s="12">
        <v>2</v>
      </c>
      <c r="F40" s="8">
        <v>2.67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135</v>
      </c>
      <c r="C41" s="12">
        <v>2</v>
      </c>
      <c r="D41" s="8">
        <v>1.67</v>
      </c>
      <c r="E41" s="12">
        <v>2</v>
      </c>
      <c r="F41" s="8">
        <v>2.67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114</v>
      </c>
      <c r="C42" s="12">
        <v>2</v>
      </c>
      <c r="D42" s="8">
        <v>1.67</v>
      </c>
      <c r="E42" s="12">
        <v>2</v>
      </c>
      <c r="F42" s="8">
        <v>2.67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142</v>
      </c>
      <c r="C43" s="12">
        <v>1</v>
      </c>
      <c r="D43" s="8">
        <v>0.83</v>
      </c>
      <c r="E43" s="12">
        <v>0</v>
      </c>
      <c r="F43" s="8">
        <v>0</v>
      </c>
      <c r="G43" s="12">
        <v>1</v>
      </c>
      <c r="H43" s="8">
        <v>2.38</v>
      </c>
      <c r="I43" s="12">
        <v>0</v>
      </c>
    </row>
    <row r="44" spans="2:9" ht="15" customHeight="1" x14ac:dyDescent="0.2">
      <c r="B44" t="s">
        <v>161</v>
      </c>
      <c r="C44" s="12">
        <v>1</v>
      </c>
      <c r="D44" s="8">
        <v>0.83</v>
      </c>
      <c r="E44" s="12">
        <v>0</v>
      </c>
      <c r="F44" s="8">
        <v>0</v>
      </c>
      <c r="G44" s="12">
        <v>1</v>
      </c>
      <c r="H44" s="8">
        <v>2.38</v>
      </c>
      <c r="I44" s="12">
        <v>0</v>
      </c>
    </row>
    <row r="45" spans="2:9" ht="15" customHeight="1" x14ac:dyDescent="0.2">
      <c r="B45" t="s">
        <v>104</v>
      </c>
      <c r="C45" s="12">
        <v>1</v>
      </c>
      <c r="D45" s="8">
        <v>0.83</v>
      </c>
      <c r="E45" s="12">
        <v>1</v>
      </c>
      <c r="F45" s="8">
        <v>1.33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126</v>
      </c>
      <c r="C46" s="12">
        <v>1</v>
      </c>
      <c r="D46" s="8">
        <v>0.83</v>
      </c>
      <c r="E46" s="12">
        <v>0</v>
      </c>
      <c r="F46" s="8">
        <v>0</v>
      </c>
      <c r="G46" s="12">
        <v>1</v>
      </c>
      <c r="H46" s="8">
        <v>2.38</v>
      </c>
      <c r="I46" s="12">
        <v>0</v>
      </c>
    </row>
    <row r="47" spans="2:9" ht="15" customHeight="1" x14ac:dyDescent="0.2">
      <c r="B47" t="s">
        <v>105</v>
      </c>
      <c r="C47" s="12">
        <v>1</v>
      </c>
      <c r="D47" s="8">
        <v>0.83</v>
      </c>
      <c r="E47" s="12">
        <v>0</v>
      </c>
      <c r="F47" s="8">
        <v>0</v>
      </c>
      <c r="G47" s="12">
        <v>1</v>
      </c>
      <c r="H47" s="8">
        <v>2.38</v>
      </c>
      <c r="I47" s="12">
        <v>0</v>
      </c>
    </row>
    <row r="48" spans="2:9" ht="15" customHeight="1" x14ac:dyDescent="0.2">
      <c r="B48" t="s">
        <v>144</v>
      </c>
      <c r="C48" s="12">
        <v>1</v>
      </c>
      <c r="D48" s="8">
        <v>0.83</v>
      </c>
      <c r="E48" s="12">
        <v>0</v>
      </c>
      <c r="F48" s="8">
        <v>0</v>
      </c>
      <c r="G48" s="12">
        <v>1</v>
      </c>
      <c r="H48" s="8">
        <v>2.38</v>
      </c>
      <c r="I48" s="12">
        <v>0</v>
      </c>
    </row>
    <row r="49" spans="2:9" ht="15" customHeight="1" x14ac:dyDescent="0.2">
      <c r="B49" t="s">
        <v>139</v>
      </c>
      <c r="C49" s="12">
        <v>1</v>
      </c>
      <c r="D49" s="8">
        <v>0.83</v>
      </c>
      <c r="E49" s="12">
        <v>0</v>
      </c>
      <c r="F49" s="8">
        <v>0</v>
      </c>
      <c r="G49" s="12">
        <v>1</v>
      </c>
      <c r="H49" s="8">
        <v>2.38</v>
      </c>
      <c r="I49" s="12">
        <v>0</v>
      </c>
    </row>
    <row r="50" spans="2:9" ht="15" customHeight="1" x14ac:dyDescent="0.2">
      <c r="B50" t="s">
        <v>159</v>
      </c>
      <c r="C50" s="12">
        <v>1</v>
      </c>
      <c r="D50" s="8">
        <v>0.83</v>
      </c>
      <c r="E50" s="12">
        <v>1</v>
      </c>
      <c r="F50" s="8">
        <v>1.33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162</v>
      </c>
      <c r="C51" s="12">
        <v>1</v>
      </c>
      <c r="D51" s="8">
        <v>0.83</v>
      </c>
      <c r="E51" s="12">
        <v>1</v>
      </c>
      <c r="F51" s="8">
        <v>1.33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145</v>
      </c>
      <c r="C52" s="12">
        <v>1</v>
      </c>
      <c r="D52" s="8">
        <v>0.83</v>
      </c>
      <c r="E52" s="12">
        <v>1</v>
      </c>
      <c r="F52" s="8">
        <v>1.33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125</v>
      </c>
      <c r="C53" s="12">
        <v>1</v>
      </c>
      <c r="D53" s="8">
        <v>0.83</v>
      </c>
      <c r="E53" s="12">
        <v>1</v>
      </c>
      <c r="F53" s="8">
        <v>1.33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122</v>
      </c>
      <c r="C54" s="12">
        <v>1</v>
      </c>
      <c r="D54" s="8">
        <v>0.83</v>
      </c>
      <c r="E54" s="12">
        <v>0</v>
      </c>
      <c r="F54" s="8">
        <v>0</v>
      </c>
      <c r="G54" s="12">
        <v>1</v>
      </c>
      <c r="H54" s="8">
        <v>2.38</v>
      </c>
      <c r="I54" s="12">
        <v>0</v>
      </c>
    </row>
    <row r="55" spans="2:9" ht="15" customHeight="1" x14ac:dyDescent="0.2">
      <c r="B55" t="s">
        <v>107</v>
      </c>
      <c r="C55" s="12">
        <v>1</v>
      </c>
      <c r="D55" s="8">
        <v>0.83</v>
      </c>
      <c r="E55" s="12">
        <v>1</v>
      </c>
      <c r="F55" s="8">
        <v>1.33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109</v>
      </c>
      <c r="C56" s="12">
        <v>1</v>
      </c>
      <c r="D56" s="8">
        <v>0.83</v>
      </c>
      <c r="E56" s="12">
        <v>1</v>
      </c>
      <c r="F56" s="8">
        <v>1.33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134</v>
      </c>
      <c r="C57" s="12">
        <v>1</v>
      </c>
      <c r="D57" s="8">
        <v>0.83</v>
      </c>
      <c r="E57" s="12">
        <v>1</v>
      </c>
      <c r="F57" s="8">
        <v>1.33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111</v>
      </c>
      <c r="C58" s="12">
        <v>1</v>
      </c>
      <c r="D58" s="8">
        <v>0.83</v>
      </c>
      <c r="E58" s="12">
        <v>0</v>
      </c>
      <c r="F58" s="8">
        <v>0</v>
      </c>
      <c r="G58" s="12">
        <v>1</v>
      </c>
      <c r="H58" s="8">
        <v>2.38</v>
      </c>
      <c r="I58" s="12">
        <v>0</v>
      </c>
    </row>
    <row r="59" spans="2:9" ht="15" customHeight="1" x14ac:dyDescent="0.2">
      <c r="B59" t="s">
        <v>153</v>
      </c>
      <c r="C59" s="12">
        <v>1</v>
      </c>
      <c r="D59" s="8">
        <v>0.83</v>
      </c>
      <c r="E59" s="12">
        <v>0</v>
      </c>
      <c r="F59" s="8">
        <v>0</v>
      </c>
      <c r="G59" s="12">
        <v>1</v>
      </c>
      <c r="H59" s="8">
        <v>2.38</v>
      </c>
      <c r="I59" s="12">
        <v>0</v>
      </c>
    </row>
    <row r="60" spans="2:9" ht="15" customHeight="1" x14ac:dyDescent="0.2">
      <c r="B60" t="s">
        <v>119</v>
      </c>
      <c r="C60" s="12">
        <v>1</v>
      </c>
      <c r="D60" s="8">
        <v>0.83</v>
      </c>
      <c r="E60" s="12">
        <v>0</v>
      </c>
      <c r="F60" s="8">
        <v>0</v>
      </c>
      <c r="G60" s="12">
        <v>1</v>
      </c>
      <c r="H60" s="8">
        <v>2.38</v>
      </c>
      <c r="I60" s="12">
        <v>0</v>
      </c>
    </row>
    <row r="61" spans="2:9" ht="15" customHeight="1" x14ac:dyDescent="0.2">
      <c r="B61" t="s">
        <v>147</v>
      </c>
      <c r="C61" s="12">
        <v>1</v>
      </c>
      <c r="D61" s="8">
        <v>0.83</v>
      </c>
      <c r="E61" s="12">
        <v>1</v>
      </c>
      <c r="F61" s="8">
        <v>1.33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148</v>
      </c>
      <c r="C62" s="12">
        <v>1</v>
      </c>
      <c r="D62" s="8">
        <v>0.83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5" spans="2:9" ht="33" customHeight="1" x14ac:dyDescent="0.2">
      <c r="B65" t="s">
        <v>365</v>
      </c>
      <c r="C65" s="10" t="s">
        <v>94</v>
      </c>
      <c r="D65" s="10" t="s">
        <v>95</v>
      </c>
      <c r="E65" s="10" t="s">
        <v>96</v>
      </c>
      <c r="F65" s="10" t="s">
        <v>97</v>
      </c>
      <c r="G65" s="10" t="s">
        <v>98</v>
      </c>
      <c r="H65" s="10" t="s">
        <v>99</v>
      </c>
      <c r="I65" s="10" t="s">
        <v>100</v>
      </c>
    </row>
    <row r="66" spans="2:9" ht="15" customHeight="1" x14ac:dyDescent="0.2">
      <c r="B66" t="s">
        <v>187</v>
      </c>
      <c r="C66" s="12">
        <v>7</v>
      </c>
      <c r="D66" s="8">
        <v>5.83</v>
      </c>
      <c r="E66" s="12">
        <v>7</v>
      </c>
      <c r="F66" s="8">
        <v>9.33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191</v>
      </c>
      <c r="C67" s="12">
        <v>7</v>
      </c>
      <c r="D67" s="8">
        <v>5.83</v>
      </c>
      <c r="E67" s="12">
        <v>7</v>
      </c>
      <c r="F67" s="8">
        <v>9.33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174</v>
      </c>
      <c r="C68" s="12">
        <v>5</v>
      </c>
      <c r="D68" s="8">
        <v>4.17</v>
      </c>
      <c r="E68" s="12">
        <v>0</v>
      </c>
      <c r="F68" s="8">
        <v>0</v>
      </c>
      <c r="G68" s="12">
        <v>5</v>
      </c>
      <c r="H68" s="8">
        <v>11.9</v>
      </c>
      <c r="I68" s="12">
        <v>0</v>
      </c>
    </row>
    <row r="69" spans="2:9" ht="15" customHeight="1" x14ac:dyDescent="0.2">
      <c r="B69" t="s">
        <v>175</v>
      </c>
      <c r="C69" s="12">
        <v>5</v>
      </c>
      <c r="D69" s="8">
        <v>4.17</v>
      </c>
      <c r="E69" s="12">
        <v>2</v>
      </c>
      <c r="F69" s="8">
        <v>2.67</v>
      </c>
      <c r="G69" s="12">
        <v>3</v>
      </c>
      <c r="H69" s="8">
        <v>7.14</v>
      </c>
      <c r="I69" s="12">
        <v>0</v>
      </c>
    </row>
    <row r="70" spans="2:9" ht="15" customHeight="1" x14ac:dyDescent="0.2">
      <c r="B70" t="s">
        <v>266</v>
      </c>
      <c r="C70" s="12">
        <v>5</v>
      </c>
      <c r="D70" s="8">
        <v>4.17</v>
      </c>
      <c r="E70" s="12">
        <v>4</v>
      </c>
      <c r="F70" s="8">
        <v>5.33</v>
      </c>
      <c r="G70" s="12">
        <v>1</v>
      </c>
      <c r="H70" s="8">
        <v>2.38</v>
      </c>
      <c r="I70" s="12">
        <v>0</v>
      </c>
    </row>
    <row r="71" spans="2:9" ht="15" customHeight="1" x14ac:dyDescent="0.2">
      <c r="B71" t="s">
        <v>193</v>
      </c>
      <c r="C71" s="12">
        <v>5</v>
      </c>
      <c r="D71" s="8">
        <v>4.17</v>
      </c>
      <c r="E71" s="12">
        <v>4</v>
      </c>
      <c r="F71" s="8">
        <v>5.33</v>
      </c>
      <c r="G71" s="12">
        <v>1</v>
      </c>
      <c r="H71" s="8">
        <v>2.38</v>
      </c>
      <c r="I71" s="12">
        <v>0</v>
      </c>
    </row>
    <row r="72" spans="2:9" ht="15" customHeight="1" x14ac:dyDescent="0.2">
      <c r="B72" t="s">
        <v>197</v>
      </c>
      <c r="C72" s="12">
        <v>4</v>
      </c>
      <c r="D72" s="8">
        <v>3.33</v>
      </c>
      <c r="E72" s="12">
        <v>4</v>
      </c>
      <c r="F72" s="8">
        <v>5.33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179</v>
      </c>
      <c r="C73" s="12">
        <v>3</v>
      </c>
      <c r="D73" s="8">
        <v>2.5</v>
      </c>
      <c r="E73" s="12">
        <v>2</v>
      </c>
      <c r="F73" s="8">
        <v>2.67</v>
      </c>
      <c r="G73" s="12">
        <v>1</v>
      </c>
      <c r="H73" s="8">
        <v>2.38</v>
      </c>
      <c r="I73" s="12">
        <v>0</v>
      </c>
    </row>
    <row r="74" spans="2:9" ht="15" customHeight="1" x14ac:dyDescent="0.2">
      <c r="B74" t="s">
        <v>216</v>
      </c>
      <c r="C74" s="12">
        <v>3</v>
      </c>
      <c r="D74" s="8">
        <v>2.5</v>
      </c>
      <c r="E74" s="12">
        <v>1</v>
      </c>
      <c r="F74" s="8">
        <v>1.33</v>
      </c>
      <c r="G74" s="12">
        <v>2</v>
      </c>
      <c r="H74" s="8">
        <v>4.76</v>
      </c>
      <c r="I74" s="12">
        <v>0</v>
      </c>
    </row>
    <row r="75" spans="2:9" ht="15" customHeight="1" x14ac:dyDescent="0.2">
      <c r="B75" t="s">
        <v>200</v>
      </c>
      <c r="C75" s="12">
        <v>3</v>
      </c>
      <c r="D75" s="8">
        <v>2.5</v>
      </c>
      <c r="E75" s="12">
        <v>1</v>
      </c>
      <c r="F75" s="8">
        <v>1.33</v>
      </c>
      <c r="G75" s="12">
        <v>2</v>
      </c>
      <c r="H75" s="8">
        <v>4.76</v>
      </c>
      <c r="I75" s="12">
        <v>0</v>
      </c>
    </row>
    <row r="76" spans="2:9" ht="15" customHeight="1" x14ac:dyDescent="0.2">
      <c r="B76" t="s">
        <v>176</v>
      </c>
      <c r="C76" s="12">
        <v>2</v>
      </c>
      <c r="D76" s="8">
        <v>1.67</v>
      </c>
      <c r="E76" s="12">
        <v>1</v>
      </c>
      <c r="F76" s="8">
        <v>1.33</v>
      </c>
      <c r="G76" s="12">
        <v>1</v>
      </c>
      <c r="H76" s="8">
        <v>2.38</v>
      </c>
      <c r="I76" s="12">
        <v>0</v>
      </c>
    </row>
    <row r="77" spans="2:9" ht="15" customHeight="1" x14ac:dyDescent="0.2">
      <c r="B77" t="s">
        <v>208</v>
      </c>
      <c r="C77" s="12">
        <v>2</v>
      </c>
      <c r="D77" s="8">
        <v>1.67</v>
      </c>
      <c r="E77" s="12">
        <v>1</v>
      </c>
      <c r="F77" s="8">
        <v>1.33</v>
      </c>
      <c r="G77" s="12">
        <v>1</v>
      </c>
      <c r="H77" s="8">
        <v>2.38</v>
      </c>
      <c r="I77" s="12">
        <v>0</v>
      </c>
    </row>
    <row r="78" spans="2:9" ht="15" customHeight="1" x14ac:dyDescent="0.2">
      <c r="B78" t="s">
        <v>210</v>
      </c>
      <c r="C78" s="12">
        <v>2</v>
      </c>
      <c r="D78" s="8">
        <v>1.67</v>
      </c>
      <c r="E78" s="12">
        <v>2</v>
      </c>
      <c r="F78" s="8">
        <v>2.67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261</v>
      </c>
      <c r="C79" s="12">
        <v>2</v>
      </c>
      <c r="D79" s="8">
        <v>1.67</v>
      </c>
      <c r="E79" s="12">
        <v>2</v>
      </c>
      <c r="F79" s="8">
        <v>2.67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177</v>
      </c>
      <c r="C80" s="12">
        <v>2</v>
      </c>
      <c r="D80" s="8">
        <v>1.67</v>
      </c>
      <c r="E80" s="12">
        <v>2</v>
      </c>
      <c r="F80" s="8">
        <v>2.67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178</v>
      </c>
      <c r="C81" s="12">
        <v>2</v>
      </c>
      <c r="D81" s="8">
        <v>1.67</v>
      </c>
      <c r="E81" s="12">
        <v>1</v>
      </c>
      <c r="F81" s="8">
        <v>1.33</v>
      </c>
      <c r="G81" s="12">
        <v>1</v>
      </c>
      <c r="H81" s="8">
        <v>2.38</v>
      </c>
      <c r="I81" s="12">
        <v>0</v>
      </c>
    </row>
    <row r="82" spans="2:9" ht="15" customHeight="1" x14ac:dyDescent="0.2">
      <c r="B82" t="s">
        <v>284</v>
      </c>
      <c r="C82" s="12">
        <v>2</v>
      </c>
      <c r="D82" s="8">
        <v>1.67</v>
      </c>
      <c r="E82" s="12">
        <v>0</v>
      </c>
      <c r="F82" s="8">
        <v>0</v>
      </c>
      <c r="G82" s="12">
        <v>2</v>
      </c>
      <c r="H82" s="8">
        <v>4.76</v>
      </c>
      <c r="I82" s="12">
        <v>0</v>
      </c>
    </row>
    <row r="83" spans="2:9" ht="15" customHeight="1" x14ac:dyDescent="0.2">
      <c r="B83" t="s">
        <v>236</v>
      </c>
      <c r="C83" s="12">
        <v>2</v>
      </c>
      <c r="D83" s="8">
        <v>1.67</v>
      </c>
      <c r="E83" s="12">
        <v>2</v>
      </c>
      <c r="F83" s="8">
        <v>2.67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268</v>
      </c>
      <c r="C84" s="12">
        <v>2</v>
      </c>
      <c r="D84" s="8">
        <v>1.67</v>
      </c>
      <c r="E84" s="12">
        <v>1</v>
      </c>
      <c r="F84" s="8">
        <v>1.33</v>
      </c>
      <c r="G84" s="12">
        <v>1</v>
      </c>
      <c r="H84" s="8">
        <v>2.38</v>
      </c>
      <c r="I84" s="12">
        <v>0</v>
      </c>
    </row>
    <row r="85" spans="2:9" ht="15" customHeight="1" x14ac:dyDescent="0.2">
      <c r="B85" t="s">
        <v>285</v>
      </c>
      <c r="C85" s="12">
        <v>2</v>
      </c>
      <c r="D85" s="8">
        <v>1.67</v>
      </c>
      <c r="E85" s="12">
        <v>2</v>
      </c>
      <c r="F85" s="8">
        <v>2.67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277</v>
      </c>
      <c r="C86" s="12">
        <v>2</v>
      </c>
      <c r="D86" s="8">
        <v>1.67</v>
      </c>
      <c r="E86" s="12">
        <v>1</v>
      </c>
      <c r="F86" s="8">
        <v>1.33</v>
      </c>
      <c r="G86" s="12">
        <v>1</v>
      </c>
      <c r="H86" s="8">
        <v>2.38</v>
      </c>
      <c r="I86" s="12">
        <v>0</v>
      </c>
    </row>
    <row r="87" spans="2:9" ht="15" customHeight="1" x14ac:dyDescent="0.2">
      <c r="B87" t="s">
        <v>194</v>
      </c>
      <c r="C87" s="12">
        <v>2</v>
      </c>
      <c r="D87" s="8">
        <v>1.67</v>
      </c>
      <c r="E87" s="12">
        <v>1</v>
      </c>
      <c r="F87" s="8">
        <v>1.33</v>
      </c>
      <c r="G87" s="12">
        <v>1</v>
      </c>
      <c r="H87" s="8">
        <v>2.38</v>
      </c>
      <c r="I87" s="12">
        <v>0</v>
      </c>
    </row>
    <row r="88" spans="2:9" ht="15" customHeight="1" x14ac:dyDescent="0.2">
      <c r="B88" t="s">
        <v>247</v>
      </c>
      <c r="C88" s="12">
        <v>2</v>
      </c>
      <c r="D88" s="8">
        <v>1.67</v>
      </c>
      <c r="E88" s="12">
        <v>2</v>
      </c>
      <c r="F88" s="8">
        <v>2.67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189</v>
      </c>
      <c r="C89" s="12">
        <v>2</v>
      </c>
      <c r="D89" s="8">
        <v>1.67</v>
      </c>
      <c r="E89" s="12">
        <v>1</v>
      </c>
      <c r="F89" s="8">
        <v>1.33</v>
      </c>
      <c r="G89" s="12">
        <v>1</v>
      </c>
      <c r="H89" s="8">
        <v>2.38</v>
      </c>
      <c r="I89" s="12">
        <v>0</v>
      </c>
    </row>
    <row r="90" spans="2:9" ht="15" customHeight="1" x14ac:dyDescent="0.2">
      <c r="B90" t="s">
        <v>190</v>
      </c>
      <c r="C90" s="12">
        <v>2</v>
      </c>
      <c r="D90" s="8">
        <v>1.67</v>
      </c>
      <c r="E90" s="12">
        <v>2</v>
      </c>
      <c r="F90" s="8">
        <v>2.67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223</v>
      </c>
      <c r="C91" s="12">
        <v>2</v>
      </c>
      <c r="D91" s="8">
        <v>1.67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3" spans="2:9" ht="15" customHeight="1" x14ac:dyDescent="0.2">
      <c r="B93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E340C-F066-46AF-B312-285C6D13C8E3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405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49</v>
      </c>
      <c r="D6" s="8">
        <v>18.850000000000001</v>
      </c>
      <c r="E6" s="12">
        <v>30</v>
      </c>
      <c r="F6" s="8">
        <v>17.54</v>
      </c>
      <c r="G6" s="12">
        <v>19</v>
      </c>
      <c r="H6" s="8">
        <v>21.59</v>
      </c>
      <c r="I6" s="12">
        <v>0</v>
      </c>
    </row>
    <row r="7" spans="2:9" ht="15" customHeight="1" x14ac:dyDescent="0.2">
      <c r="B7" t="s">
        <v>80</v>
      </c>
      <c r="C7" s="12">
        <v>37</v>
      </c>
      <c r="D7" s="8">
        <v>14.23</v>
      </c>
      <c r="E7" s="12">
        <v>19</v>
      </c>
      <c r="F7" s="8">
        <v>11.11</v>
      </c>
      <c r="G7" s="12">
        <v>18</v>
      </c>
      <c r="H7" s="8">
        <v>20.45</v>
      </c>
      <c r="I7" s="12">
        <v>0</v>
      </c>
    </row>
    <row r="8" spans="2:9" ht="15" customHeight="1" x14ac:dyDescent="0.2">
      <c r="B8" t="s">
        <v>81</v>
      </c>
      <c r="C8" s="12">
        <v>4</v>
      </c>
      <c r="D8" s="8">
        <v>1.54</v>
      </c>
      <c r="E8" s="12">
        <v>0</v>
      </c>
      <c r="F8" s="8">
        <v>0</v>
      </c>
      <c r="G8" s="12">
        <v>4</v>
      </c>
      <c r="H8" s="8">
        <v>4.55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84</v>
      </c>
      <c r="C11" s="12">
        <v>57</v>
      </c>
      <c r="D11" s="8">
        <v>21.92</v>
      </c>
      <c r="E11" s="12">
        <v>36</v>
      </c>
      <c r="F11" s="8">
        <v>21.05</v>
      </c>
      <c r="G11" s="12">
        <v>21</v>
      </c>
      <c r="H11" s="8">
        <v>23.86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7</v>
      </c>
      <c r="D13" s="8">
        <v>2.69</v>
      </c>
      <c r="E13" s="12">
        <v>3</v>
      </c>
      <c r="F13" s="8">
        <v>1.75</v>
      </c>
      <c r="G13" s="12">
        <v>4</v>
      </c>
      <c r="H13" s="8">
        <v>4.55</v>
      </c>
      <c r="I13" s="12">
        <v>0</v>
      </c>
    </row>
    <row r="14" spans="2:9" ht="15" customHeight="1" x14ac:dyDescent="0.2">
      <c r="B14" t="s">
        <v>87</v>
      </c>
      <c r="C14" s="12">
        <v>17</v>
      </c>
      <c r="D14" s="8">
        <v>6.54</v>
      </c>
      <c r="E14" s="12">
        <v>14</v>
      </c>
      <c r="F14" s="8">
        <v>8.19</v>
      </c>
      <c r="G14" s="12">
        <v>3</v>
      </c>
      <c r="H14" s="8">
        <v>3.41</v>
      </c>
      <c r="I14" s="12">
        <v>0</v>
      </c>
    </row>
    <row r="15" spans="2:9" ht="15" customHeight="1" x14ac:dyDescent="0.2">
      <c r="B15" t="s">
        <v>88</v>
      </c>
      <c r="C15" s="12">
        <v>24</v>
      </c>
      <c r="D15" s="8">
        <v>9.23</v>
      </c>
      <c r="E15" s="12">
        <v>16</v>
      </c>
      <c r="F15" s="8">
        <v>9.36</v>
      </c>
      <c r="G15" s="12">
        <v>8</v>
      </c>
      <c r="H15" s="8">
        <v>9.09</v>
      </c>
      <c r="I15" s="12">
        <v>0</v>
      </c>
    </row>
    <row r="16" spans="2:9" ht="15" customHeight="1" x14ac:dyDescent="0.2">
      <c r="B16" t="s">
        <v>89</v>
      </c>
      <c r="C16" s="12">
        <v>38</v>
      </c>
      <c r="D16" s="8">
        <v>14.62</v>
      </c>
      <c r="E16" s="12">
        <v>34</v>
      </c>
      <c r="F16" s="8">
        <v>19.88</v>
      </c>
      <c r="G16" s="12">
        <v>4</v>
      </c>
      <c r="H16" s="8">
        <v>4.55</v>
      </c>
      <c r="I16" s="12">
        <v>0</v>
      </c>
    </row>
    <row r="17" spans="2:9" ht="15" customHeight="1" x14ac:dyDescent="0.2">
      <c r="B17" t="s">
        <v>90</v>
      </c>
      <c r="C17" s="12">
        <v>10</v>
      </c>
      <c r="D17" s="8">
        <v>3.85</v>
      </c>
      <c r="E17" s="12">
        <v>7</v>
      </c>
      <c r="F17" s="8">
        <v>4.09</v>
      </c>
      <c r="G17" s="12">
        <v>2</v>
      </c>
      <c r="H17" s="8">
        <v>2.27</v>
      </c>
      <c r="I17" s="12">
        <v>0</v>
      </c>
    </row>
    <row r="18" spans="2:9" ht="15" customHeight="1" x14ac:dyDescent="0.2">
      <c r="B18" t="s">
        <v>91</v>
      </c>
      <c r="C18" s="12">
        <v>10</v>
      </c>
      <c r="D18" s="8">
        <v>3.85</v>
      </c>
      <c r="E18" s="12">
        <v>10</v>
      </c>
      <c r="F18" s="8">
        <v>5.85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92</v>
      </c>
      <c r="C19" s="12">
        <v>7</v>
      </c>
      <c r="D19" s="8">
        <v>2.69</v>
      </c>
      <c r="E19" s="12">
        <v>2</v>
      </c>
      <c r="F19" s="8">
        <v>1.17</v>
      </c>
      <c r="G19" s="12">
        <v>5</v>
      </c>
      <c r="H19" s="8">
        <v>5.68</v>
      </c>
      <c r="I19" s="12">
        <v>0</v>
      </c>
    </row>
    <row r="20" spans="2:9" ht="15" customHeight="1" x14ac:dyDescent="0.2">
      <c r="B20" s="9" t="s">
        <v>363</v>
      </c>
      <c r="C20" s="12">
        <f>SUM(LTBL_20388[総数／事業所数])</f>
        <v>260</v>
      </c>
      <c r="E20" s="12">
        <f>SUBTOTAL(109,LTBL_20388[個人／事業所数])</f>
        <v>171</v>
      </c>
      <c r="G20" s="12">
        <f>SUBTOTAL(109,LTBL_20388[法人／事業所数])</f>
        <v>88</v>
      </c>
      <c r="I20" s="12">
        <f>SUBTOTAL(109,LTBL_20388[法人以外の団体／事業所数])</f>
        <v>0</v>
      </c>
    </row>
    <row r="21" spans="2:9" ht="15" customHeight="1" x14ac:dyDescent="0.2">
      <c r="E21" s="11">
        <f>LTBL_20388[[#Totals],[個人／事業所数]]/LTBL_20388[[#Totals],[総数／事業所数]]</f>
        <v>0.65769230769230769</v>
      </c>
      <c r="G21" s="11">
        <f>LTBL_20388[[#Totals],[法人／事業所数]]/LTBL_20388[[#Totals],[総数／事業所数]]</f>
        <v>0.33846153846153848</v>
      </c>
      <c r="I21" s="11">
        <f>LTBL_20388[[#Totals],[法人以外の団体／事業所数]]/LTBL_20388[[#Totals],[総数／事業所数]]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116</v>
      </c>
      <c r="C24" s="12">
        <v>33</v>
      </c>
      <c r="D24" s="8">
        <v>12.69</v>
      </c>
      <c r="E24" s="12">
        <v>31</v>
      </c>
      <c r="F24" s="8">
        <v>18.13</v>
      </c>
      <c r="G24" s="12">
        <v>2</v>
      </c>
      <c r="H24" s="8">
        <v>2.27</v>
      </c>
      <c r="I24" s="12">
        <v>0</v>
      </c>
    </row>
    <row r="25" spans="2:9" ht="15" customHeight="1" x14ac:dyDescent="0.2">
      <c r="B25" t="s">
        <v>102</v>
      </c>
      <c r="C25" s="12">
        <v>20</v>
      </c>
      <c r="D25" s="8">
        <v>7.69</v>
      </c>
      <c r="E25" s="12">
        <v>15</v>
      </c>
      <c r="F25" s="8">
        <v>8.77</v>
      </c>
      <c r="G25" s="12">
        <v>5</v>
      </c>
      <c r="H25" s="8">
        <v>5.68</v>
      </c>
      <c r="I25" s="12">
        <v>0</v>
      </c>
    </row>
    <row r="26" spans="2:9" ht="15" customHeight="1" x14ac:dyDescent="0.2">
      <c r="B26" t="s">
        <v>101</v>
      </c>
      <c r="C26" s="12">
        <v>18</v>
      </c>
      <c r="D26" s="8">
        <v>6.92</v>
      </c>
      <c r="E26" s="12">
        <v>7</v>
      </c>
      <c r="F26" s="8">
        <v>4.09</v>
      </c>
      <c r="G26" s="12">
        <v>11</v>
      </c>
      <c r="H26" s="8">
        <v>12.5</v>
      </c>
      <c r="I26" s="12">
        <v>0</v>
      </c>
    </row>
    <row r="27" spans="2:9" ht="15" customHeight="1" x14ac:dyDescent="0.2">
      <c r="B27" t="s">
        <v>110</v>
      </c>
      <c r="C27" s="12">
        <v>18</v>
      </c>
      <c r="D27" s="8">
        <v>6.92</v>
      </c>
      <c r="E27" s="12">
        <v>12</v>
      </c>
      <c r="F27" s="8">
        <v>7.02</v>
      </c>
      <c r="G27" s="12">
        <v>6</v>
      </c>
      <c r="H27" s="8">
        <v>6.82</v>
      </c>
      <c r="I27" s="12">
        <v>0</v>
      </c>
    </row>
    <row r="28" spans="2:9" ht="15" customHeight="1" x14ac:dyDescent="0.2">
      <c r="B28" t="s">
        <v>115</v>
      </c>
      <c r="C28" s="12">
        <v>18</v>
      </c>
      <c r="D28" s="8">
        <v>6.92</v>
      </c>
      <c r="E28" s="12">
        <v>13</v>
      </c>
      <c r="F28" s="8">
        <v>7.6</v>
      </c>
      <c r="G28" s="12">
        <v>5</v>
      </c>
      <c r="H28" s="8">
        <v>5.68</v>
      </c>
      <c r="I28" s="12">
        <v>0</v>
      </c>
    </row>
    <row r="29" spans="2:9" ht="15" customHeight="1" x14ac:dyDescent="0.2">
      <c r="B29" t="s">
        <v>108</v>
      </c>
      <c r="C29" s="12">
        <v>13</v>
      </c>
      <c r="D29" s="8">
        <v>5</v>
      </c>
      <c r="E29" s="12">
        <v>8</v>
      </c>
      <c r="F29" s="8">
        <v>4.68</v>
      </c>
      <c r="G29" s="12">
        <v>5</v>
      </c>
      <c r="H29" s="8">
        <v>5.68</v>
      </c>
      <c r="I29" s="12">
        <v>0</v>
      </c>
    </row>
    <row r="30" spans="2:9" ht="15" customHeight="1" x14ac:dyDescent="0.2">
      <c r="B30" t="s">
        <v>103</v>
      </c>
      <c r="C30" s="12">
        <v>11</v>
      </c>
      <c r="D30" s="8">
        <v>4.2300000000000004</v>
      </c>
      <c r="E30" s="12">
        <v>8</v>
      </c>
      <c r="F30" s="8">
        <v>4.68</v>
      </c>
      <c r="G30" s="12">
        <v>3</v>
      </c>
      <c r="H30" s="8">
        <v>3.41</v>
      </c>
      <c r="I30" s="12">
        <v>0</v>
      </c>
    </row>
    <row r="31" spans="2:9" ht="15" customHeight="1" x14ac:dyDescent="0.2">
      <c r="B31" t="s">
        <v>109</v>
      </c>
      <c r="C31" s="12">
        <v>10</v>
      </c>
      <c r="D31" s="8">
        <v>3.85</v>
      </c>
      <c r="E31" s="12">
        <v>5</v>
      </c>
      <c r="F31" s="8">
        <v>2.92</v>
      </c>
      <c r="G31" s="12">
        <v>5</v>
      </c>
      <c r="H31" s="8">
        <v>5.68</v>
      </c>
      <c r="I31" s="12">
        <v>0</v>
      </c>
    </row>
    <row r="32" spans="2:9" ht="15" customHeight="1" x14ac:dyDescent="0.2">
      <c r="B32" t="s">
        <v>117</v>
      </c>
      <c r="C32" s="12">
        <v>10</v>
      </c>
      <c r="D32" s="8">
        <v>3.85</v>
      </c>
      <c r="E32" s="12">
        <v>7</v>
      </c>
      <c r="F32" s="8">
        <v>4.09</v>
      </c>
      <c r="G32" s="12">
        <v>2</v>
      </c>
      <c r="H32" s="8">
        <v>2.27</v>
      </c>
      <c r="I32" s="12">
        <v>0</v>
      </c>
    </row>
    <row r="33" spans="2:9" ht="15" customHeight="1" x14ac:dyDescent="0.2">
      <c r="B33" t="s">
        <v>118</v>
      </c>
      <c r="C33" s="12">
        <v>10</v>
      </c>
      <c r="D33" s="8">
        <v>3.85</v>
      </c>
      <c r="E33" s="12">
        <v>10</v>
      </c>
      <c r="F33" s="8">
        <v>5.85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104</v>
      </c>
      <c r="C34" s="12">
        <v>8</v>
      </c>
      <c r="D34" s="8">
        <v>3.08</v>
      </c>
      <c r="E34" s="12">
        <v>3</v>
      </c>
      <c r="F34" s="8">
        <v>1.75</v>
      </c>
      <c r="G34" s="12">
        <v>5</v>
      </c>
      <c r="H34" s="8">
        <v>5.68</v>
      </c>
      <c r="I34" s="12">
        <v>0</v>
      </c>
    </row>
    <row r="35" spans="2:9" ht="15" customHeight="1" x14ac:dyDescent="0.2">
      <c r="B35" t="s">
        <v>112</v>
      </c>
      <c r="C35" s="12">
        <v>8</v>
      </c>
      <c r="D35" s="8">
        <v>3.08</v>
      </c>
      <c r="E35" s="12">
        <v>8</v>
      </c>
      <c r="F35" s="8">
        <v>4.68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113</v>
      </c>
      <c r="C36" s="12">
        <v>8</v>
      </c>
      <c r="D36" s="8">
        <v>3.08</v>
      </c>
      <c r="E36" s="12">
        <v>5</v>
      </c>
      <c r="F36" s="8">
        <v>2.92</v>
      </c>
      <c r="G36" s="12">
        <v>3</v>
      </c>
      <c r="H36" s="8">
        <v>3.41</v>
      </c>
      <c r="I36" s="12">
        <v>0</v>
      </c>
    </row>
    <row r="37" spans="2:9" ht="15" customHeight="1" x14ac:dyDescent="0.2">
      <c r="B37" t="s">
        <v>107</v>
      </c>
      <c r="C37" s="12">
        <v>6</v>
      </c>
      <c r="D37" s="8">
        <v>2.31</v>
      </c>
      <c r="E37" s="12">
        <v>5</v>
      </c>
      <c r="F37" s="8">
        <v>2.92</v>
      </c>
      <c r="G37" s="12">
        <v>1</v>
      </c>
      <c r="H37" s="8">
        <v>1.1399999999999999</v>
      </c>
      <c r="I37" s="12">
        <v>0</v>
      </c>
    </row>
    <row r="38" spans="2:9" ht="15" customHeight="1" x14ac:dyDescent="0.2">
      <c r="B38" t="s">
        <v>111</v>
      </c>
      <c r="C38" s="12">
        <v>5</v>
      </c>
      <c r="D38" s="8">
        <v>1.92</v>
      </c>
      <c r="E38" s="12">
        <v>3</v>
      </c>
      <c r="F38" s="8">
        <v>1.75</v>
      </c>
      <c r="G38" s="12">
        <v>2</v>
      </c>
      <c r="H38" s="8">
        <v>2.27</v>
      </c>
      <c r="I38" s="12">
        <v>0</v>
      </c>
    </row>
    <row r="39" spans="2:9" ht="15" customHeight="1" x14ac:dyDescent="0.2">
      <c r="B39" t="s">
        <v>130</v>
      </c>
      <c r="C39" s="12">
        <v>4</v>
      </c>
      <c r="D39" s="8">
        <v>1.54</v>
      </c>
      <c r="E39" s="12">
        <v>1</v>
      </c>
      <c r="F39" s="8">
        <v>0.57999999999999996</v>
      </c>
      <c r="G39" s="12">
        <v>3</v>
      </c>
      <c r="H39" s="8">
        <v>3.41</v>
      </c>
      <c r="I39" s="12">
        <v>0</v>
      </c>
    </row>
    <row r="40" spans="2:9" ht="15" customHeight="1" x14ac:dyDescent="0.2">
      <c r="B40" t="s">
        <v>154</v>
      </c>
      <c r="C40" s="12">
        <v>4</v>
      </c>
      <c r="D40" s="8">
        <v>1.54</v>
      </c>
      <c r="E40" s="12">
        <v>2</v>
      </c>
      <c r="F40" s="8">
        <v>1.17</v>
      </c>
      <c r="G40" s="12">
        <v>2</v>
      </c>
      <c r="H40" s="8">
        <v>2.27</v>
      </c>
      <c r="I40" s="12">
        <v>0</v>
      </c>
    </row>
    <row r="41" spans="2:9" ht="15" customHeight="1" x14ac:dyDescent="0.2">
      <c r="B41" t="s">
        <v>144</v>
      </c>
      <c r="C41" s="12">
        <v>4</v>
      </c>
      <c r="D41" s="8">
        <v>1.54</v>
      </c>
      <c r="E41" s="12">
        <v>0</v>
      </c>
      <c r="F41" s="8">
        <v>0</v>
      </c>
      <c r="G41" s="12">
        <v>4</v>
      </c>
      <c r="H41" s="8">
        <v>4.55</v>
      </c>
      <c r="I41" s="12">
        <v>0</v>
      </c>
    </row>
    <row r="42" spans="2:9" ht="15" customHeight="1" x14ac:dyDescent="0.2">
      <c r="B42" t="s">
        <v>156</v>
      </c>
      <c r="C42" s="12">
        <v>3</v>
      </c>
      <c r="D42" s="8">
        <v>1.1499999999999999</v>
      </c>
      <c r="E42" s="12">
        <v>1</v>
      </c>
      <c r="F42" s="8">
        <v>0.57999999999999996</v>
      </c>
      <c r="G42" s="12">
        <v>2</v>
      </c>
      <c r="H42" s="8">
        <v>2.27</v>
      </c>
      <c r="I42" s="12">
        <v>0</v>
      </c>
    </row>
    <row r="43" spans="2:9" ht="15" customHeight="1" x14ac:dyDescent="0.2">
      <c r="B43" t="s">
        <v>122</v>
      </c>
      <c r="C43" s="12">
        <v>3</v>
      </c>
      <c r="D43" s="8">
        <v>1.1499999999999999</v>
      </c>
      <c r="E43" s="12">
        <v>2</v>
      </c>
      <c r="F43" s="8">
        <v>1.17</v>
      </c>
      <c r="G43" s="12">
        <v>1</v>
      </c>
      <c r="H43" s="8">
        <v>1.1399999999999999</v>
      </c>
      <c r="I43" s="12">
        <v>0</v>
      </c>
    </row>
    <row r="44" spans="2:9" ht="15" customHeight="1" x14ac:dyDescent="0.2">
      <c r="B44" t="s">
        <v>133</v>
      </c>
      <c r="C44" s="12">
        <v>3</v>
      </c>
      <c r="D44" s="8">
        <v>1.1499999999999999</v>
      </c>
      <c r="E44" s="12">
        <v>3</v>
      </c>
      <c r="F44" s="8">
        <v>1.75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114</v>
      </c>
      <c r="C45" s="12">
        <v>3</v>
      </c>
      <c r="D45" s="8">
        <v>1.1499999999999999</v>
      </c>
      <c r="E45" s="12">
        <v>2</v>
      </c>
      <c r="F45" s="8">
        <v>1.17</v>
      </c>
      <c r="G45" s="12">
        <v>1</v>
      </c>
      <c r="H45" s="8">
        <v>1.1399999999999999</v>
      </c>
      <c r="I45" s="12">
        <v>0</v>
      </c>
    </row>
    <row r="46" spans="2:9" ht="15" customHeight="1" x14ac:dyDescent="0.2">
      <c r="B46" t="s">
        <v>129</v>
      </c>
      <c r="C46" s="12">
        <v>3</v>
      </c>
      <c r="D46" s="8">
        <v>1.1499999999999999</v>
      </c>
      <c r="E46" s="12">
        <v>1</v>
      </c>
      <c r="F46" s="8">
        <v>0.57999999999999996</v>
      </c>
      <c r="G46" s="12">
        <v>2</v>
      </c>
      <c r="H46" s="8">
        <v>2.27</v>
      </c>
      <c r="I46" s="12">
        <v>0</v>
      </c>
    </row>
    <row r="47" spans="2:9" ht="15" customHeight="1" x14ac:dyDescent="0.2">
      <c r="B47" t="s">
        <v>131</v>
      </c>
      <c r="C47" s="12">
        <v>3</v>
      </c>
      <c r="D47" s="8">
        <v>1.1499999999999999</v>
      </c>
      <c r="E47" s="12">
        <v>3</v>
      </c>
      <c r="F47" s="8">
        <v>1.75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147</v>
      </c>
      <c r="C48" s="12">
        <v>3</v>
      </c>
      <c r="D48" s="8">
        <v>1.1499999999999999</v>
      </c>
      <c r="E48" s="12">
        <v>2</v>
      </c>
      <c r="F48" s="8">
        <v>1.17</v>
      </c>
      <c r="G48" s="12">
        <v>1</v>
      </c>
      <c r="H48" s="8">
        <v>1.1399999999999999</v>
      </c>
      <c r="I48" s="12">
        <v>0</v>
      </c>
    </row>
    <row r="51" spans="2:9" ht="33" customHeight="1" x14ac:dyDescent="0.2">
      <c r="B51" t="s">
        <v>365</v>
      </c>
      <c r="C51" s="10" t="s">
        <v>94</v>
      </c>
      <c r="D51" s="10" t="s">
        <v>95</v>
      </c>
      <c r="E51" s="10" t="s">
        <v>96</v>
      </c>
      <c r="F51" s="10" t="s">
        <v>97</v>
      </c>
      <c r="G51" s="10" t="s">
        <v>98</v>
      </c>
      <c r="H51" s="10" t="s">
        <v>99</v>
      </c>
      <c r="I51" s="10" t="s">
        <v>100</v>
      </c>
    </row>
    <row r="52" spans="2:9" ht="15" customHeight="1" x14ac:dyDescent="0.2">
      <c r="B52" t="s">
        <v>191</v>
      </c>
      <c r="C52" s="12">
        <v>21</v>
      </c>
      <c r="D52" s="8">
        <v>8.08</v>
      </c>
      <c r="E52" s="12">
        <v>20</v>
      </c>
      <c r="F52" s="8">
        <v>11.7</v>
      </c>
      <c r="G52" s="12">
        <v>1</v>
      </c>
      <c r="H52" s="8">
        <v>1.1399999999999999</v>
      </c>
      <c r="I52" s="12">
        <v>0</v>
      </c>
    </row>
    <row r="53" spans="2:9" ht="15" customHeight="1" x14ac:dyDescent="0.2">
      <c r="B53" t="s">
        <v>193</v>
      </c>
      <c r="C53" s="12">
        <v>9</v>
      </c>
      <c r="D53" s="8">
        <v>3.46</v>
      </c>
      <c r="E53" s="12">
        <v>9</v>
      </c>
      <c r="F53" s="8">
        <v>5.26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197</v>
      </c>
      <c r="C54" s="12">
        <v>7</v>
      </c>
      <c r="D54" s="8">
        <v>2.69</v>
      </c>
      <c r="E54" s="12">
        <v>6</v>
      </c>
      <c r="F54" s="8">
        <v>3.51</v>
      </c>
      <c r="G54" s="12">
        <v>1</v>
      </c>
      <c r="H54" s="8">
        <v>1.1399999999999999</v>
      </c>
      <c r="I54" s="12">
        <v>0</v>
      </c>
    </row>
    <row r="55" spans="2:9" ht="15" customHeight="1" x14ac:dyDescent="0.2">
      <c r="B55" t="s">
        <v>187</v>
      </c>
      <c r="C55" s="12">
        <v>7</v>
      </c>
      <c r="D55" s="8">
        <v>2.69</v>
      </c>
      <c r="E55" s="12">
        <v>6</v>
      </c>
      <c r="F55" s="8">
        <v>3.51</v>
      </c>
      <c r="G55" s="12">
        <v>1</v>
      </c>
      <c r="H55" s="8">
        <v>1.1399999999999999</v>
      </c>
      <c r="I55" s="12">
        <v>0</v>
      </c>
    </row>
    <row r="56" spans="2:9" ht="15" customHeight="1" x14ac:dyDescent="0.2">
      <c r="B56" t="s">
        <v>190</v>
      </c>
      <c r="C56" s="12">
        <v>7</v>
      </c>
      <c r="D56" s="8">
        <v>2.69</v>
      </c>
      <c r="E56" s="12">
        <v>7</v>
      </c>
      <c r="F56" s="8">
        <v>4.09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175</v>
      </c>
      <c r="C57" s="12">
        <v>6</v>
      </c>
      <c r="D57" s="8">
        <v>2.31</v>
      </c>
      <c r="E57" s="12">
        <v>1</v>
      </c>
      <c r="F57" s="8">
        <v>0.57999999999999996</v>
      </c>
      <c r="G57" s="12">
        <v>5</v>
      </c>
      <c r="H57" s="8">
        <v>5.68</v>
      </c>
      <c r="I57" s="12">
        <v>0</v>
      </c>
    </row>
    <row r="58" spans="2:9" ht="15" customHeight="1" x14ac:dyDescent="0.2">
      <c r="B58" t="s">
        <v>210</v>
      </c>
      <c r="C58" s="12">
        <v>6</v>
      </c>
      <c r="D58" s="8">
        <v>2.31</v>
      </c>
      <c r="E58" s="12">
        <v>6</v>
      </c>
      <c r="F58" s="8">
        <v>3.51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181</v>
      </c>
      <c r="C59" s="12">
        <v>6</v>
      </c>
      <c r="D59" s="8">
        <v>2.31</v>
      </c>
      <c r="E59" s="12">
        <v>5</v>
      </c>
      <c r="F59" s="8">
        <v>2.92</v>
      </c>
      <c r="G59" s="12">
        <v>1</v>
      </c>
      <c r="H59" s="8">
        <v>1.1399999999999999</v>
      </c>
      <c r="I59" s="12">
        <v>0</v>
      </c>
    </row>
    <row r="60" spans="2:9" ht="15" customHeight="1" x14ac:dyDescent="0.2">
      <c r="B60" t="s">
        <v>176</v>
      </c>
      <c r="C60" s="12">
        <v>5</v>
      </c>
      <c r="D60" s="8">
        <v>1.92</v>
      </c>
      <c r="E60" s="12">
        <v>4</v>
      </c>
      <c r="F60" s="8">
        <v>2.34</v>
      </c>
      <c r="G60" s="12">
        <v>1</v>
      </c>
      <c r="H60" s="8">
        <v>1.1399999999999999</v>
      </c>
      <c r="I60" s="12">
        <v>0</v>
      </c>
    </row>
    <row r="61" spans="2:9" ht="15" customHeight="1" x14ac:dyDescent="0.2">
      <c r="B61" t="s">
        <v>205</v>
      </c>
      <c r="C61" s="12">
        <v>5</v>
      </c>
      <c r="D61" s="8">
        <v>1.92</v>
      </c>
      <c r="E61" s="12">
        <v>3</v>
      </c>
      <c r="F61" s="8">
        <v>1.75</v>
      </c>
      <c r="G61" s="12">
        <v>2</v>
      </c>
      <c r="H61" s="8">
        <v>2.27</v>
      </c>
      <c r="I61" s="12">
        <v>0</v>
      </c>
    </row>
    <row r="62" spans="2:9" ht="15" customHeight="1" x14ac:dyDescent="0.2">
      <c r="B62" t="s">
        <v>194</v>
      </c>
      <c r="C62" s="12">
        <v>5</v>
      </c>
      <c r="D62" s="8">
        <v>1.92</v>
      </c>
      <c r="E62" s="12">
        <v>4</v>
      </c>
      <c r="F62" s="8">
        <v>2.34</v>
      </c>
      <c r="G62" s="12">
        <v>1</v>
      </c>
      <c r="H62" s="8">
        <v>1.1399999999999999</v>
      </c>
      <c r="I62" s="12">
        <v>0</v>
      </c>
    </row>
    <row r="63" spans="2:9" ht="15" customHeight="1" x14ac:dyDescent="0.2">
      <c r="B63" t="s">
        <v>209</v>
      </c>
      <c r="C63" s="12">
        <v>5</v>
      </c>
      <c r="D63" s="8">
        <v>1.92</v>
      </c>
      <c r="E63" s="12">
        <v>4</v>
      </c>
      <c r="F63" s="8">
        <v>2.34</v>
      </c>
      <c r="G63" s="12">
        <v>1</v>
      </c>
      <c r="H63" s="8">
        <v>1.1399999999999999</v>
      </c>
      <c r="I63" s="12">
        <v>0</v>
      </c>
    </row>
    <row r="64" spans="2:9" ht="15" customHeight="1" x14ac:dyDescent="0.2">
      <c r="B64" t="s">
        <v>174</v>
      </c>
      <c r="C64" s="12">
        <v>4</v>
      </c>
      <c r="D64" s="8">
        <v>1.54</v>
      </c>
      <c r="E64" s="12">
        <v>2</v>
      </c>
      <c r="F64" s="8">
        <v>1.17</v>
      </c>
      <c r="G64" s="12">
        <v>2</v>
      </c>
      <c r="H64" s="8">
        <v>2.27</v>
      </c>
      <c r="I64" s="12">
        <v>0</v>
      </c>
    </row>
    <row r="65" spans="2:9" ht="15" customHeight="1" x14ac:dyDescent="0.2">
      <c r="B65" t="s">
        <v>218</v>
      </c>
      <c r="C65" s="12">
        <v>4</v>
      </c>
      <c r="D65" s="8">
        <v>1.54</v>
      </c>
      <c r="E65" s="12">
        <v>2</v>
      </c>
      <c r="F65" s="8">
        <v>1.17</v>
      </c>
      <c r="G65" s="12">
        <v>2</v>
      </c>
      <c r="H65" s="8">
        <v>2.27</v>
      </c>
      <c r="I65" s="12">
        <v>0</v>
      </c>
    </row>
    <row r="66" spans="2:9" ht="15" customHeight="1" x14ac:dyDescent="0.2">
      <c r="B66" t="s">
        <v>177</v>
      </c>
      <c r="C66" s="12">
        <v>4</v>
      </c>
      <c r="D66" s="8">
        <v>1.54</v>
      </c>
      <c r="E66" s="12">
        <v>3</v>
      </c>
      <c r="F66" s="8">
        <v>1.75</v>
      </c>
      <c r="G66" s="12">
        <v>1</v>
      </c>
      <c r="H66" s="8">
        <v>1.1399999999999999</v>
      </c>
      <c r="I66" s="12">
        <v>0</v>
      </c>
    </row>
    <row r="67" spans="2:9" ht="15" customHeight="1" x14ac:dyDescent="0.2">
      <c r="B67" t="s">
        <v>178</v>
      </c>
      <c r="C67" s="12">
        <v>4</v>
      </c>
      <c r="D67" s="8">
        <v>1.54</v>
      </c>
      <c r="E67" s="12">
        <v>3</v>
      </c>
      <c r="F67" s="8">
        <v>1.75</v>
      </c>
      <c r="G67" s="12">
        <v>1</v>
      </c>
      <c r="H67" s="8">
        <v>1.1399999999999999</v>
      </c>
      <c r="I67" s="12">
        <v>0</v>
      </c>
    </row>
    <row r="68" spans="2:9" ht="15" customHeight="1" x14ac:dyDescent="0.2">
      <c r="B68" t="s">
        <v>238</v>
      </c>
      <c r="C68" s="12">
        <v>4</v>
      </c>
      <c r="D68" s="8">
        <v>1.54</v>
      </c>
      <c r="E68" s="12">
        <v>0</v>
      </c>
      <c r="F68" s="8">
        <v>0</v>
      </c>
      <c r="G68" s="12">
        <v>4</v>
      </c>
      <c r="H68" s="8">
        <v>4.55</v>
      </c>
      <c r="I68" s="12">
        <v>0</v>
      </c>
    </row>
    <row r="69" spans="2:9" ht="15" customHeight="1" x14ac:dyDescent="0.2">
      <c r="B69" t="s">
        <v>180</v>
      </c>
      <c r="C69" s="12">
        <v>4</v>
      </c>
      <c r="D69" s="8">
        <v>1.54</v>
      </c>
      <c r="E69" s="12">
        <v>1</v>
      </c>
      <c r="F69" s="8">
        <v>0.57999999999999996</v>
      </c>
      <c r="G69" s="12">
        <v>3</v>
      </c>
      <c r="H69" s="8">
        <v>3.41</v>
      </c>
      <c r="I69" s="12">
        <v>0</v>
      </c>
    </row>
    <row r="70" spans="2:9" ht="15" customHeight="1" x14ac:dyDescent="0.2">
      <c r="B70" t="s">
        <v>183</v>
      </c>
      <c r="C70" s="12">
        <v>4</v>
      </c>
      <c r="D70" s="8">
        <v>1.54</v>
      </c>
      <c r="E70" s="12">
        <v>3</v>
      </c>
      <c r="F70" s="8">
        <v>1.75</v>
      </c>
      <c r="G70" s="12">
        <v>1</v>
      </c>
      <c r="H70" s="8">
        <v>1.1399999999999999</v>
      </c>
      <c r="I70" s="12">
        <v>0</v>
      </c>
    </row>
    <row r="71" spans="2:9" ht="15" customHeight="1" x14ac:dyDescent="0.2">
      <c r="B71" t="s">
        <v>245</v>
      </c>
      <c r="C71" s="12">
        <v>4</v>
      </c>
      <c r="D71" s="8">
        <v>1.54</v>
      </c>
      <c r="E71" s="12">
        <v>4</v>
      </c>
      <c r="F71" s="8">
        <v>2.34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186</v>
      </c>
      <c r="C72" s="12">
        <v>4</v>
      </c>
      <c r="D72" s="8">
        <v>1.54</v>
      </c>
      <c r="E72" s="12">
        <v>2</v>
      </c>
      <c r="F72" s="8">
        <v>1.17</v>
      </c>
      <c r="G72" s="12">
        <v>2</v>
      </c>
      <c r="H72" s="8">
        <v>2.27</v>
      </c>
      <c r="I72" s="12">
        <v>0</v>
      </c>
    </row>
    <row r="73" spans="2:9" ht="15" customHeight="1" x14ac:dyDescent="0.2">
      <c r="B73" t="s">
        <v>192</v>
      </c>
      <c r="C73" s="12">
        <v>4</v>
      </c>
      <c r="D73" s="8">
        <v>1.54</v>
      </c>
      <c r="E73" s="12">
        <v>3</v>
      </c>
      <c r="F73" s="8">
        <v>1.75</v>
      </c>
      <c r="G73" s="12">
        <v>1</v>
      </c>
      <c r="H73" s="8">
        <v>1.1399999999999999</v>
      </c>
      <c r="I73" s="12">
        <v>0</v>
      </c>
    </row>
    <row r="75" spans="2:9" ht="15" customHeight="1" x14ac:dyDescent="0.2">
      <c r="B75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2F131-0DB8-4177-9FEE-D8681441DBCC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406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73</v>
      </c>
      <c r="D6" s="8">
        <v>19.41</v>
      </c>
      <c r="E6" s="12">
        <v>34</v>
      </c>
      <c r="F6" s="8">
        <v>15.38</v>
      </c>
      <c r="G6" s="12">
        <v>39</v>
      </c>
      <c r="H6" s="8">
        <v>25.49</v>
      </c>
      <c r="I6" s="12">
        <v>0</v>
      </c>
    </row>
    <row r="7" spans="2:9" ht="15" customHeight="1" x14ac:dyDescent="0.2">
      <c r="B7" t="s">
        <v>80</v>
      </c>
      <c r="C7" s="12">
        <v>44</v>
      </c>
      <c r="D7" s="8">
        <v>11.7</v>
      </c>
      <c r="E7" s="12">
        <v>17</v>
      </c>
      <c r="F7" s="8">
        <v>7.69</v>
      </c>
      <c r="G7" s="12">
        <v>27</v>
      </c>
      <c r="H7" s="8">
        <v>17.649999999999999</v>
      </c>
      <c r="I7" s="12">
        <v>0</v>
      </c>
    </row>
    <row r="8" spans="2:9" ht="15" customHeight="1" x14ac:dyDescent="0.2">
      <c r="B8" t="s">
        <v>81</v>
      </c>
      <c r="C8" s="12">
        <v>7</v>
      </c>
      <c r="D8" s="8">
        <v>1.86</v>
      </c>
      <c r="E8" s="12">
        <v>0</v>
      </c>
      <c r="F8" s="8">
        <v>0</v>
      </c>
      <c r="G8" s="12">
        <v>7</v>
      </c>
      <c r="H8" s="8">
        <v>4.58</v>
      </c>
      <c r="I8" s="12">
        <v>0</v>
      </c>
    </row>
    <row r="9" spans="2:9" ht="15" customHeight="1" x14ac:dyDescent="0.2">
      <c r="B9" t="s">
        <v>82</v>
      </c>
      <c r="C9" s="12">
        <v>1</v>
      </c>
      <c r="D9" s="8">
        <v>0.27</v>
      </c>
      <c r="E9" s="12">
        <v>1</v>
      </c>
      <c r="F9" s="8">
        <v>0.45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2</v>
      </c>
      <c r="D10" s="8">
        <v>0.53</v>
      </c>
      <c r="E10" s="12">
        <v>0</v>
      </c>
      <c r="F10" s="8">
        <v>0</v>
      </c>
      <c r="G10" s="12">
        <v>2</v>
      </c>
      <c r="H10" s="8">
        <v>1.31</v>
      </c>
      <c r="I10" s="12">
        <v>0</v>
      </c>
    </row>
    <row r="11" spans="2:9" ht="15" customHeight="1" x14ac:dyDescent="0.2">
      <c r="B11" t="s">
        <v>84</v>
      </c>
      <c r="C11" s="12">
        <v>78</v>
      </c>
      <c r="D11" s="8">
        <v>20.74</v>
      </c>
      <c r="E11" s="12">
        <v>32</v>
      </c>
      <c r="F11" s="8">
        <v>14.48</v>
      </c>
      <c r="G11" s="12">
        <v>46</v>
      </c>
      <c r="H11" s="8">
        <v>30.07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20</v>
      </c>
      <c r="D13" s="8">
        <v>5.32</v>
      </c>
      <c r="E13" s="12">
        <v>8</v>
      </c>
      <c r="F13" s="8">
        <v>3.62</v>
      </c>
      <c r="G13" s="12">
        <v>12</v>
      </c>
      <c r="H13" s="8">
        <v>7.84</v>
      </c>
      <c r="I13" s="12">
        <v>0</v>
      </c>
    </row>
    <row r="14" spans="2:9" ht="15" customHeight="1" x14ac:dyDescent="0.2">
      <c r="B14" t="s">
        <v>87</v>
      </c>
      <c r="C14" s="12">
        <v>15</v>
      </c>
      <c r="D14" s="8">
        <v>3.99</v>
      </c>
      <c r="E14" s="12">
        <v>13</v>
      </c>
      <c r="F14" s="8">
        <v>5.88</v>
      </c>
      <c r="G14" s="12">
        <v>2</v>
      </c>
      <c r="H14" s="8">
        <v>1.31</v>
      </c>
      <c r="I14" s="12">
        <v>0</v>
      </c>
    </row>
    <row r="15" spans="2:9" ht="15" customHeight="1" x14ac:dyDescent="0.2">
      <c r="B15" t="s">
        <v>88</v>
      </c>
      <c r="C15" s="12">
        <v>46</v>
      </c>
      <c r="D15" s="8">
        <v>12.23</v>
      </c>
      <c r="E15" s="12">
        <v>41</v>
      </c>
      <c r="F15" s="8">
        <v>18.55</v>
      </c>
      <c r="G15" s="12">
        <v>5</v>
      </c>
      <c r="H15" s="8">
        <v>3.27</v>
      </c>
      <c r="I15" s="12">
        <v>0</v>
      </c>
    </row>
    <row r="16" spans="2:9" ht="15" customHeight="1" x14ac:dyDescent="0.2">
      <c r="B16" t="s">
        <v>89</v>
      </c>
      <c r="C16" s="12">
        <v>45</v>
      </c>
      <c r="D16" s="8">
        <v>11.97</v>
      </c>
      <c r="E16" s="12">
        <v>42</v>
      </c>
      <c r="F16" s="8">
        <v>19</v>
      </c>
      <c r="G16" s="12">
        <v>2</v>
      </c>
      <c r="H16" s="8">
        <v>1.31</v>
      </c>
      <c r="I16" s="12">
        <v>0</v>
      </c>
    </row>
    <row r="17" spans="2:9" ht="15" customHeight="1" x14ac:dyDescent="0.2">
      <c r="B17" t="s">
        <v>90</v>
      </c>
      <c r="C17" s="12">
        <v>10</v>
      </c>
      <c r="D17" s="8">
        <v>2.66</v>
      </c>
      <c r="E17" s="12">
        <v>10</v>
      </c>
      <c r="F17" s="8">
        <v>4.5199999999999996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21</v>
      </c>
      <c r="D18" s="8">
        <v>5.59</v>
      </c>
      <c r="E18" s="12">
        <v>15</v>
      </c>
      <c r="F18" s="8">
        <v>6.79</v>
      </c>
      <c r="G18" s="12">
        <v>5</v>
      </c>
      <c r="H18" s="8">
        <v>3.27</v>
      </c>
      <c r="I18" s="12">
        <v>0</v>
      </c>
    </row>
    <row r="19" spans="2:9" ht="15" customHeight="1" x14ac:dyDescent="0.2">
      <c r="B19" t="s">
        <v>92</v>
      </c>
      <c r="C19" s="12">
        <v>14</v>
      </c>
      <c r="D19" s="8">
        <v>3.72</v>
      </c>
      <c r="E19" s="12">
        <v>8</v>
      </c>
      <c r="F19" s="8">
        <v>3.62</v>
      </c>
      <c r="G19" s="12">
        <v>6</v>
      </c>
      <c r="H19" s="8">
        <v>3.92</v>
      </c>
      <c r="I19" s="12">
        <v>0</v>
      </c>
    </row>
    <row r="20" spans="2:9" ht="15" customHeight="1" x14ac:dyDescent="0.2">
      <c r="B20" s="9" t="s">
        <v>363</v>
      </c>
      <c r="C20" s="12">
        <f>SUM(LTBL_20402[総数／事業所数])</f>
        <v>376</v>
      </c>
      <c r="E20" s="12">
        <f>SUBTOTAL(109,LTBL_20402[個人／事業所数])</f>
        <v>221</v>
      </c>
      <c r="G20" s="12">
        <f>SUBTOTAL(109,LTBL_20402[法人／事業所数])</f>
        <v>153</v>
      </c>
      <c r="I20" s="12">
        <f>SUBTOTAL(109,LTBL_20402[法人以外の団体／事業所数])</f>
        <v>0</v>
      </c>
    </row>
    <row r="21" spans="2:9" ht="15" customHeight="1" x14ac:dyDescent="0.2">
      <c r="E21" s="11">
        <f>LTBL_20402[[#Totals],[個人／事業所数]]/LTBL_20402[[#Totals],[総数／事業所数]]</f>
        <v>0.58776595744680848</v>
      </c>
      <c r="G21" s="11">
        <f>LTBL_20402[[#Totals],[法人／事業所数]]/LTBL_20402[[#Totals],[総数／事業所数]]</f>
        <v>0.40691489361702127</v>
      </c>
      <c r="I21" s="11">
        <f>LTBL_20402[[#Totals],[法人以外の団体／事業所数]]/LTBL_20402[[#Totals],[総数／事業所数]]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43</v>
      </c>
      <c r="D24" s="8">
        <v>11.44</v>
      </c>
      <c r="E24" s="12">
        <v>39</v>
      </c>
      <c r="F24" s="8">
        <v>17.649999999999999</v>
      </c>
      <c r="G24" s="12">
        <v>4</v>
      </c>
      <c r="H24" s="8">
        <v>2.61</v>
      </c>
      <c r="I24" s="12">
        <v>0</v>
      </c>
    </row>
    <row r="25" spans="2:9" ht="15" customHeight="1" x14ac:dyDescent="0.2">
      <c r="B25" t="s">
        <v>116</v>
      </c>
      <c r="C25" s="12">
        <v>41</v>
      </c>
      <c r="D25" s="8">
        <v>10.9</v>
      </c>
      <c r="E25" s="12">
        <v>39</v>
      </c>
      <c r="F25" s="8">
        <v>17.649999999999999</v>
      </c>
      <c r="G25" s="12">
        <v>2</v>
      </c>
      <c r="H25" s="8">
        <v>1.31</v>
      </c>
      <c r="I25" s="12">
        <v>0</v>
      </c>
    </row>
    <row r="26" spans="2:9" ht="15" customHeight="1" x14ac:dyDescent="0.2">
      <c r="B26" t="s">
        <v>101</v>
      </c>
      <c r="C26" s="12">
        <v>31</v>
      </c>
      <c r="D26" s="8">
        <v>8.24</v>
      </c>
      <c r="E26" s="12">
        <v>11</v>
      </c>
      <c r="F26" s="8">
        <v>4.9800000000000004</v>
      </c>
      <c r="G26" s="12">
        <v>20</v>
      </c>
      <c r="H26" s="8">
        <v>13.07</v>
      </c>
      <c r="I26" s="12">
        <v>0</v>
      </c>
    </row>
    <row r="27" spans="2:9" ht="15" customHeight="1" x14ac:dyDescent="0.2">
      <c r="B27" t="s">
        <v>102</v>
      </c>
      <c r="C27" s="12">
        <v>29</v>
      </c>
      <c r="D27" s="8">
        <v>7.71</v>
      </c>
      <c r="E27" s="12">
        <v>21</v>
      </c>
      <c r="F27" s="8">
        <v>9.5</v>
      </c>
      <c r="G27" s="12">
        <v>8</v>
      </c>
      <c r="H27" s="8">
        <v>5.23</v>
      </c>
      <c r="I27" s="12">
        <v>0</v>
      </c>
    </row>
    <row r="28" spans="2:9" ht="15" customHeight="1" x14ac:dyDescent="0.2">
      <c r="B28" t="s">
        <v>110</v>
      </c>
      <c r="C28" s="12">
        <v>27</v>
      </c>
      <c r="D28" s="8">
        <v>7.18</v>
      </c>
      <c r="E28" s="12">
        <v>11</v>
      </c>
      <c r="F28" s="8">
        <v>4.9800000000000004</v>
      </c>
      <c r="G28" s="12">
        <v>16</v>
      </c>
      <c r="H28" s="8">
        <v>10.46</v>
      </c>
      <c r="I28" s="12">
        <v>0</v>
      </c>
    </row>
    <row r="29" spans="2:9" ht="15" customHeight="1" x14ac:dyDescent="0.2">
      <c r="B29" t="s">
        <v>108</v>
      </c>
      <c r="C29" s="12">
        <v>17</v>
      </c>
      <c r="D29" s="8">
        <v>4.5199999999999996</v>
      </c>
      <c r="E29" s="12">
        <v>9</v>
      </c>
      <c r="F29" s="8">
        <v>4.07</v>
      </c>
      <c r="G29" s="12">
        <v>8</v>
      </c>
      <c r="H29" s="8">
        <v>5.23</v>
      </c>
      <c r="I29" s="12">
        <v>0</v>
      </c>
    </row>
    <row r="30" spans="2:9" ht="15" customHeight="1" x14ac:dyDescent="0.2">
      <c r="B30" t="s">
        <v>118</v>
      </c>
      <c r="C30" s="12">
        <v>16</v>
      </c>
      <c r="D30" s="8">
        <v>4.26</v>
      </c>
      <c r="E30" s="12">
        <v>15</v>
      </c>
      <c r="F30" s="8">
        <v>6.79</v>
      </c>
      <c r="G30" s="12">
        <v>1</v>
      </c>
      <c r="H30" s="8">
        <v>0.65</v>
      </c>
      <c r="I30" s="12">
        <v>0</v>
      </c>
    </row>
    <row r="31" spans="2:9" ht="15" customHeight="1" x14ac:dyDescent="0.2">
      <c r="B31" t="s">
        <v>103</v>
      </c>
      <c r="C31" s="12">
        <v>13</v>
      </c>
      <c r="D31" s="8">
        <v>3.46</v>
      </c>
      <c r="E31" s="12">
        <v>2</v>
      </c>
      <c r="F31" s="8">
        <v>0.9</v>
      </c>
      <c r="G31" s="12">
        <v>11</v>
      </c>
      <c r="H31" s="8">
        <v>7.19</v>
      </c>
      <c r="I31" s="12">
        <v>0</v>
      </c>
    </row>
    <row r="32" spans="2:9" ht="15" customHeight="1" x14ac:dyDescent="0.2">
      <c r="B32" t="s">
        <v>109</v>
      </c>
      <c r="C32" s="12">
        <v>10</v>
      </c>
      <c r="D32" s="8">
        <v>2.66</v>
      </c>
      <c r="E32" s="12">
        <v>6</v>
      </c>
      <c r="F32" s="8">
        <v>2.71</v>
      </c>
      <c r="G32" s="12">
        <v>4</v>
      </c>
      <c r="H32" s="8">
        <v>2.61</v>
      </c>
      <c r="I32" s="12">
        <v>0</v>
      </c>
    </row>
    <row r="33" spans="2:9" ht="15" customHeight="1" x14ac:dyDescent="0.2">
      <c r="B33" t="s">
        <v>111</v>
      </c>
      <c r="C33" s="12">
        <v>10</v>
      </c>
      <c r="D33" s="8">
        <v>2.66</v>
      </c>
      <c r="E33" s="12">
        <v>5</v>
      </c>
      <c r="F33" s="8">
        <v>2.2599999999999998</v>
      </c>
      <c r="G33" s="12">
        <v>5</v>
      </c>
      <c r="H33" s="8">
        <v>3.27</v>
      </c>
      <c r="I33" s="12">
        <v>0</v>
      </c>
    </row>
    <row r="34" spans="2:9" ht="15" customHeight="1" x14ac:dyDescent="0.2">
      <c r="B34" t="s">
        <v>117</v>
      </c>
      <c r="C34" s="12">
        <v>10</v>
      </c>
      <c r="D34" s="8">
        <v>2.66</v>
      </c>
      <c r="E34" s="12">
        <v>10</v>
      </c>
      <c r="F34" s="8">
        <v>4.5199999999999996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104</v>
      </c>
      <c r="C35" s="12">
        <v>9</v>
      </c>
      <c r="D35" s="8">
        <v>2.39</v>
      </c>
      <c r="E35" s="12">
        <v>4</v>
      </c>
      <c r="F35" s="8">
        <v>1.81</v>
      </c>
      <c r="G35" s="12">
        <v>5</v>
      </c>
      <c r="H35" s="8">
        <v>3.27</v>
      </c>
      <c r="I35" s="12">
        <v>0</v>
      </c>
    </row>
    <row r="36" spans="2:9" ht="15" customHeight="1" x14ac:dyDescent="0.2">
      <c r="B36" t="s">
        <v>113</v>
      </c>
      <c r="C36" s="12">
        <v>8</v>
      </c>
      <c r="D36" s="8">
        <v>2.13</v>
      </c>
      <c r="E36" s="12">
        <v>7</v>
      </c>
      <c r="F36" s="8">
        <v>3.17</v>
      </c>
      <c r="G36" s="12">
        <v>1</v>
      </c>
      <c r="H36" s="8">
        <v>0.65</v>
      </c>
      <c r="I36" s="12">
        <v>0</v>
      </c>
    </row>
    <row r="37" spans="2:9" ht="15" customHeight="1" x14ac:dyDescent="0.2">
      <c r="B37" t="s">
        <v>144</v>
      </c>
      <c r="C37" s="12">
        <v>7</v>
      </c>
      <c r="D37" s="8">
        <v>1.86</v>
      </c>
      <c r="E37" s="12">
        <v>0</v>
      </c>
      <c r="F37" s="8">
        <v>0</v>
      </c>
      <c r="G37" s="12">
        <v>7</v>
      </c>
      <c r="H37" s="8">
        <v>4.58</v>
      </c>
      <c r="I37" s="12">
        <v>0</v>
      </c>
    </row>
    <row r="38" spans="2:9" ht="15" customHeight="1" x14ac:dyDescent="0.2">
      <c r="B38" t="s">
        <v>153</v>
      </c>
      <c r="C38" s="12">
        <v>7</v>
      </c>
      <c r="D38" s="8">
        <v>1.86</v>
      </c>
      <c r="E38" s="12">
        <v>2</v>
      </c>
      <c r="F38" s="8">
        <v>0.9</v>
      </c>
      <c r="G38" s="12">
        <v>5</v>
      </c>
      <c r="H38" s="8">
        <v>3.27</v>
      </c>
      <c r="I38" s="12">
        <v>0</v>
      </c>
    </row>
    <row r="39" spans="2:9" ht="15" customHeight="1" x14ac:dyDescent="0.2">
      <c r="B39" t="s">
        <v>112</v>
      </c>
      <c r="C39" s="12">
        <v>7</v>
      </c>
      <c r="D39" s="8">
        <v>1.86</v>
      </c>
      <c r="E39" s="12">
        <v>6</v>
      </c>
      <c r="F39" s="8">
        <v>2.71</v>
      </c>
      <c r="G39" s="12">
        <v>1</v>
      </c>
      <c r="H39" s="8">
        <v>0.65</v>
      </c>
      <c r="I39" s="12">
        <v>0</v>
      </c>
    </row>
    <row r="40" spans="2:9" ht="15" customHeight="1" x14ac:dyDescent="0.2">
      <c r="B40" t="s">
        <v>136</v>
      </c>
      <c r="C40" s="12">
        <v>6</v>
      </c>
      <c r="D40" s="8">
        <v>1.6</v>
      </c>
      <c r="E40" s="12">
        <v>2</v>
      </c>
      <c r="F40" s="8">
        <v>0.9</v>
      </c>
      <c r="G40" s="12">
        <v>4</v>
      </c>
      <c r="H40" s="8">
        <v>2.61</v>
      </c>
      <c r="I40" s="12">
        <v>0</v>
      </c>
    </row>
    <row r="41" spans="2:9" ht="15" customHeight="1" x14ac:dyDescent="0.2">
      <c r="B41" t="s">
        <v>107</v>
      </c>
      <c r="C41" s="12">
        <v>6</v>
      </c>
      <c r="D41" s="8">
        <v>1.6</v>
      </c>
      <c r="E41" s="12">
        <v>2</v>
      </c>
      <c r="F41" s="8">
        <v>0.9</v>
      </c>
      <c r="G41" s="12">
        <v>4</v>
      </c>
      <c r="H41" s="8">
        <v>2.61</v>
      </c>
      <c r="I41" s="12">
        <v>0</v>
      </c>
    </row>
    <row r="42" spans="2:9" ht="15" customHeight="1" x14ac:dyDescent="0.2">
      <c r="B42" t="s">
        <v>124</v>
      </c>
      <c r="C42" s="12">
        <v>6</v>
      </c>
      <c r="D42" s="8">
        <v>1.6</v>
      </c>
      <c r="E42" s="12">
        <v>1</v>
      </c>
      <c r="F42" s="8">
        <v>0.45</v>
      </c>
      <c r="G42" s="12">
        <v>5</v>
      </c>
      <c r="H42" s="8">
        <v>3.27</v>
      </c>
      <c r="I42" s="12">
        <v>0</v>
      </c>
    </row>
    <row r="43" spans="2:9" ht="15" customHeight="1" x14ac:dyDescent="0.2">
      <c r="B43" t="s">
        <v>122</v>
      </c>
      <c r="C43" s="12">
        <v>5</v>
      </c>
      <c r="D43" s="8">
        <v>1.33</v>
      </c>
      <c r="E43" s="12">
        <v>1</v>
      </c>
      <c r="F43" s="8">
        <v>0.45</v>
      </c>
      <c r="G43" s="12">
        <v>4</v>
      </c>
      <c r="H43" s="8">
        <v>2.61</v>
      </c>
      <c r="I43" s="12">
        <v>0</v>
      </c>
    </row>
    <row r="44" spans="2:9" ht="15" customHeight="1" x14ac:dyDescent="0.2">
      <c r="B44" t="s">
        <v>119</v>
      </c>
      <c r="C44" s="12">
        <v>5</v>
      </c>
      <c r="D44" s="8">
        <v>1.33</v>
      </c>
      <c r="E44" s="12">
        <v>0</v>
      </c>
      <c r="F44" s="8">
        <v>0</v>
      </c>
      <c r="G44" s="12">
        <v>4</v>
      </c>
      <c r="H44" s="8">
        <v>2.61</v>
      </c>
      <c r="I44" s="12">
        <v>0</v>
      </c>
    </row>
    <row r="47" spans="2:9" ht="33" customHeight="1" x14ac:dyDescent="0.2">
      <c r="B47" t="s">
        <v>365</v>
      </c>
      <c r="C47" s="10" t="s">
        <v>94</v>
      </c>
      <c r="D47" s="10" t="s">
        <v>95</v>
      </c>
      <c r="E47" s="10" t="s">
        <v>96</v>
      </c>
      <c r="F47" s="10" t="s">
        <v>97</v>
      </c>
      <c r="G47" s="10" t="s">
        <v>98</v>
      </c>
      <c r="H47" s="10" t="s">
        <v>99</v>
      </c>
      <c r="I47" s="10" t="s">
        <v>100</v>
      </c>
    </row>
    <row r="48" spans="2:9" ht="15" customHeight="1" x14ac:dyDescent="0.2">
      <c r="B48" t="s">
        <v>191</v>
      </c>
      <c r="C48" s="12">
        <v>25</v>
      </c>
      <c r="D48" s="8">
        <v>6.65</v>
      </c>
      <c r="E48" s="12">
        <v>23</v>
      </c>
      <c r="F48" s="8">
        <v>10.41</v>
      </c>
      <c r="G48" s="12">
        <v>2</v>
      </c>
      <c r="H48" s="8">
        <v>1.31</v>
      </c>
      <c r="I48" s="12">
        <v>0</v>
      </c>
    </row>
    <row r="49" spans="2:9" ht="15" customHeight="1" x14ac:dyDescent="0.2">
      <c r="B49" t="s">
        <v>187</v>
      </c>
      <c r="C49" s="12">
        <v>15</v>
      </c>
      <c r="D49" s="8">
        <v>3.99</v>
      </c>
      <c r="E49" s="12">
        <v>12</v>
      </c>
      <c r="F49" s="8">
        <v>5.43</v>
      </c>
      <c r="G49" s="12">
        <v>3</v>
      </c>
      <c r="H49" s="8">
        <v>1.96</v>
      </c>
      <c r="I49" s="12">
        <v>0</v>
      </c>
    </row>
    <row r="50" spans="2:9" ht="15" customHeight="1" x14ac:dyDescent="0.2">
      <c r="B50" t="s">
        <v>193</v>
      </c>
      <c r="C50" s="12">
        <v>14</v>
      </c>
      <c r="D50" s="8">
        <v>3.72</v>
      </c>
      <c r="E50" s="12">
        <v>13</v>
      </c>
      <c r="F50" s="8">
        <v>5.88</v>
      </c>
      <c r="G50" s="12">
        <v>1</v>
      </c>
      <c r="H50" s="8">
        <v>0.65</v>
      </c>
      <c r="I50" s="12">
        <v>0</v>
      </c>
    </row>
    <row r="51" spans="2:9" ht="15" customHeight="1" x14ac:dyDescent="0.2">
      <c r="B51" t="s">
        <v>174</v>
      </c>
      <c r="C51" s="12">
        <v>12</v>
      </c>
      <c r="D51" s="8">
        <v>3.19</v>
      </c>
      <c r="E51" s="12">
        <v>2</v>
      </c>
      <c r="F51" s="8">
        <v>0.9</v>
      </c>
      <c r="G51" s="12">
        <v>10</v>
      </c>
      <c r="H51" s="8">
        <v>6.54</v>
      </c>
      <c r="I51" s="12">
        <v>0</v>
      </c>
    </row>
    <row r="52" spans="2:9" ht="15" customHeight="1" x14ac:dyDescent="0.2">
      <c r="B52" t="s">
        <v>189</v>
      </c>
      <c r="C52" s="12">
        <v>11</v>
      </c>
      <c r="D52" s="8">
        <v>2.93</v>
      </c>
      <c r="E52" s="12">
        <v>11</v>
      </c>
      <c r="F52" s="8">
        <v>4.9800000000000004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190</v>
      </c>
      <c r="C53" s="12">
        <v>11</v>
      </c>
      <c r="D53" s="8">
        <v>2.93</v>
      </c>
      <c r="E53" s="12">
        <v>11</v>
      </c>
      <c r="F53" s="8">
        <v>4.9800000000000004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176</v>
      </c>
      <c r="C54" s="12">
        <v>8</v>
      </c>
      <c r="D54" s="8">
        <v>2.13</v>
      </c>
      <c r="E54" s="12">
        <v>7</v>
      </c>
      <c r="F54" s="8">
        <v>3.17</v>
      </c>
      <c r="G54" s="12">
        <v>1</v>
      </c>
      <c r="H54" s="8">
        <v>0.65</v>
      </c>
      <c r="I54" s="12">
        <v>0</v>
      </c>
    </row>
    <row r="55" spans="2:9" ht="15" customHeight="1" x14ac:dyDescent="0.2">
      <c r="B55" t="s">
        <v>266</v>
      </c>
      <c r="C55" s="12">
        <v>8</v>
      </c>
      <c r="D55" s="8">
        <v>2.13</v>
      </c>
      <c r="E55" s="12">
        <v>3</v>
      </c>
      <c r="F55" s="8">
        <v>1.36</v>
      </c>
      <c r="G55" s="12">
        <v>5</v>
      </c>
      <c r="H55" s="8">
        <v>3.27</v>
      </c>
      <c r="I55" s="12">
        <v>0</v>
      </c>
    </row>
    <row r="56" spans="2:9" ht="15" customHeight="1" x14ac:dyDescent="0.2">
      <c r="B56" t="s">
        <v>238</v>
      </c>
      <c r="C56" s="12">
        <v>7</v>
      </c>
      <c r="D56" s="8">
        <v>1.86</v>
      </c>
      <c r="E56" s="12">
        <v>0</v>
      </c>
      <c r="F56" s="8">
        <v>0</v>
      </c>
      <c r="G56" s="12">
        <v>7</v>
      </c>
      <c r="H56" s="8">
        <v>4.58</v>
      </c>
      <c r="I56" s="12">
        <v>0</v>
      </c>
    </row>
    <row r="57" spans="2:9" ht="15" customHeight="1" x14ac:dyDescent="0.2">
      <c r="B57" t="s">
        <v>180</v>
      </c>
      <c r="C57" s="12">
        <v>7</v>
      </c>
      <c r="D57" s="8">
        <v>1.86</v>
      </c>
      <c r="E57" s="12">
        <v>4</v>
      </c>
      <c r="F57" s="8">
        <v>1.81</v>
      </c>
      <c r="G57" s="12">
        <v>3</v>
      </c>
      <c r="H57" s="8">
        <v>1.96</v>
      </c>
      <c r="I57" s="12">
        <v>0</v>
      </c>
    </row>
    <row r="58" spans="2:9" ht="15" customHeight="1" x14ac:dyDescent="0.2">
      <c r="B58" t="s">
        <v>216</v>
      </c>
      <c r="C58" s="12">
        <v>7</v>
      </c>
      <c r="D58" s="8">
        <v>1.86</v>
      </c>
      <c r="E58" s="12">
        <v>2</v>
      </c>
      <c r="F58" s="8">
        <v>0.9</v>
      </c>
      <c r="G58" s="12">
        <v>5</v>
      </c>
      <c r="H58" s="8">
        <v>3.27</v>
      </c>
      <c r="I58" s="12">
        <v>0</v>
      </c>
    </row>
    <row r="59" spans="2:9" ht="15" customHeight="1" x14ac:dyDescent="0.2">
      <c r="B59" t="s">
        <v>181</v>
      </c>
      <c r="C59" s="12">
        <v>7</v>
      </c>
      <c r="D59" s="8">
        <v>1.86</v>
      </c>
      <c r="E59" s="12">
        <v>4</v>
      </c>
      <c r="F59" s="8">
        <v>1.81</v>
      </c>
      <c r="G59" s="12">
        <v>3</v>
      </c>
      <c r="H59" s="8">
        <v>1.96</v>
      </c>
      <c r="I59" s="12">
        <v>0</v>
      </c>
    </row>
    <row r="60" spans="2:9" ht="15" customHeight="1" x14ac:dyDescent="0.2">
      <c r="B60" t="s">
        <v>183</v>
      </c>
      <c r="C60" s="12">
        <v>7</v>
      </c>
      <c r="D60" s="8">
        <v>1.86</v>
      </c>
      <c r="E60" s="12">
        <v>5</v>
      </c>
      <c r="F60" s="8">
        <v>2.2599999999999998</v>
      </c>
      <c r="G60" s="12">
        <v>2</v>
      </c>
      <c r="H60" s="8">
        <v>1.31</v>
      </c>
      <c r="I60" s="12">
        <v>0</v>
      </c>
    </row>
    <row r="61" spans="2:9" ht="15" customHeight="1" x14ac:dyDescent="0.2">
      <c r="B61" t="s">
        <v>188</v>
      </c>
      <c r="C61" s="12">
        <v>7</v>
      </c>
      <c r="D61" s="8">
        <v>1.86</v>
      </c>
      <c r="E61" s="12">
        <v>6</v>
      </c>
      <c r="F61" s="8">
        <v>2.71</v>
      </c>
      <c r="G61" s="12">
        <v>1</v>
      </c>
      <c r="H61" s="8">
        <v>0.65</v>
      </c>
      <c r="I61" s="12">
        <v>0</v>
      </c>
    </row>
    <row r="62" spans="2:9" ht="15" customHeight="1" x14ac:dyDescent="0.2">
      <c r="B62" t="s">
        <v>175</v>
      </c>
      <c r="C62" s="12">
        <v>6</v>
      </c>
      <c r="D62" s="8">
        <v>1.6</v>
      </c>
      <c r="E62" s="12">
        <v>1</v>
      </c>
      <c r="F62" s="8">
        <v>0.45</v>
      </c>
      <c r="G62" s="12">
        <v>5</v>
      </c>
      <c r="H62" s="8">
        <v>3.27</v>
      </c>
      <c r="I62" s="12">
        <v>0</v>
      </c>
    </row>
    <row r="63" spans="2:9" ht="15" customHeight="1" x14ac:dyDescent="0.2">
      <c r="B63" t="s">
        <v>194</v>
      </c>
      <c r="C63" s="12">
        <v>6</v>
      </c>
      <c r="D63" s="8">
        <v>1.6</v>
      </c>
      <c r="E63" s="12">
        <v>1</v>
      </c>
      <c r="F63" s="8">
        <v>0.45</v>
      </c>
      <c r="G63" s="12">
        <v>5</v>
      </c>
      <c r="H63" s="8">
        <v>3.27</v>
      </c>
      <c r="I63" s="12">
        <v>0</v>
      </c>
    </row>
    <row r="64" spans="2:9" ht="15" customHeight="1" x14ac:dyDescent="0.2">
      <c r="B64" t="s">
        <v>259</v>
      </c>
      <c r="C64" s="12">
        <v>6</v>
      </c>
      <c r="D64" s="8">
        <v>1.6</v>
      </c>
      <c r="E64" s="12">
        <v>1</v>
      </c>
      <c r="F64" s="8">
        <v>0.45</v>
      </c>
      <c r="G64" s="12">
        <v>5</v>
      </c>
      <c r="H64" s="8">
        <v>3.27</v>
      </c>
      <c r="I64" s="12">
        <v>0</v>
      </c>
    </row>
    <row r="65" spans="2:9" ht="15" customHeight="1" x14ac:dyDescent="0.2">
      <c r="B65" t="s">
        <v>286</v>
      </c>
      <c r="C65" s="12">
        <v>5</v>
      </c>
      <c r="D65" s="8">
        <v>1.33</v>
      </c>
      <c r="E65" s="12">
        <v>5</v>
      </c>
      <c r="F65" s="8">
        <v>2.2599999999999998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177</v>
      </c>
      <c r="C66" s="12">
        <v>5</v>
      </c>
      <c r="D66" s="8">
        <v>1.33</v>
      </c>
      <c r="E66" s="12">
        <v>1</v>
      </c>
      <c r="F66" s="8">
        <v>0.45</v>
      </c>
      <c r="G66" s="12">
        <v>4</v>
      </c>
      <c r="H66" s="8">
        <v>2.61</v>
      </c>
      <c r="I66" s="12">
        <v>0</v>
      </c>
    </row>
    <row r="67" spans="2:9" ht="15" customHeight="1" x14ac:dyDescent="0.2">
      <c r="B67" t="s">
        <v>178</v>
      </c>
      <c r="C67" s="12">
        <v>5</v>
      </c>
      <c r="D67" s="8">
        <v>1.33</v>
      </c>
      <c r="E67" s="12">
        <v>1</v>
      </c>
      <c r="F67" s="8">
        <v>0.45</v>
      </c>
      <c r="G67" s="12">
        <v>4</v>
      </c>
      <c r="H67" s="8">
        <v>2.61</v>
      </c>
      <c r="I67" s="12">
        <v>0</v>
      </c>
    </row>
    <row r="68" spans="2:9" ht="15" customHeight="1" x14ac:dyDescent="0.2">
      <c r="B68" t="s">
        <v>197</v>
      </c>
      <c r="C68" s="12">
        <v>5</v>
      </c>
      <c r="D68" s="8">
        <v>1.33</v>
      </c>
      <c r="E68" s="12">
        <v>4</v>
      </c>
      <c r="F68" s="8">
        <v>1.81</v>
      </c>
      <c r="G68" s="12">
        <v>1</v>
      </c>
      <c r="H68" s="8">
        <v>0.65</v>
      </c>
      <c r="I68" s="12">
        <v>0</v>
      </c>
    </row>
    <row r="69" spans="2:9" ht="15" customHeight="1" x14ac:dyDescent="0.2">
      <c r="B69" t="s">
        <v>209</v>
      </c>
      <c r="C69" s="12">
        <v>5</v>
      </c>
      <c r="D69" s="8">
        <v>1.33</v>
      </c>
      <c r="E69" s="12">
        <v>5</v>
      </c>
      <c r="F69" s="8">
        <v>2.2599999999999998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192</v>
      </c>
      <c r="C70" s="12">
        <v>5</v>
      </c>
      <c r="D70" s="8">
        <v>1.33</v>
      </c>
      <c r="E70" s="12">
        <v>5</v>
      </c>
      <c r="F70" s="8">
        <v>2.2599999999999998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16A6A-E365-41BD-A1CB-E999F055AD63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407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53</v>
      </c>
      <c r="D6" s="8">
        <v>16.77</v>
      </c>
      <c r="E6" s="12">
        <v>20</v>
      </c>
      <c r="F6" s="8">
        <v>13.33</v>
      </c>
      <c r="G6" s="12">
        <v>33</v>
      </c>
      <c r="H6" s="8">
        <v>21.02</v>
      </c>
      <c r="I6" s="12">
        <v>0</v>
      </c>
    </row>
    <row r="7" spans="2:9" ht="15" customHeight="1" x14ac:dyDescent="0.2">
      <c r="B7" t="s">
        <v>80</v>
      </c>
      <c r="C7" s="12">
        <v>43</v>
      </c>
      <c r="D7" s="8">
        <v>13.61</v>
      </c>
      <c r="E7" s="12">
        <v>16</v>
      </c>
      <c r="F7" s="8">
        <v>10.67</v>
      </c>
      <c r="G7" s="12">
        <v>27</v>
      </c>
      <c r="H7" s="8">
        <v>17.2</v>
      </c>
      <c r="I7" s="12">
        <v>0</v>
      </c>
    </row>
    <row r="8" spans="2:9" ht="15" customHeight="1" x14ac:dyDescent="0.2">
      <c r="B8" t="s">
        <v>81</v>
      </c>
      <c r="C8" s="12">
        <v>3</v>
      </c>
      <c r="D8" s="8">
        <v>0.95</v>
      </c>
      <c r="E8" s="12">
        <v>0</v>
      </c>
      <c r="F8" s="8">
        <v>0</v>
      </c>
      <c r="G8" s="12">
        <v>3</v>
      </c>
      <c r="H8" s="8">
        <v>1.91</v>
      </c>
      <c r="I8" s="12">
        <v>0</v>
      </c>
    </row>
    <row r="9" spans="2:9" ht="15" customHeight="1" x14ac:dyDescent="0.2">
      <c r="B9" t="s">
        <v>82</v>
      </c>
      <c r="C9" s="12">
        <v>3</v>
      </c>
      <c r="D9" s="8">
        <v>0.95</v>
      </c>
      <c r="E9" s="12">
        <v>1</v>
      </c>
      <c r="F9" s="8">
        <v>0.67</v>
      </c>
      <c r="G9" s="12">
        <v>2</v>
      </c>
      <c r="H9" s="8">
        <v>1.27</v>
      </c>
      <c r="I9" s="12">
        <v>0</v>
      </c>
    </row>
    <row r="10" spans="2:9" ht="15" customHeight="1" x14ac:dyDescent="0.2">
      <c r="B10" t="s">
        <v>83</v>
      </c>
      <c r="C10" s="12">
        <v>5</v>
      </c>
      <c r="D10" s="8">
        <v>1.58</v>
      </c>
      <c r="E10" s="12">
        <v>2</v>
      </c>
      <c r="F10" s="8">
        <v>1.33</v>
      </c>
      <c r="G10" s="12">
        <v>3</v>
      </c>
      <c r="H10" s="8">
        <v>1.91</v>
      </c>
      <c r="I10" s="12">
        <v>0</v>
      </c>
    </row>
    <row r="11" spans="2:9" ht="15" customHeight="1" x14ac:dyDescent="0.2">
      <c r="B11" t="s">
        <v>84</v>
      </c>
      <c r="C11" s="12">
        <v>57</v>
      </c>
      <c r="D11" s="8">
        <v>18.04</v>
      </c>
      <c r="E11" s="12">
        <v>20</v>
      </c>
      <c r="F11" s="8">
        <v>13.33</v>
      </c>
      <c r="G11" s="12">
        <v>37</v>
      </c>
      <c r="H11" s="8">
        <v>23.57</v>
      </c>
      <c r="I11" s="12">
        <v>0</v>
      </c>
    </row>
    <row r="12" spans="2:9" ht="15" customHeight="1" x14ac:dyDescent="0.2">
      <c r="B12" t="s">
        <v>85</v>
      </c>
      <c r="C12" s="12">
        <v>4</v>
      </c>
      <c r="D12" s="8">
        <v>1.27</v>
      </c>
      <c r="E12" s="12">
        <v>1</v>
      </c>
      <c r="F12" s="8">
        <v>0.67</v>
      </c>
      <c r="G12" s="12">
        <v>3</v>
      </c>
      <c r="H12" s="8">
        <v>1.91</v>
      </c>
      <c r="I12" s="12">
        <v>0</v>
      </c>
    </row>
    <row r="13" spans="2:9" ht="15" customHeight="1" x14ac:dyDescent="0.2">
      <c r="B13" t="s">
        <v>86</v>
      </c>
      <c r="C13" s="12">
        <v>10</v>
      </c>
      <c r="D13" s="8">
        <v>3.16</v>
      </c>
      <c r="E13" s="12">
        <v>1</v>
      </c>
      <c r="F13" s="8">
        <v>0.67</v>
      </c>
      <c r="G13" s="12">
        <v>9</v>
      </c>
      <c r="H13" s="8">
        <v>5.73</v>
      </c>
      <c r="I13" s="12">
        <v>0</v>
      </c>
    </row>
    <row r="14" spans="2:9" ht="15" customHeight="1" x14ac:dyDescent="0.2">
      <c r="B14" t="s">
        <v>87</v>
      </c>
      <c r="C14" s="12">
        <v>21</v>
      </c>
      <c r="D14" s="8">
        <v>6.65</v>
      </c>
      <c r="E14" s="12">
        <v>14</v>
      </c>
      <c r="F14" s="8">
        <v>9.33</v>
      </c>
      <c r="G14" s="12">
        <v>6</v>
      </c>
      <c r="H14" s="8">
        <v>3.82</v>
      </c>
      <c r="I14" s="12">
        <v>0</v>
      </c>
    </row>
    <row r="15" spans="2:9" ht="15" customHeight="1" x14ac:dyDescent="0.2">
      <c r="B15" t="s">
        <v>88</v>
      </c>
      <c r="C15" s="12">
        <v>42</v>
      </c>
      <c r="D15" s="8">
        <v>13.29</v>
      </c>
      <c r="E15" s="12">
        <v>28</v>
      </c>
      <c r="F15" s="8">
        <v>18.670000000000002</v>
      </c>
      <c r="G15" s="12">
        <v>13</v>
      </c>
      <c r="H15" s="8">
        <v>8.2799999999999994</v>
      </c>
      <c r="I15" s="12">
        <v>0</v>
      </c>
    </row>
    <row r="16" spans="2:9" ht="15" customHeight="1" x14ac:dyDescent="0.2">
      <c r="B16" t="s">
        <v>89</v>
      </c>
      <c r="C16" s="12">
        <v>40</v>
      </c>
      <c r="D16" s="8">
        <v>12.66</v>
      </c>
      <c r="E16" s="12">
        <v>32</v>
      </c>
      <c r="F16" s="8">
        <v>21.33</v>
      </c>
      <c r="G16" s="12">
        <v>8</v>
      </c>
      <c r="H16" s="8">
        <v>5.0999999999999996</v>
      </c>
      <c r="I16" s="12">
        <v>0</v>
      </c>
    </row>
    <row r="17" spans="2:9" ht="15" customHeight="1" x14ac:dyDescent="0.2">
      <c r="B17" t="s">
        <v>90</v>
      </c>
      <c r="C17" s="12">
        <v>11</v>
      </c>
      <c r="D17" s="8">
        <v>3.48</v>
      </c>
      <c r="E17" s="12">
        <v>4</v>
      </c>
      <c r="F17" s="8">
        <v>2.67</v>
      </c>
      <c r="G17" s="12">
        <v>4</v>
      </c>
      <c r="H17" s="8">
        <v>2.5499999999999998</v>
      </c>
      <c r="I17" s="12">
        <v>0</v>
      </c>
    </row>
    <row r="18" spans="2:9" ht="15" customHeight="1" x14ac:dyDescent="0.2">
      <c r="B18" t="s">
        <v>91</v>
      </c>
      <c r="C18" s="12">
        <v>13</v>
      </c>
      <c r="D18" s="8">
        <v>4.1100000000000003</v>
      </c>
      <c r="E18" s="12">
        <v>8</v>
      </c>
      <c r="F18" s="8">
        <v>5.33</v>
      </c>
      <c r="G18" s="12">
        <v>2</v>
      </c>
      <c r="H18" s="8">
        <v>1.27</v>
      </c>
      <c r="I18" s="12">
        <v>0</v>
      </c>
    </row>
    <row r="19" spans="2:9" ht="15" customHeight="1" x14ac:dyDescent="0.2">
      <c r="B19" t="s">
        <v>92</v>
      </c>
      <c r="C19" s="12">
        <v>11</v>
      </c>
      <c r="D19" s="8">
        <v>3.48</v>
      </c>
      <c r="E19" s="12">
        <v>3</v>
      </c>
      <c r="F19" s="8">
        <v>2</v>
      </c>
      <c r="G19" s="12">
        <v>7</v>
      </c>
      <c r="H19" s="8">
        <v>4.46</v>
      </c>
      <c r="I19" s="12">
        <v>1</v>
      </c>
    </row>
    <row r="20" spans="2:9" ht="15" customHeight="1" x14ac:dyDescent="0.2">
      <c r="B20" s="9" t="s">
        <v>363</v>
      </c>
      <c r="C20" s="12">
        <f>SUM(LTBL_20403[総数／事業所数])</f>
        <v>316</v>
      </c>
      <c r="E20" s="12">
        <f>SUBTOTAL(109,LTBL_20403[個人／事業所数])</f>
        <v>150</v>
      </c>
      <c r="G20" s="12">
        <f>SUBTOTAL(109,LTBL_20403[法人／事業所数])</f>
        <v>157</v>
      </c>
      <c r="I20" s="12">
        <f>SUBTOTAL(109,LTBL_20403[法人以外の団体／事業所数])</f>
        <v>1</v>
      </c>
    </row>
    <row r="21" spans="2:9" ht="15" customHeight="1" x14ac:dyDescent="0.2">
      <c r="E21" s="11">
        <f>LTBL_20403[[#Totals],[個人／事業所数]]/LTBL_20403[[#Totals],[総数／事業所数]]</f>
        <v>0.47468354430379744</v>
      </c>
      <c r="G21" s="11">
        <f>LTBL_20403[[#Totals],[法人／事業所数]]/LTBL_20403[[#Totals],[総数／事業所数]]</f>
        <v>0.49683544303797467</v>
      </c>
      <c r="I21" s="11">
        <f>LTBL_20403[[#Totals],[法人以外の団体／事業所数]]/LTBL_20403[[#Totals],[総数／事業所数]]</f>
        <v>3.1645569620253164E-3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38</v>
      </c>
      <c r="D24" s="8">
        <v>12.03</v>
      </c>
      <c r="E24" s="12">
        <v>28</v>
      </c>
      <c r="F24" s="8">
        <v>18.670000000000002</v>
      </c>
      <c r="G24" s="12">
        <v>10</v>
      </c>
      <c r="H24" s="8">
        <v>6.37</v>
      </c>
      <c r="I24" s="12">
        <v>0</v>
      </c>
    </row>
    <row r="25" spans="2:9" ht="15" customHeight="1" x14ac:dyDescent="0.2">
      <c r="B25" t="s">
        <v>116</v>
      </c>
      <c r="C25" s="12">
        <v>30</v>
      </c>
      <c r="D25" s="8">
        <v>9.49</v>
      </c>
      <c r="E25" s="12">
        <v>27</v>
      </c>
      <c r="F25" s="8">
        <v>18</v>
      </c>
      <c r="G25" s="12">
        <v>3</v>
      </c>
      <c r="H25" s="8">
        <v>1.91</v>
      </c>
      <c r="I25" s="12">
        <v>0</v>
      </c>
    </row>
    <row r="26" spans="2:9" ht="15" customHeight="1" x14ac:dyDescent="0.2">
      <c r="B26" t="s">
        <v>101</v>
      </c>
      <c r="C26" s="12">
        <v>27</v>
      </c>
      <c r="D26" s="8">
        <v>8.5399999999999991</v>
      </c>
      <c r="E26" s="12">
        <v>8</v>
      </c>
      <c r="F26" s="8">
        <v>5.33</v>
      </c>
      <c r="G26" s="12">
        <v>19</v>
      </c>
      <c r="H26" s="8">
        <v>12.1</v>
      </c>
      <c r="I26" s="12">
        <v>0</v>
      </c>
    </row>
    <row r="27" spans="2:9" ht="15" customHeight="1" x14ac:dyDescent="0.2">
      <c r="B27" t="s">
        <v>110</v>
      </c>
      <c r="C27" s="12">
        <v>20</v>
      </c>
      <c r="D27" s="8">
        <v>6.33</v>
      </c>
      <c r="E27" s="12">
        <v>5</v>
      </c>
      <c r="F27" s="8">
        <v>3.33</v>
      </c>
      <c r="G27" s="12">
        <v>15</v>
      </c>
      <c r="H27" s="8">
        <v>9.5500000000000007</v>
      </c>
      <c r="I27" s="12">
        <v>0</v>
      </c>
    </row>
    <row r="28" spans="2:9" ht="15" customHeight="1" x14ac:dyDescent="0.2">
      <c r="B28" t="s">
        <v>102</v>
      </c>
      <c r="C28" s="12">
        <v>16</v>
      </c>
      <c r="D28" s="8">
        <v>5.0599999999999996</v>
      </c>
      <c r="E28" s="12">
        <v>8</v>
      </c>
      <c r="F28" s="8">
        <v>5.33</v>
      </c>
      <c r="G28" s="12">
        <v>8</v>
      </c>
      <c r="H28" s="8">
        <v>5.0999999999999996</v>
      </c>
      <c r="I28" s="12">
        <v>0</v>
      </c>
    </row>
    <row r="29" spans="2:9" ht="15" customHeight="1" x14ac:dyDescent="0.2">
      <c r="B29" t="s">
        <v>109</v>
      </c>
      <c r="C29" s="12">
        <v>14</v>
      </c>
      <c r="D29" s="8">
        <v>4.43</v>
      </c>
      <c r="E29" s="12">
        <v>7</v>
      </c>
      <c r="F29" s="8">
        <v>4.67</v>
      </c>
      <c r="G29" s="12">
        <v>7</v>
      </c>
      <c r="H29" s="8">
        <v>4.46</v>
      </c>
      <c r="I29" s="12">
        <v>0</v>
      </c>
    </row>
    <row r="30" spans="2:9" ht="15" customHeight="1" x14ac:dyDescent="0.2">
      <c r="B30" t="s">
        <v>108</v>
      </c>
      <c r="C30" s="12">
        <v>11</v>
      </c>
      <c r="D30" s="8">
        <v>3.48</v>
      </c>
      <c r="E30" s="12">
        <v>6</v>
      </c>
      <c r="F30" s="8">
        <v>4</v>
      </c>
      <c r="G30" s="12">
        <v>5</v>
      </c>
      <c r="H30" s="8">
        <v>3.18</v>
      </c>
      <c r="I30" s="12">
        <v>0</v>
      </c>
    </row>
    <row r="31" spans="2:9" ht="15" customHeight="1" x14ac:dyDescent="0.2">
      <c r="B31" t="s">
        <v>113</v>
      </c>
      <c r="C31" s="12">
        <v>11</v>
      </c>
      <c r="D31" s="8">
        <v>3.48</v>
      </c>
      <c r="E31" s="12">
        <v>7</v>
      </c>
      <c r="F31" s="8">
        <v>4.67</v>
      </c>
      <c r="G31" s="12">
        <v>3</v>
      </c>
      <c r="H31" s="8">
        <v>1.91</v>
      </c>
      <c r="I31" s="12">
        <v>0</v>
      </c>
    </row>
    <row r="32" spans="2:9" ht="15" customHeight="1" x14ac:dyDescent="0.2">
      <c r="B32" t="s">
        <v>117</v>
      </c>
      <c r="C32" s="12">
        <v>11</v>
      </c>
      <c r="D32" s="8">
        <v>3.48</v>
      </c>
      <c r="E32" s="12">
        <v>4</v>
      </c>
      <c r="F32" s="8">
        <v>2.67</v>
      </c>
      <c r="G32" s="12">
        <v>4</v>
      </c>
      <c r="H32" s="8">
        <v>2.5499999999999998</v>
      </c>
      <c r="I32" s="12">
        <v>0</v>
      </c>
    </row>
    <row r="33" spans="2:9" ht="15" customHeight="1" x14ac:dyDescent="0.2">
      <c r="B33" t="s">
        <v>103</v>
      </c>
      <c r="C33" s="12">
        <v>10</v>
      </c>
      <c r="D33" s="8">
        <v>3.16</v>
      </c>
      <c r="E33" s="12">
        <v>4</v>
      </c>
      <c r="F33" s="8">
        <v>2.67</v>
      </c>
      <c r="G33" s="12">
        <v>6</v>
      </c>
      <c r="H33" s="8">
        <v>3.82</v>
      </c>
      <c r="I33" s="12">
        <v>0</v>
      </c>
    </row>
    <row r="34" spans="2:9" ht="15" customHeight="1" x14ac:dyDescent="0.2">
      <c r="B34" t="s">
        <v>112</v>
      </c>
      <c r="C34" s="12">
        <v>9</v>
      </c>
      <c r="D34" s="8">
        <v>2.85</v>
      </c>
      <c r="E34" s="12">
        <v>7</v>
      </c>
      <c r="F34" s="8">
        <v>4.67</v>
      </c>
      <c r="G34" s="12">
        <v>2</v>
      </c>
      <c r="H34" s="8">
        <v>1.27</v>
      </c>
      <c r="I34" s="12">
        <v>0</v>
      </c>
    </row>
    <row r="35" spans="2:9" ht="15" customHeight="1" x14ac:dyDescent="0.2">
      <c r="B35" t="s">
        <v>118</v>
      </c>
      <c r="C35" s="12">
        <v>9</v>
      </c>
      <c r="D35" s="8">
        <v>2.85</v>
      </c>
      <c r="E35" s="12">
        <v>8</v>
      </c>
      <c r="F35" s="8">
        <v>5.33</v>
      </c>
      <c r="G35" s="12">
        <v>1</v>
      </c>
      <c r="H35" s="8">
        <v>0.64</v>
      </c>
      <c r="I35" s="12">
        <v>0</v>
      </c>
    </row>
    <row r="36" spans="2:9" ht="15" customHeight="1" x14ac:dyDescent="0.2">
      <c r="B36" t="s">
        <v>104</v>
      </c>
      <c r="C36" s="12">
        <v>7</v>
      </c>
      <c r="D36" s="8">
        <v>2.2200000000000002</v>
      </c>
      <c r="E36" s="12">
        <v>1</v>
      </c>
      <c r="F36" s="8">
        <v>0.67</v>
      </c>
      <c r="G36" s="12">
        <v>6</v>
      </c>
      <c r="H36" s="8">
        <v>3.82</v>
      </c>
      <c r="I36" s="12">
        <v>0</v>
      </c>
    </row>
    <row r="37" spans="2:9" ht="15" customHeight="1" x14ac:dyDescent="0.2">
      <c r="B37" t="s">
        <v>111</v>
      </c>
      <c r="C37" s="12">
        <v>7</v>
      </c>
      <c r="D37" s="8">
        <v>2.2200000000000002</v>
      </c>
      <c r="E37" s="12">
        <v>1</v>
      </c>
      <c r="F37" s="8">
        <v>0.67</v>
      </c>
      <c r="G37" s="12">
        <v>6</v>
      </c>
      <c r="H37" s="8">
        <v>3.82</v>
      </c>
      <c r="I37" s="12">
        <v>0</v>
      </c>
    </row>
    <row r="38" spans="2:9" ht="15" customHeight="1" x14ac:dyDescent="0.2">
      <c r="B38" t="s">
        <v>126</v>
      </c>
      <c r="C38" s="12">
        <v>6</v>
      </c>
      <c r="D38" s="8">
        <v>1.9</v>
      </c>
      <c r="E38" s="12">
        <v>2</v>
      </c>
      <c r="F38" s="8">
        <v>1.33</v>
      </c>
      <c r="G38" s="12">
        <v>4</v>
      </c>
      <c r="H38" s="8">
        <v>2.5499999999999998</v>
      </c>
      <c r="I38" s="12">
        <v>0</v>
      </c>
    </row>
    <row r="39" spans="2:9" ht="15" customHeight="1" x14ac:dyDescent="0.2">
      <c r="B39" t="s">
        <v>124</v>
      </c>
      <c r="C39" s="12">
        <v>6</v>
      </c>
      <c r="D39" s="8">
        <v>1.9</v>
      </c>
      <c r="E39" s="12">
        <v>0</v>
      </c>
      <c r="F39" s="8">
        <v>0</v>
      </c>
      <c r="G39" s="12">
        <v>5</v>
      </c>
      <c r="H39" s="8">
        <v>3.18</v>
      </c>
      <c r="I39" s="12">
        <v>1</v>
      </c>
    </row>
    <row r="40" spans="2:9" ht="15" customHeight="1" x14ac:dyDescent="0.2">
      <c r="B40" t="s">
        <v>130</v>
      </c>
      <c r="C40" s="12">
        <v>5</v>
      </c>
      <c r="D40" s="8">
        <v>1.58</v>
      </c>
      <c r="E40" s="12">
        <v>3</v>
      </c>
      <c r="F40" s="8">
        <v>2</v>
      </c>
      <c r="G40" s="12">
        <v>2</v>
      </c>
      <c r="H40" s="8">
        <v>1.27</v>
      </c>
      <c r="I40" s="12">
        <v>0</v>
      </c>
    </row>
    <row r="41" spans="2:9" ht="15" customHeight="1" x14ac:dyDescent="0.2">
      <c r="B41" t="s">
        <v>107</v>
      </c>
      <c r="C41" s="12">
        <v>5</v>
      </c>
      <c r="D41" s="8">
        <v>1.58</v>
      </c>
      <c r="E41" s="12">
        <v>1</v>
      </c>
      <c r="F41" s="8">
        <v>0.67</v>
      </c>
      <c r="G41" s="12">
        <v>4</v>
      </c>
      <c r="H41" s="8">
        <v>2.5499999999999998</v>
      </c>
      <c r="I41" s="12">
        <v>0</v>
      </c>
    </row>
    <row r="42" spans="2:9" ht="15" customHeight="1" x14ac:dyDescent="0.2">
      <c r="B42" t="s">
        <v>131</v>
      </c>
      <c r="C42" s="12">
        <v>5</v>
      </c>
      <c r="D42" s="8">
        <v>1.58</v>
      </c>
      <c r="E42" s="12">
        <v>4</v>
      </c>
      <c r="F42" s="8">
        <v>2.67</v>
      </c>
      <c r="G42" s="12">
        <v>1</v>
      </c>
      <c r="H42" s="8">
        <v>0.64</v>
      </c>
      <c r="I42" s="12">
        <v>0</v>
      </c>
    </row>
    <row r="43" spans="2:9" ht="15" customHeight="1" x14ac:dyDescent="0.2">
      <c r="B43" t="s">
        <v>132</v>
      </c>
      <c r="C43" s="12">
        <v>5</v>
      </c>
      <c r="D43" s="8">
        <v>1.58</v>
      </c>
      <c r="E43" s="12">
        <v>1</v>
      </c>
      <c r="F43" s="8">
        <v>0.67</v>
      </c>
      <c r="G43" s="12">
        <v>4</v>
      </c>
      <c r="H43" s="8">
        <v>2.5499999999999998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191</v>
      </c>
      <c r="C47" s="12">
        <v>17</v>
      </c>
      <c r="D47" s="8">
        <v>5.38</v>
      </c>
      <c r="E47" s="12">
        <v>16</v>
      </c>
      <c r="F47" s="8">
        <v>10.67</v>
      </c>
      <c r="G47" s="12">
        <v>1</v>
      </c>
      <c r="H47" s="8">
        <v>0.64</v>
      </c>
      <c r="I47" s="12">
        <v>0</v>
      </c>
    </row>
    <row r="48" spans="2:9" ht="15" customHeight="1" x14ac:dyDescent="0.2">
      <c r="B48" t="s">
        <v>187</v>
      </c>
      <c r="C48" s="12">
        <v>14</v>
      </c>
      <c r="D48" s="8">
        <v>4.43</v>
      </c>
      <c r="E48" s="12">
        <v>9</v>
      </c>
      <c r="F48" s="8">
        <v>6</v>
      </c>
      <c r="G48" s="12">
        <v>5</v>
      </c>
      <c r="H48" s="8">
        <v>3.18</v>
      </c>
      <c r="I48" s="12">
        <v>0</v>
      </c>
    </row>
    <row r="49" spans="2:9" ht="15" customHeight="1" x14ac:dyDescent="0.2">
      <c r="B49" t="s">
        <v>180</v>
      </c>
      <c r="C49" s="12">
        <v>10</v>
      </c>
      <c r="D49" s="8">
        <v>3.16</v>
      </c>
      <c r="E49" s="12">
        <v>4</v>
      </c>
      <c r="F49" s="8">
        <v>2.67</v>
      </c>
      <c r="G49" s="12">
        <v>6</v>
      </c>
      <c r="H49" s="8">
        <v>3.82</v>
      </c>
      <c r="I49" s="12">
        <v>0</v>
      </c>
    </row>
    <row r="50" spans="2:9" ht="15" customHeight="1" x14ac:dyDescent="0.2">
      <c r="B50" t="s">
        <v>174</v>
      </c>
      <c r="C50" s="12">
        <v>8</v>
      </c>
      <c r="D50" s="8">
        <v>2.5299999999999998</v>
      </c>
      <c r="E50" s="12">
        <v>2</v>
      </c>
      <c r="F50" s="8">
        <v>1.33</v>
      </c>
      <c r="G50" s="12">
        <v>6</v>
      </c>
      <c r="H50" s="8">
        <v>3.82</v>
      </c>
      <c r="I50" s="12">
        <v>0</v>
      </c>
    </row>
    <row r="51" spans="2:9" ht="15" customHeight="1" x14ac:dyDescent="0.2">
      <c r="B51" t="s">
        <v>176</v>
      </c>
      <c r="C51" s="12">
        <v>8</v>
      </c>
      <c r="D51" s="8">
        <v>2.5299999999999998</v>
      </c>
      <c r="E51" s="12">
        <v>2</v>
      </c>
      <c r="F51" s="8">
        <v>1.33</v>
      </c>
      <c r="G51" s="12">
        <v>6</v>
      </c>
      <c r="H51" s="8">
        <v>3.82</v>
      </c>
      <c r="I51" s="12">
        <v>0</v>
      </c>
    </row>
    <row r="52" spans="2:9" ht="15" customHeight="1" x14ac:dyDescent="0.2">
      <c r="B52" t="s">
        <v>188</v>
      </c>
      <c r="C52" s="12">
        <v>8</v>
      </c>
      <c r="D52" s="8">
        <v>2.5299999999999998</v>
      </c>
      <c r="E52" s="12">
        <v>7</v>
      </c>
      <c r="F52" s="8">
        <v>4.67</v>
      </c>
      <c r="G52" s="12">
        <v>1</v>
      </c>
      <c r="H52" s="8">
        <v>0.64</v>
      </c>
      <c r="I52" s="12">
        <v>0</v>
      </c>
    </row>
    <row r="53" spans="2:9" ht="15" customHeight="1" x14ac:dyDescent="0.2">
      <c r="B53" t="s">
        <v>193</v>
      </c>
      <c r="C53" s="12">
        <v>8</v>
      </c>
      <c r="D53" s="8">
        <v>2.5299999999999998</v>
      </c>
      <c r="E53" s="12">
        <v>7</v>
      </c>
      <c r="F53" s="8">
        <v>4.67</v>
      </c>
      <c r="G53" s="12">
        <v>1</v>
      </c>
      <c r="H53" s="8">
        <v>0.64</v>
      </c>
      <c r="I53" s="12">
        <v>0</v>
      </c>
    </row>
    <row r="54" spans="2:9" ht="15" customHeight="1" x14ac:dyDescent="0.2">
      <c r="B54" t="s">
        <v>175</v>
      </c>
      <c r="C54" s="12">
        <v>7</v>
      </c>
      <c r="D54" s="8">
        <v>2.2200000000000002</v>
      </c>
      <c r="E54" s="12">
        <v>0</v>
      </c>
      <c r="F54" s="8">
        <v>0</v>
      </c>
      <c r="G54" s="12">
        <v>7</v>
      </c>
      <c r="H54" s="8">
        <v>4.46</v>
      </c>
      <c r="I54" s="12">
        <v>0</v>
      </c>
    </row>
    <row r="55" spans="2:9" ht="15" customHeight="1" x14ac:dyDescent="0.2">
      <c r="B55" t="s">
        <v>178</v>
      </c>
      <c r="C55" s="12">
        <v>6</v>
      </c>
      <c r="D55" s="8">
        <v>1.9</v>
      </c>
      <c r="E55" s="12">
        <v>2</v>
      </c>
      <c r="F55" s="8">
        <v>1.33</v>
      </c>
      <c r="G55" s="12">
        <v>4</v>
      </c>
      <c r="H55" s="8">
        <v>2.5499999999999998</v>
      </c>
      <c r="I55" s="12">
        <v>0</v>
      </c>
    </row>
    <row r="56" spans="2:9" ht="15" customHeight="1" x14ac:dyDescent="0.2">
      <c r="B56" t="s">
        <v>181</v>
      </c>
      <c r="C56" s="12">
        <v>6</v>
      </c>
      <c r="D56" s="8">
        <v>1.9</v>
      </c>
      <c r="E56" s="12">
        <v>3</v>
      </c>
      <c r="F56" s="8">
        <v>2</v>
      </c>
      <c r="G56" s="12">
        <v>3</v>
      </c>
      <c r="H56" s="8">
        <v>1.91</v>
      </c>
      <c r="I56" s="12">
        <v>0</v>
      </c>
    </row>
    <row r="57" spans="2:9" ht="15" customHeight="1" x14ac:dyDescent="0.2">
      <c r="B57" t="s">
        <v>184</v>
      </c>
      <c r="C57" s="12">
        <v>6</v>
      </c>
      <c r="D57" s="8">
        <v>1.9</v>
      </c>
      <c r="E57" s="12">
        <v>4</v>
      </c>
      <c r="F57" s="8">
        <v>2.67</v>
      </c>
      <c r="G57" s="12">
        <v>2</v>
      </c>
      <c r="H57" s="8">
        <v>1.27</v>
      </c>
      <c r="I57" s="12">
        <v>0</v>
      </c>
    </row>
    <row r="58" spans="2:9" ht="15" customHeight="1" x14ac:dyDescent="0.2">
      <c r="B58" t="s">
        <v>199</v>
      </c>
      <c r="C58" s="12">
        <v>6</v>
      </c>
      <c r="D58" s="8">
        <v>1.9</v>
      </c>
      <c r="E58" s="12">
        <v>4</v>
      </c>
      <c r="F58" s="8">
        <v>2.67</v>
      </c>
      <c r="G58" s="12">
        <v>2</v>
      </c>
      <c r="H58" s="8">
        <v>1.27</v>
      </c>
      <c r="I58" s="12">
        <v>0</v>
      </c>
    </row>
    <row r="59" spans="2:9" ht="15" customHeight="1" x14ac:dyDescent="0.2">
      <c r="B59" t="s">
        <v>190</v>
      </c>
      <c r="C59" s="12">
        <v>6</v>
      </c>
      <c r="D59" s="8">
        <v>1.9</v>
      </c>
      <c r="E59" s="12">
        <v>6</v>
      </c>
      <c r="F59" s="8">
        <v>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259</v>
      </c>
      <c r="C60" s="12">
        <v>6</v>
      </c>
      <c r="D60" s="8">
        <v>1.9</v>
      </c>
      <c r="E60" s="12">
        <v>0</v>
      </c>
      <c r="F60" s="8">
        <v>0</v>
      </c>
      <c r="G60" s="12">
        <v>5</v>
      </c>
      <c r="H60" s="8">
        <v>3.18</v>
      </c>
      <c r="I60" s="12">
        <v>1</v>
      </c>
    </row>
    <row r="61" spans="2:9" ht="15" customHeight="1" x14ac:dyDescent="0.2">
      <c r="B61" t="s">
        <v>286</v>
      </c>
      <c r="C61" s="12">
        <v>5</v>
      </c>
      <c r="D61" s="8">
        <v>1.58</v>
      </c>
      <c r="E61" s="12">
        <v>2</v>
      </c>
      <c r="F61" s="8">
        <v>1.33</v>
      </c>
      <c r="G61" s="12">
        <v>3</v>
      </c>
      <c r="H61" s="8">
        <v>1.91</v>
      </c>
      <c r="I61" s="12">
        <v>0</v>
      </c>
    </row>
    <row r="62" spans="2:9" ht="15" customHeight="1" x14ac:dyDescent="0.2">
      <c r="B62" t="s">
        <v>202</v>
      </c>
      <c r="C62" s="12">
        <v>5</v>
      </c>
      <c r="D62" s="8">
        <v>1.58</v>
      </c>
      <c r="E62" s="12">
        <v>2</v>
      </c>
      <c r="F62" s="8">
        <v>1.33</v>
      </c>
      <c r="G62" s="12">
        <v>3</v>
      </c>
      <c r="H62" s="8">
        <v>1.91</v>
      </c>
      <c r="I62" s="12">
        <v>0</v>
      </c>
    </row>
    <row r="63" spans="2:9" ht="15" customHeight="1" x14ac:dyDescent="0.2">
      <c r="B63" t="s">
        <v>189</v>
      </c>
      <c r="C63" s="12">
        <v>5</v>
      </c>
      <c r="D63" s="8">
        <v>1.58</v>
      </c>
      <c r="E63" s="12">
        <v>4</v>
      </c>
      <c r="F63" s="8">
        <v>2.67</v>
      </c>
      <c r="G63" s="12">
        <v>1</v>
      </c>
      <c r="H63" s="8">
        <v>0.64</v>
      </c>
      <c r="I63" s="12">
        <v>0</v>
      </c>
    </row>
    <row r="64" spans="2:9" ht="15" customHeight="1" x14ac:dyDescent="0.2">
      <c r="B64" t="s">
        <v>281</v>
      </c>
      <c r="C64" s="12">
        <v>4</v>
      </c>
      <c r="D64" s="8">
        <v>1.27</v>
      </c>
      <c r="E64" s="12">
        <v>0</v>
      </c>
      <c r="F64" s="8">
        <v>0</v>
      </c>
      <c r="G64" s="12">
        <v>4</v>
      </c>
      <c r="H64" s="8">
        <v>2.5499999999999998</v>
      </c>
      <c r="I64" s="12">
        <v>0</v>
      </c>
    </row>
    <row r="65" spans="2:9" ht="15" customHeight="1" x14ac:dyDescent="0.2">
      <c r="B65" t="s">
        <v>196</v>
      </c>
      <c r="C65" s="12">
        <v>4</v>
      </c>
      <c r="D65" s="8">
        <v>1.27</v>
      </c>
      <c r="E65" s="12">
        <v>1</v>
      </c>
      <c r="F65" s="8">
        <v>0.67</v>
      </c>
      <c r="G65" s="12">
        <v>3</v>
      </c>
      <c r="H65" s="8">
        <v>1.91</v>
      </c>
      <c r="I65" s="12">
        <v>0</v>
      </c>
    </row>
    <row r="66" spans="2:9" ht="15" customHeight="1" x14ac:dyDescent="0.2">
      <c r="B66" t="s">
        <v>179</v>
      </c>
      <c r="C66" s="12">
        <v>4</v>
      </c>
      <c r="D66" s="8">
        <v>1.27</v>
      </c>
      <c r="E66" s="12">
        <v>3</v>
      </c>
      <c r="F66" s="8">
        <v>2</v>
      </c>
      <c r="G66" s="12">
        <v>1</v>
      </c>
      <c r="H66" s="8">
        <v>0.64</v>
      </c>
      <c r="I66" s="12">
        <v>0</v>
      </c>
    </row>
    <row r="67" spans="2:9" ht="15" customHeight="1" x14ac:dyDescent="0.2">
      <c r="B67" t="s">
        <v>205</v>
      </c>
      <c r="C67" s="12">
        <v>4</v>
      </c>
      <c r="D67" s="8">
        <v>1.27</v>
      </c>
      <c r="E67" s="12">
        <v>3</v>
      </c>
      <c r="F67" s="8">
        <v>2</v>
      </c>
      <c r="G67" s="12">
        <v>1</v>
      </c>
      <c r="H67" s="8">
        <v>0.64</v>
      </c>
      <c r="I67" s="12">
        <v>0</v>
      </c>
    </row>
    <row r="68" spans="2:9" ht="15" customHeight="1" x14ac:dyDescent="0.2">
      <c r="B68" t="s">
        <v>194</v>
      </c>
      <c r="C68" s="12">
        <v>4</v>
      </c>
      <c r="D68" s="8">
        <v>1.27</v>
      </c>
      <c r="E68" s="12">
        <v>1</v>
      </c>
      <c r="F68" s="8">
        <v>0.67</v>
      </c>
      <c r="G68" s="12">
        <v>3</v>
      </c>
      <c r="H68" s="8">
        <v>1.91</v>
      </c>
      <c r="I68" s="12">
        <v>0</v>
      </c>
    </row>
    <row r="69" spans="2:9" ht="15" customHeight="1" x14ac:dyDescent="0.2">
      <c r="B69" t="s">
        <v>216</v>
      </c>
      <c r="C69" s="12">
        <v>4</v>
      </c>
      <c r="D69" s="8">
        <v>1.27</v>
      </c>
      <c r="E69" s="12">
        <v>0</v>
      </c>
      <c r="F69" s="8">
        <v>0</v>
      </c>
      <c r="G69" s="12">
        <v>4</v>
      </c>
      <c r="H69" s="8">
        <v>2.5499999999999998</v>
      </c>
      <c r="I69" s="12">
        <v>0</v>
      </c>
    </row>
    <row r="70" spans="2:9" ht="15" customHeight="1" x14ac:dyDescent="0.2">
      <c r="B70" t="s">
        <v>212</v>
      </c>
      <c r="C70" s="12">
        <v>4</v>
      </c>
      <c r="D70" s="8">
        <v>1.27</v>
      </c>
      <c r="E70" s="12">
        <v>1</v>
      </c>
      <c r="F70" s="8">
        <v>0.67</v>
      </c>
      <c r="G70" s="12">
        <v>3</v>
      </c>
      <c r="H70" s="8">
        <v>1.91</v>
      </c>
      <c r="I70" s="12">
        <v>0</v>
      </c>
    </row>
    <row r="71" spans="2:9" ht="15" customHeight="1" x14ac:dyDescent="0.2">
      <c r="B71" t="s">
        <v>280</v>
      </c>
      <c r="C71" s="12">
        <v>4</v>
      </c>
      <c r="D71" s="8">
        <v>1.27</v>
      </c>
      <c r="E71" s="12">
        <v>4</v>
      </c>
      <c r="F71" s="8">
        <v>2.67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229</v>
      </c>
      <c r="C72" s="12">
        <v>4</v>
      </c>
      <c r="D72" s="8">
        <v>1.27</v>
      </c>
      <c r="E72" s="12">
        <v>1</v>
      </c>
      <c r="F72" s="8">
        <v>0.67</v>
      </c>
      <c r="G72" s="12">
        <v>3</v>
      </c>
      <c r="H72" s="8">
        <v>1.91</v>
      </c>
      <c r="I72" s="12">
        <v>0</v>
      </c>
    </row>
    <row r="73" spans="2:9" ht="15" customHeight="1" x14ac:dyDescent="0.2">
      <c r="B73" t="s">
        <v>209</v>
      </c>
      <c r="C73" s="12">
        <v>4</v>
      </c>
      <c r="D73" s="8">
        <v>1.27</v>
      </c>
      <c r="E73" s="12">
        <v>2</v>
      </c>
      <c r="F73" s="8">
        <v>1.33</v>
      </c>
      <c r="G73" s="12">
        <v>2</v>
      </c>
      <c r="H73" s="8">
        <v>1.27</v>
      </c>
      <c r="I73" s="12">
        <v>0</v>
      </c>
    </row>
    <row r="75" spans="2:9" ht="15" customHeight="1" x14ac:dyDescent="0.2">
      <c r="B75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52E5C-FB22-4AF0-9B51-2EA9059F01CE}">
  <sheetPr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408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2</v>
      </c>
      <c r="D5" s="8">
        <v>1.35</v>
      </c>
      <c r="E5" s="12">
        <v>0</v>
      </c>
      <c r="F5" s="8">
        <v>0</v>
      </c>
      <c r="G5" s="12">
        <v>2</v>
      </c>
      <c r="H5" s="8">
        <v>4.3499999999999996</v>
      </c>
      <c r="I5" s="12">
        <v>0</v>
      </c>
    </row>
    <row r="6" spans="2:9" ht="15" customHeight="1" x14ac:dyDescent="0.2">
      <c r="B6" t="s">
        <v>79</v>
      </c>
      <c r="C6" s="12">
        <v>50</v>
      </c>
      <c r="D6" s="8">
        <v>33.78</v>
      </c>
      <c r="E6" s="12">
        <v>29</v>
      </c>
      <c r="F6" s="8">
        <v>29.59</v>
      </c>
      <c r="G6" s="12">
        <v>21</v>
      </c>
      <c r="H6" s="8">
        <v>45.65</v>
      </c>
      <c r="I6" s="12">
        <v>0</v>
      </c>
    </row>
    <row r="7" spans="2:9" ht="15" customHeight="1" x14ac:dyDescent="0.2">
      <c r="B7" t="s">
        <v>80</v>
      </c>
      <c r="C7" s="12">
        <v>7</v>
      </c>
      <c r="D7" s="8">
        <v>4.7300000000000004</v>
      </c>
      <c r="E7" s="12">
        <v>5</v>
      </c>
      <c r="F7" s="8">
        <v>5.0999999999999996</v>
      </c>
      <c r="G7" s="12">
        <v>2</v>
      </c>
      <c r="H7" s="8">
        <v>4.3499999999999996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0.68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84</v>
      </c>
      <c r="C11" s="12">
        <v>38</v>
      </c>
      <c r="D11" s="8">
        <v>25.68</v>
      </c>
      <c r="E11" s="12">
        <v>26</v>
      </c>
      <c r="F11" s="8">
        <v>26.53</v>
      </c>
      <c r="G11" s="12">
        <v>12</v>
      </c>
      <c r="H11" s="8">
        <v>26.09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1</v>
      </c>
      <c r="D13" s="8">
        <v>0.68</v>
      </c>
      <c r="E13" s="12">
        <v>0</v>
      </c>
      <c r="F13" s="8">
        <v>0</v>
      </c>
      <c r="G13" s="12">
        <v>1</v>
      </c>
      <c r="H13" s="8">
        <v>2.17</v>
      </c>
      <c r="I13" s="12">
        <v>0</v>
      </c>
    </row>
    <row r="14" spans="2:9" ht="15" customHeight="1" x14ac:dyDescent="0.2">
      <c r="B14" t="s">
        <v>87</v>
      </c>
      <c r="C14" s="12">
        <v>6</v>
      </c>
      <c r="D14" s="8">
        <v>4.05</v>
      </c>
      <c r="E14" s="12">
        <v>4</v>
      </c>
      <c r="F14" s="8">
        <v>4.08</v>
      </c>
      <c r="G14" s="12">
        <v>1</v>
      </c>
      <c r="H14" s="8">
        <v>2.17</v>
      </c>
      <c r="I14" s="12">
        <v>0</v>
      </c>
    </row>
    <row r="15" spans="2:9" ht="15" customHeight="1" x14ac:dyDescent="0.2">
      <c r="B15" t="s">
        <v>88</v>
      </c>
      <c r="C15" s="12">
        <v>15</v>
      </c>
      <c r="D15" s="8">
        <v>10.14</v>
      </c>
      <c r="E15" s="12">
        <v>12</v>
      </c>
      <c r="F15" s="8">
        <v>12.24</v>
      </c>
      <c r="G15" s="12">
        <v>2</v>
      </c>
      <c r="H15" s="8">
        <v>4.3499999999999996</v>
      </c>
      <c r="I15" s="12">
        <v>1</v>
      </c>
    </row>
    <row r="16" spans="2:9" ht="15" customHeight="1" x14ac:dyDescent="0.2">
      <c r="B16" t="s">
        <v>89</v>
      </c>
      <c r="C16" s="12">
        <v>13</v>
      </c>
      <c r="D16" s="8">
        <v>8.7799999999999994</v>
      </c>
      <c r="E16" s="12">
        <v>11</v>
      </c>
      <c r="F16" s="8">
        <v>11.22</v>
      </c>
      <c r="G16" s="12">
        <v>1</v>
      </c>
      <c r="H16" s="8">
        <v>2.17</v>
      </c>
      <c r="I16" s="12">
        <v>0</v>
      </c>
    </row>
    <row r="17" spans="2:9" ht="15" customHeight="1" x14ac:dyDescent="0.2">
      <c r="B17" t="s">
        <v>90</v>
      </c>
      <c r="C17" s="12">
        <v>3</v>
      </c>
      <c r="D17" s="8">
        <v>2.0299999999999998</v>
      </c>
      <c r="E17" s="12">
        <v>3</v>
      </c>
      <c r="F17" s="8">
        <v>3.06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6</v>
      </c>
      <c r="D18" s="8">
        <v>4.05</v>
      </c>
      <c r="E18" s="12">
        <v>3</v>
      </c>
      <c r="F18" s="8">
        <v>3.06</v>
      </c>
      <c r="G18" s="12">
        <v>3</v>
      </c>
      <c r="H18" s="8">
        <v>6.52</v>
      </c>
      <c r="I18" s="12">
        <v>0</v>
      </c>
    </row>
    <row r="19" spans="2:9" ht="15" customHeight="1" x14ac:dyDescent="0.2">
      <c r="B19" t="s">
        <v>92</v>
      </c>
      <c r="C19" s="12">
        <v>6</v>
      </c>
      <c r="D19" s="8">
        <v>4.05</v>
      </c>
      <c r="E19" s="12">
        <v>5</v>
      </c>
      <c r="F19" s="8">
        <v>5.0999999999999996</v>
      </c>
      <c r="G19" s="12">
        <v>1</v>
      </c>
      <c r="H19" s="8">
        <v>2.17</v>
      </c>
      <c r="I19" s="12">
        <v>0</v>
      </c>
    </row>
    <row r="20" spans="2:9" ht="15" customHeight="1" x14ac:dyDescent="0.2">
      <c r="B20" s="9" t="s">
        <v>363</v>
      </c>
      <c r="C20" s="12">
        <f>SUM(LTBL_20404[総数／事業所数])</f>
        <v>148</v>
      </c>
      <c r="E20" s="12">
        <f>SUBTOTAL(109,LTBL_20404[個人／事業所数])</f>
        <v>98</v>
      </c>
      <c r="G20" s="12">
        <f>SUBTOTAL(109,LTBL_20404[法人／事業所数])</f>
        <v>46</v>
      </c>
      <c r="I20" s="12">
        <f>SUBTOTAL(109,LTBL_20404[法人以外の団体／事業所数])</f>
        <v>1</v>
      </c>
    </row>
    <row r="21" spans="2:9" ht="15" customHeight="1" x14ac:dyDescent="0.2">
      <c r="E21" s="11">
        <f>LTBL_20404[[#Totals],[個人／事業所数]]/LTBL_20404[[#Totals],[総数／事業所数]]</f>
        <v>0.66216216216216217</v>
      </c>
      <c r="G21" s="11">
        <f>LTBL_20404[[#Totals],[法人／事業所数]]/LTBL_20404[[#Totals],[総数／事業所数]]</f>
        <v>0.3108108108108108</v>
      </c>
      <c r="I21" s="11">
        <f>LTBL_20404[[#Totals],[法人以外の団体／事業所数]]/LTBL_20404[[#Totals],[総数／事業所数]]</f>
        <v>6.7567567567567571E-3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101</v>
      </c>
      <c r="C24" s="12">
        <v>27</v>
      </c>
      <c r="D24" s="8">
        <v>18.239999999999998</v>
      </c>
      <c r="E24" s="12">
        <v>10</v>
      </c>
      <c r="F24" s="8">
        <v>10.199999999999999</v>
      </c>
      <c r="G24" s="12">
        <v>17</v>
      </c>
      <c r="H24" s="8">
        <v>36.96</v>
      </c>
      <c r="I24" s="12">
        <v>0</v>
      </c>
    </row>
    <row r="25" spans="2:9" ht="15" customHeight="1" x14ac:dyDescent="0.2">
      <c r="B25" t="s">
        <v>102</v>
      </c>
      <c r="C25" s="12">
        <v>16</v>
      </c>
      <c r="D25" s="8">
        <v>10.81</v>
      </c>
      <c r="E25" s="12">
        <v>13</v>
      </c>
      <c r="F25" s="8">
        <v>13.27</v>
      </c>
      <c r="G25" s="12">
        <v>3</v>
      </c>
      <c r="H25" s="8">
        <v>6.52</v>
      </c>
      <c r="I25" s="12">
        <v>0</v>
      </c>
    </row>
    <row r="26" spans="2:9" ht="15" customHeight="1" x14ac:dyDescent="0.2">
      <c r="B26" t="s">
        <v>110</v>
      </c>
      <c r="C26" s="12">
        <v>13</v>
      </c>
      <c r="D26" s="8">
        <v>8.7799999999999994</v>
      </c>
      <c r="E26" s="12">
        <v>8</v>
      </c>
      <c r="F26" s="8">
        <v>8.16</v>
      </c>
      <c r="G26" s="12">
        <v>5</v>
      </c>
      <c r="H26" s="8">
        <v>10.87</v>
      </c>
      <c r="I26" s="12">
        <v>0</v>
      </c>
    </row>
    <row r="27" spans="2:9" ht="15" customHeight="1" x14ac:dyDescent="0.2">
      <c r="B27" t="s">
        <v>115</v>
      </c>
      <c r="C27" s="12">
        <v>11</v>
      </c>
      <c r="D27" s="8">
        <v>7.43</v>
      </c>
      <c r="E27" s="12">
        <v>10</v>
      </c>
      <c r="F27" s="8">
        <v>10.199999999999999</v>
      </c>
      <c r="G27" s="12">
        <v>1</v>
      </c>
      <c r="H27" s="8">
        <v>2.17</v>
      </c>
      <c r="I27" s="12">
        <v>0</v>
      </c>
    </row>
    <row r="28" spans="2:9" ht="15" customHeight="1" x14ac:dyDescent="0.2">
      <c r="B28" t="s">
        <v>116</v>
      </c>
      <c r="C28" s="12">
        <v>11</v>
      </c>
      <c r="D28" s="8">
        <v>7.43</v>
      </c>
      <c r="E28" s="12">
        <v>11</v>
      </c>
      <c r="F28" s="8">
        <v>11.22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108</v>
      </c>
      <c r="C29" s="12">
        <v>9</v>
      </c>
      <c r="D29" s="8">
        <v>6.08</v>
      </c>
      <c r="E29" s="12">
        <v>8</v>
      </c>
      <c r="F29" s="8">
        <v>8.16</v>
      </c>
      <c r="G29" s="12">
        <v>1</v>
      </c>
      <c r="H29" s="8">
        <v>2.17</v>
      </c>
      <c r="I29" s="12">
        <v>0</v>
      </c>
    </row>
    <row r="30" spans="2:9" ht="15" customHeight="1" x14ac:dyDescent="0.2">
      <c r="B30" t="s">
        <v>103</v>
      </c>
      <c r="C30" s="12">
        <v>7</v>
      </c>
      <c r="D30" s="8">
        <v>4.7300000000000004</v>
      </c>
      <c r="E30" s="12">
        <v>6</v>
      </c>
      <c r="F30" s="8">
        <v>6.12</v>
      </c>
      <c r="G30" s="12">
        <v>1</v>
      </c>
      <c r="H30" s="8">
        <v>2.17</v>
      </c>
      <c r="I30" s="12">
        <v>0</v>
      </c>
    </row>
    <row r="31" spans="2:9" ht="15" customHeight="1" x14ac:dyDescent="0.2">
      <c r="B31" t="s">
        <v>109</v>
      </c>
      <c r="C31" s="12">
        <v>5</v>
      </c>
      <c r="D31" s="8">
        <v>3.38</v>
      </c>
      <c r="E31" s="12">
        <v>3</v>
      </c>
      <c r="F31" s="8">
        <v>3.06</v>
      </c>
      <c r="G31" s="12">
        <v>2</v>
      </c>
      <c r="H31" s="8">
        <v>4.3499999999999996</v>
      </c>
      <c r="I31" s="12">
        <v>0</v>
      </c>
    </row>
    <row r="32" spans="2:9" ht="15" customHeight="1" x14ac:dyDescent="0.2">
      <c r="B32" t="s">
        <v>107</v>
      </c>
      <c r="C32" s="12">
        <v>4</v>
      </c>
      <c r="D32" s="8">
        <v>2.7</v>
      </c>
      <c r="E32" s="12">
        <v>2</v>
      </c>
      <c r="F32" s="8">
        <v>2.04</v>
      </c>
      <c r="G32" s="12">
        <v>2</v>
      </c>
      <c r="H32" s="8">
        <v>4.3499999999999996</v>
      </c>
      <c r="I32" s="12">
        <v>0</v>
      </c>
    </row>
    <row r="33" spans="2:9" ht="15" customHeight="1" x14ac:dyDescent="0.2">
      <c r="B33" t="s">
        <v>113</v>
      </c>
      <c r="C33" s="12">
        <v>4</v>
      </c>
      <c r="D33" s="8">
        <v>2.7</v>
      </c>
      <c r="E33" s="12">
        <v>2</v>
      </c>
      <c r="F33" s="8">
        <v>2.04</v>
      </c>
      <c r="G33" s="12">
        <v>1</v>
      </c>
      <c r="H33" s="8">
        <v>2.17</v>
      </c>
      <c r="I33" s="12">
        <v>0</v>
      </c>
    </row>
    <row r="34" spans="2:9" ht="15" customHeight="1" x14ac:dyDescent="0.2">
      <c r="B34" t="s">
        <v>121</v>
      </c>
      <c r="C34" s="12">
        <v>3</v>
      </c>
      <c r="D34" s="8">
        <v>2.0299999999999998</v>
      </c>
      <c r="E34" s="12">
        <v>1</v>
      </c>
      <c r="F34" s="8">
        <v>1.02</v>
      </c>
      <c r="G34" s="12">
        <v>2</v>
      </c>
      <c r="H34" s="8">
        <v>4.3499999999999996</v>
      </c>
      <c r="I34" s="12">
        <v>0</v>
      </c>
    </row>
    <row r="35" spans="2:9" ht="15" customHeight="1" x14ac:dyDescent="0.2">
      <c r="B35" t="s">
        <v>133</v>
      </c>
      <c r="C35" s="12">
        <v>3</v>
      </c>
      <c r="D35" s="8">
        <v>2.0299999999999998</v>
      </c>
      <c r="E35" s="12">
        <v>3</v>
      </c>
      <c r="F35" s="8">
        <v>3.06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114</v>
      </c>
      <c r="C36" s="12">
        <v>3</v>
      </c>
      <c r="D36" s="8">
        <v>2.0299999999999998</v>
      </c>
      <c r="E36" s="12">
        <v>2</v>
      </c>
      <c r="F36" s="8">
        <v>2.04</v>
      </c>
      <c r="G36" s="12">
        <v>0</v>
      </c>
      <c r="H36" s="8">
        <v>0</v>
      </c>
      <c r="I36" s="12">
        <v>1</v>
      </c>
    </row>
    <row r="37" spans="2:9" ht="15" customHeight="1" x14ac:dyDescent="0.2">
      <c r="B37" t="s">
        <v>117</v>
      </c>
      <c r="C37" s="12">
        <v>3</v>
      </c>
      <c r="D37" s="8">
        <v>2.0299999999999998</v>
      </c>
      <c r="E37" s="12">
        <v>3</v>
      </c>
      <c r="F37" s="8">
        <v>3.06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118</v>
      </c>
      <c r="C38" s="12">
        <v>3</v>
      </c>
      <c r="D38" s="8">
        <v>2.0299999999999998</v>
      </c>
      <c r="E38" s="12">
        <v>3</v>
      </c>
      <c r="F38" s="8">
        <v>3.06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119</v>
      </c>
      <c r="C39" s="12">
        <v>3</v>
      </c>
      <c r="D39" s="8">
        <v>2.0299999999999998</v>
      </c>
      <c r="E39" s="12">
        <v>0</v>
      </c>
      <c r="F39" s="8">
        <v>0</v>
      </c>
      <c r="G39" s="12">
        <v>3</v>
      </c>
      <c r="H39" s="8">
        <v>6.52</v>
      </c>
      <c r="I39" s="12">
        <v>0</v>
      </c>
    </row>
    <row r="40" spans="2:9" ht="15" customHeight="1" x14ac:dyDescent="0.2">
      <c r="B40" t="s">
        <v>124</v>
      </c>
      <c r="C40" s="12">
        <v>3</v>
      </c>
      <c r="D40" s="8">
        <v>2.0299999999999998</v>
      </c>
      <c r="E40" s="12">
        <v>3</v>
      </c>
      <c r="F40" s="8">
        <v>3.06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149</v>
      </c>
      <c r="C41" s="12">
        <v>2</v>
      </c>
      <c r="D41" s="8">
        <v>1.35</v>
      </c>
      <c r="E41" s="12">
        <v>0</v>
      </c>
      <c r="F41" s="8">
        <v>0</v>
      </c>
      <c r="G41" s="12">
        <v>2</v>
      </c>
      <c r="H41" s="8">
        <v>4.3499999999999996</v>
      </c>
      <c r="I41" s="12">
        <v>0</v>
      </c>
    </row>
    <row r="42" spans="2:9" ht="15" customHeight="1" x14ac:dyDescent="0.2">
      <c r="B42" t="s">
        <v>135</v>
      </c>
      <c r="C42" s="12">
        <v>2</v>
      </c>
      <c r="D42" s="8">
        <v>1.35</v>
      </c>
      <c r="E42" s="12">
        <v>2</v>
      </c>
      <c r="F42" s="8">
        <v>2.04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112</v>
      </c>
      <c r="C43" s="12">
        <v>2</v>
      </c>
      <c r="D43" s="8">
        <v>1.35</v>
      </c>
      <c r="E43" s="12">
        <v>2</v>
      </c>
      <c r="F43" s="8">
        <v>2.04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131</v>
      </c>
      <c r="C44" s="12">
        <v>2</v>
      </c>
      <c r="D44" s="8">
        <v>1.35</v>
      </c>
      <c r="E44" s="12">
        <v>0</v>
      </c>
      <c r="F44" s="8">
        <v>0</v>
      </c>
      <c r="G44" s="12">
        <v>1</v>
      </c>
      <c r="H44" s="8">
        <v>2.17</v>
      </c>
      <c r="I44" s="12">
        <v>0</v>
      </c>
    </row>
    <row r="45" spans="2:9" ht="15" customHeight="1" x14ac:dyDescent="0.2">
      <c r="B45" t="s">
        <v>120</v>
      </c>
      <c r="C45" s="12">
        <v>2</v>
      </c>
      <c r="D45" s="8">
        <v>1.35</v>
      </c>
      <c r="E45" s="12">
        <v>2</v>
      </c>
      <c r="F45" s="8">
        <v>2.04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365</v>
      </c>
      <c r="C48" s="10" t="s">
        <v>94</v>
      </c>
      <c r="D48" s="10" t="s">
        <v>95</v>
      </c>
      <c r="E48" s="10" t="s">
        <v>96</v>
      </c>
      <c r="F48" s="10" t="s">
        <v>97</v>
      </c>
      <c r="G48" s="10" t="s">
        <v>98</v>
      </c>
      <c r="H48" s="10" t="s">
        <v>99</v>
      </c>
      <c r="I48" s="10" t="s">
        <v>100</v>
      </c>
    </row>
    <row r="49" spans="2:9" ht="15" customHeight="1" x14ac:dyDescent="0.2">
      <c r="B49" t="s">
        <v>174</v>
      </c>
      <c r="C49" s="12">
        <v>11</v>
      </c>
      <c r="D49" s="8">
        <v>7.43</v>
      </c>
      <c r="E49" s="12">
        <v>3</v>
      </c>
      <c r="F49" s="8">
        <v>3.06</v>
      </c>
      <c r="G49" s="12">
        <v>8</v>
      </c>
      <c r="H49" s="8">
        <v>17.39</v>
      </c>
      <c r="I49" s="12">
        <v>0</v>
      </c>
    </row>
    <row r="50" spans="2:9" ht="15" customHeight="1" x14ac:dyDescent="0.2">
      <c r="B50" t="s">
        <v>175</v>
      </c>
      <c r="C50" s="12">
        <v>8</v>
      </c>
      <c r="D50" s="8">
        <v>5.41</v>
      </c>
      <c r="E50" s="12">
        <v>3</v>
      </c>
      <c r="F50" s="8">
        <v>3.06</v>
      </c>
      <c r="G50" s="12">
        <v>5</v>
      </c>
      <c r="H50" s="8">
        <v>10.87</v>
      </c>
      <c r="I50" s="12">
        <v>0</v>
      </c>
    </row>
    <row r="51" spans="2:9" ht="15" customHeight="1" x14ac:dyDescent="0.2">
      <c r="B51" t="s">
        <v>210</v>
      </c>
      <c r="C51" s="12">
        <v>6</v>
      </c>
      <c r="D51" s="8">
        <v>4.05</v>
      </c>
      <c r="E51" s="12">
        <v>5</v>
      </c>
      <c r="F51" s="8">
        <v>5.0999999999999996</v>
      </c>
      <c r="G51" s="12">
        <v>1</v>
      </c>
      <c r="H51" s="8">
        <v>2.17</v>
      </c>
      <c r="I51" s="12">
        <v>0</v>
      </c>
    </row>
    <row r="52" spans="2:9" ht="15" customHeight="1" x14ac:dyDescent="0.2">
      <c r="B52" t="s">
        <v>190</v>
      </c>
      <c r="C52" s="12">
        <v>6</v>
      </c>
      <c r="D52" s="8">
        <v>4.05</v>
      </c>
      <c r="E52" s="12">
        <v>6</v>
      </c>
      <c r="F52" s="8">
        <v>6.12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176</v>
      </c>
      <c r="C53" s="12">
        <v>5</v>
      </c>
      <c r="D53" s="8">
        <v>3.38</v>
      </c>
      <c r="E53" s="12">
        <v>4</v>
      </c>
      <c r="F53" s="8">
        <v>4.08</v>
      </c>
      <c r="G53" s="12">
        <v>1</v>
      </c>
      <c r="H53" s="8">
        <v>2.17</v>
      </c>
      <c r="I53" s="12">
        <v>0</v>
      </c>
    </row>
    <row r="54" spans="2:9" ht="15" customHeight="1" x14ac:dyDescent="0.2">
      <c r="B54" t="s">
        <v>214</v>
      </c>
      <c r="C54" s="12">
        <v>5</v>
      </c>
      <c r="D54" s="8">
        <v>3.38</v>
      </c>
      <c r="E54" s="12">
        <v>5</v>
      </c>
      <c r="F54" s="8">
        <v>5.0999999999999996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178</v>
      </c>
      <c r="C55" s="12">
        <v>4</v>
      </c>
      <c r="D55" s="8">
        <v>2.7</v>
      </c>
      <c r="E55" s="12">
        <v>4</v>
      </c>
      <c r="F55" s="8">
        <v>4.08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180</v>
      </c>
      <c r="C56" s="12">
        <v>4</v>
      </c>
      <c r="D56" s="8">
        <v>2.7</v>
      </c>
      <c r="E56" s="12">
        <v>2</v>
      </c>
      <c r="F56" s="8">
        <v>2.04</v>
      </c>
      <c r="G56" s="12">
        <v>2</v>
      </c>
      <c r="H56" s="8">
        <v>4.3499999999999996</v>
      </c>
      <c r="I56" s="12">
        <v>0</v>
      </c>
    </row>
    <row r="57" spans="2:9" ht="15" customHeight="1" x14ac:dyDescent="0.2">
      <c r="B57" t="s">
        <v>216</v>
      </c>
      <c r="C57" s="12">
        <v>4</v>
      </c>
      <c r="D57" s="8">
        <v>2.7</v>
      </c>
      <c r="E57" s="12">
        <v>1</v>
      </c>
      <c r="F57" s="8">
        <v>1.02</v>
      </c>
      <c r="G57" s="12">
        <v>3</v>
      </c>
      <c r="H57" s="8">
        <v>6.52</v>
      </c>
      <c r="I57" s="12">
        <v>0</v>
      </c>
    </row>
    <row r="58" spans="2:9" ht="15" customHeight="1" x14ac:dyDescent="0.2">
      <c r="B58" t="s">
        <v>191</v>
      </c>
      <c r="C58" s="12">
        <v>4</v>
      </c>
      <c r="D58" s="8">
        <v>2.7</v>
      </c>
      <c r="E58" s="12">
        <v>4</v>
      </c>
      <c r="F58" s="8">
        <v>4.08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201</v>
      </c>
      <c r="C59" s="12">
        <v>3</v>
      </c>
      <c r="D59" s="8">
        <v>2.0299999999999998</v>
      </c>
      <c r="E59" s="12">
        <v>3</v>
      </c>
      <c r="F59" s="8">
        <v>3.06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177</v>
      </c>
      <c r="C60" s="12">
        <v>3</v>
      </c>
      <c r="D60" s="8">
        <v>2.0299999999999998</v>
      </c>
      <c r="E60" s="12">
        <v>2</v>
      </c>
      <c r="F60" s="8">
        <v>2.04</v>
      </c>
      <c r="G60" s="12">
        <v>1</v>
      </c>
      <c r="H60" s="8">
        <v>2.17</v>
      </c>
      <c r="I60" s="12">
        <v>0</v>
      </c>
    </row>
    <row r="61" spans="2:9" ht="15" customHeight="1" x14ac:dyDescent="0.2">
      <c r="B61" t="s">
        <v>196</v>
      </c>
      <c r="C61" s="12">
        <v>3</v>
      </c>
      <c r="D61" s="8">
        <v>2.0299999999999998</v>
      </c>
      <c r="E61" s="12">
        <v>2</v>
      </c>
      <c r="F61" s="8">
        <v>2.04</v>
      </c>
      <c r="G61" s="12">
        <v>1</v>
      </c>
      <c r="H61" s="8">
        <v>2.17</v>
      </c>
      <c r="I61" s="12">
        <v>0</v>
      </c>
    </row>
    <row r="62" spans="2:9" ht="15" customHeight="1" x14ac:dyDescent="0.2">
      <c r="B62" t="s">
        <v>233</v>
      </c>
      <c r="C62" s="12">
        <v>3</v>
      </c>
      <c r="D62" s="8">
        <v>2.0299999999999998</v>
      </c>
      <c r="E62" s="12">
        <v>2</v>
      </c>
      <c r="F62" s="8">
        <v>2.04</v>
      </c>
      <c r="G62" s="12">
        <v>1</v>
      </c>
      <c r="H62" s="8">
        <v>2.17</v>
      </c>
      <c r="I62" s="12">
        <v>0</v>
      </c>
    </row>
    <row r="63" spans="2:9" ht="15" customHeight="1" x14ac:dyDescent="0.2">
      <c r="B63" t="s">
        <v>219</v>
      </c>
      <c r="C63" s="12">
        <v>3</v>
      </c>
      <c r="D63" s="8">
        <v>2.0299999999999998</v>
      </c>
      <c r="E63" s="12">
        <v>3</v>
      </c>
      <c r="F63" s="8">
        <v>3.06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194</v>
      </c>
      <c r="C64" s="12">
        <v>3</v>
      </c>
      <c r="D64" s="8">
        <v>2.0299999999999998</v>
      </c>
      <c r="E64" s="12">
        <v>1</v>
      </c>
      <c r="F64" s="8">
        <v>1.02</v>
      </c>
      <c r="G64" s="12">
        <v>2</v>
      </c>
      <c r="H64" s="8">
        <v>4.3499999999999996</v>
      </c>
      <c r="I64" s="12">
        <v>0</v>
      </c>
    </row>
    <row r="65" spans="2:9" ht="15" customHeight="1" x14ac:dyDescent="0.2">
      <c r="B65" t="s">
        <v>187</v>
      </c>
      <c r="C65" s="12">
        <v>3</v>
      </c>
      <c r="D65" s="8">
        <v>2.0299999999999998</v>
      </c>
      <c r="E65" s="12">
        <v>3</v>
      </c>
      <c r="F65" s="8">
        <v>3.06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192</v>
      </c>
      <c r="C66" s="12">
        <v>3</v>
      </c>
      <c r="D66" s="8">
        <v>2.0299999999999998</v>
      </c>
      <c r="E66" s="12">
        <v>3</v>
      </c>
      <c r="F66" s="8">
        <v>3.06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259</v>
      </c>
      <c r="C67" s="12">
        <v>3</v>
      </c>
      <c r="D67" s="8">
        <v>2.0299999999999998</v>
      </c>
      <c r="E67" s="12">
        <v>3</v>
      </c>
      <c r="F67" s="8">
        <v>3.06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252</v>
      </c>
      <c r="C68" s="12">
        <v>2</v>
      </c>
      <c r="D68" s="8">
        <v>1.35</v>
      </c>
      <c r="E68" s="12">
        <v>0</v>
      </c>
      <c r="F68" s="8">
        <v>0</v>
      </c>
      <c r="G68" s="12">
        <v>2</v>
      </c>
      <c r="H68" s="8">
        <v>4.3499999999999996</v>
      </c>
      <c r="I68" s="12">
        <v>0</v>
      </c>
    </row>
    <row r="69" spans="2:9" ht="15" customHeight="1" x14ac:dyDescent="0.2">
      <c r="B69" t="s">
        <v>287</v>
      </c>
      <c r="C69" s="12">
        <v>2</v>
      </c>
      <c r="D69" s="8">
        <v>1.35</v>
      </c>
      <c r="E69" s="12">
        <v>0</v>
      </c>
      <c r="F69" s="8">
        <v>0</v>
      </c>
      <c r="G69" s="12">
        <v>2</v>
      </c>
      <c r="H69" s="8">
        <v>4.3499999999999996</v>
      </c>
      <c r="I69" s="12">
        <v>0</v>
      </c>
    </row>
    <row r="70" spans="2:9" ht="15" customHeight="1" x14ac:dyDescent="0.2">
      <c r="B70" t="s">
        <v>286</v>
      </c>
      <c r="C70" s="12">
        <v>2</v>
      </c>
      <c r="D70" s="8">
        <v>1.35</v>
      </c>
      <c r="E70" s="12">
        <v>2</v>
      </c>
      <c r="F70" s="8">
        <v>2.04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231</v>
      </c>
      <c r="C71" s="12">
        <v>2</v>
      </c>
      <c r="D71" s="8">
        <v>1.35</v>
      </c>
      <c r="E71" s="12">
        <v>2</v>
      </c>
      <c r="F71" s="8">
        <v>2.04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211</v>
      </c>
      <c r="C72" s="12">
        <v>2</v>
      </c>
      <c r="D72" s="8">
        <v>1.35</v>
      </c>
      <c r="E72" s="12">
        <v>0</v>
      </c>
      <c r="F72" s="8">
        <v>0</v>
      </c>
      <c r="G72" s="12">
        <v>2</v>
      </c>
      <c r="H72" s="8">
        <v>4.3499999999999996</v>
      </c>
      <c r="I72" s="12">
        <v>0</v>
      </c>
    </row>
    <row r="73" spans="2:9" ht="15" customHeight="1" x14ac:dyDescent="0.2">
      <c r="B73" t="s">
        <v>288</v>
      </c>
      <c r="C73" s="12">
        <v>2</v>
      </c>
      <c r="D73" s="8">
        <v>1.35</v>
      </c>
      <c r="E73" s="12">
        <v>2</v>
      </c>
      <c r="F73" s="8">
        <v>2.04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243</v>
      </c>
      <c r="C74" s="12">
        <v>2</v>
      </c>
      <c r="D74" s="8">
        <v>1.35</v>
      </c>
      <c r="E74" s="12">
        <v>2</v>
      </c>
      <c r="F74" s="8">
        <v>2.04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184</v>
      </c>
      <c r="C75" s="12">
        <v>2</v>
      </c>
      <c r="D75" s="8">
        <v>1.35</v>
      </c>
      <c r="E75" s="12">
        <v>1</v>
      </c>
      <c r="F75" s="8">
        <v>1.02</v>
      </c>
      <c r="G75" s="12">
        <v>1</v>
      </c>
      <c r="H75" s="8">
        <v>2.17</v>
      </c>
      <c r="I75" s="12">
        <v>0</v>
      </c>
    </row>
    <row r="76" spans="2:9" ht="15" customHeight="1" x14ac:dyDescent="0.2">
      <c r="B76" t="s">
        <v>185</v>
      </c>
      <c r="C76" s="12">
        <v>2</v>
      </c>
      <c r="D76" s="8">
        <v>1.35</v>
      </c>
      <c r="E76" s="12">
        <v>2</v>
      </c>
      <c r="F76" s="8">
        <v>2.04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186</v>
      </c>
      <c r="C77" s="12">
        <v>2</v>
      </c>
      <c r="D77" s="8">
        <v>1.35</v>
      </c>
      <c r="E77" s="12">
        <v>2</v>
      </c>
      <c r="F77" s="8">
        <v>2.04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220</v>
      </c>
      <c r="C78" s="12">
        <v>2</v>
      </c>
      <c r="D78" s="8">
        <v>1.35</v>
      </c>
      <c r="E78" s="12">
        <v>2</v>
      </c>
      <c r="F78" s="8">
        <v>2.04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193</v>
      </c>
      <c r="C79" s="12">
        <v>2</v>
      </c>
      <c r="D79" s="8">
        <v>1.35</v>
      </c>
      <c r="E79" s="12">
        <v>2</v>
      </c>
      <c r="F79" s="8">
        <v>2.04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271</v>
      </c>
      <c r="C80" s="12">
        <v>2</v>
      </c>
      <c r="D80" s="8">
        <v>1.35</v>
      </c>
      <c r="E80" s="12">
        <v>0</v>
      </c>
      <c r="F80" s="8">
        <v>0</v>
      </c>
      <c r="G80" s="12">
        <v>2</v>
      </c>
      <c r="H80" s="8">
        <v>4.3499999999999996</v>
      </c>
      <c r="I80" s="12">
        <v>0</v>
      </c>
    </row>
    <row r="81" spans="2:9" ht="15" customHeight="1" x14ac:dyDescent="0.2">
      <c r="B81" t="s">
        <v>200</v>
      </c>
      <c r="C81" s="12">
        <v>2</v>
      </c>
      <c r="D81" s="8">
        <v>1.35</v>
      </c>
      <c r="E81" s="12">
        <v>2</v>
      </c>
      <c r="F81" s="8">
        <v>2.04</v>
      </c>
      <c r="G81" s="12">
        <v>0</v>
      </c>
      <c r="H81" s="8">
        <v>0</v>
      </c>
      <c r="I81" s="12">
        <v>0</v>
      </c>
    </row>
    <row r="83" spans="2:9" ht="15" customHeight="1" x14ac:dyDescent="0.2">
      <c r="B83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D2046-CE41-4B4D-97A5-A5836BFB711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409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53</v>
      </c>
      <c r="D6" s="8">
        <v>19.63</v>
      </c>
      <c r="E6" s="12">
        <v>31</v>
      </c>
      <c r="F6" s="8">
        <v>18.239999999999998</v>
      </c>
      <c r="G6" s="12">
        <v>22</v>
      </c>
      <c r="H6" s="8">
        <v>23.16</v>
      </c>
      <c r="I6" s="12">
        <v>0</v>
      </c>
    </row>
    <row r="7" spans="2:9" ht="15" customHeight="1" x14ac:dyDescent="0.2">
      <c r="B7" t="s">
        <v>80</v>
      </c>
      <c r="C7" s="12">
        <v>36</v>
      </c>
      <c r="D7" s="8">
        <v>13.33</v>
      </c>
      <c r="E7" s="12">
        <v>16</v>
      </c>
      <c r="F7" s="8">
        <v>9.41</v>
      </c>
      <c r="G7" s="12">
        <v>20</v>
      </c>
      <c r="H7" s="8">
        <v>21.05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0.37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1</v>
      </c>
      <c r="D9" s="8">
        <v>0.37</v>
      </c>
      <c r="E9" s="12">
        <v>0</v>
      </c>
      <c r="F9" s="8">
        <v>0</v>
      </c>
      <c r="G9" s="12">
        <v>1</v>
      </c>
      <c r="H9" s="8">
        <v>1.05</v>
      </c>
      <c r="I9" s="12">
        <v>0</v>
      </c>
    </row>
    <row r="10" spans="2:9" ht="15" customHeight="1" x14ac:dyDescent="0.2">
      <c r="B10" t="s">
        <v>83</v>
      </c>
      <c r="C10" s="12">
        <v>4</v>
      </c>
      <c r="D10" s="8">
        <v>1.48</v>
      </c>
      <c r="E10" s="12">
        <v>1</v>
      </c>
      <c r="F10" s="8">
        <v>0.59</v>
      </c>
      <c r="G10" s="12">
        <v>3</v>
      </c>
      <c r="H10" s="8">
        <v>3.16</v>
      </c>
      <c r="I10" s="12">
        <v>0</v>
      </c>
    </row>
    <row r="11" spans="2:9" ht="15" customHeight="1" x14ac:dyDescent="0.2">
      <c r="B11" t="s">
        <v>84</v>
      </c>
      <c r="C11" s="12">
        <v>66</v>
      </c>
      <c r="D11" s="8">
        <v>24.44</v>
      </c>
      <c r="E11" s="12">
        <v>45</v>
      </c>
      <c r="F11" s="8">
        <v>26.47</v>
      </c>
      <c r="G11" s="12">
        <v>21</v>
      </c>
      <c r="H11" s="8">
        <v>22.11</v>
      </c>
      <c r="I11" s="12">
        <v>0</v>
      </c>
    </row>
    <row r="12" spans="2:9" ht="15" customHeight="1" x14ac:dyDescent="0.2">
      <c r="B12" t="s">
        <v>85</v>
      </c>
      <c r="C12" s="12">
        <v>1</v>
      </c>
      <c r="D12" s="8">
        <v>0.37</v>
      </c>
      <c r="E12" s="12">
        <v>0</v>
      </c>
      <c r="F12" s="8">
        <v>0</v>
      </c>
      <c r="G12" s="12">
        <v>1</v>
      </c>
      <c r="H12" s="8">
        <v>1.05</v>
      </c>
      <c r="I12" s="12">
        <v>0</v>
      </c>
    </row>
    <row r="13" spans="2:9" ht="15" customHeight="1" x14ac:dyDescent="0.2">
      <c r="B13" t="s">
        <v>86</v>
      </c>
      <c r="C13" s="12">
        <v>5</v>
      </c>
      <c r="D13" s="8">
        <v>1.85</v>
      </c>
      <c r="E13" s="12">
        <v>2</v>
      </c>
      <c r="F13" s="8">
        <v>1.18</v>
      </c>
      <c r="G13" s="12">
        <v>3</v>
      </c>
      <c r="H13" s="8">
        <v>3.16</v>
      </c>
      <c r="I13" s="12">
        <v>0</v>
      </c>
    </row>
    <row r="14" spans="2:9" ht="15" customHeight="1" x14ac:dyDescent="0.2">
      <c r="B14" t="s">
        <v>87</v>
      </c>
      <c r="C14" s="12">
        <v>9</v>
      </c>
      <c r="D14" s="8">
        <v>3.33</v>
      </c>
      <c r="E14" s="12">
        <v>6</v>
      </c>
      <c r="F14" s="8">
        <v>3.53</v>
      </c>
      <c r="G14" s="12">
        <v>3</v>
      </c>
      <c r="H14" s="8">
        <v>3.16</v>
      </c>
      <c r="I14" s="12">
        <v>0</v>
      </c>
    </row>
    <row r="15" spans="2:9" ht="15" customHeight="1" x14ac:dyDescent="0.2">
      <c r="B15" t="s">
        <v>88</v>
      </c>
      <c r="C15" s="12">
        <v>40</v>
      </c>
      <c r="D15" s="8">
        <v>14.81</v>
      </c>
      <c r="E15" s="12">
        <v>29</v>
      </c>
      <c r="F15" s="8">
        <v>17.059999999999999</v>
      </c>
      <c r="G15" s="12">
        <v>10</v>
      </c>
      <c r="H15" s="8">
        <v>10.53</v>
      </c>
      <c r="I15" s="12">
        <v>0</v>
      </c>
    </row>
    <row r="16" spans="2:9" ht="15" customHeight="1" x14ac:dyDescent="0.2">
      <c r="B16" t="s">
        <v>89</v>
      </c>
      <c r="C16" s="12">
        <v>24</v>
      </c>
      <c r="D16" s="8">
        <v>8.89</v>
      </c>
      <c r="E16" s="12">
        <v>21</v>
      </c>
      <c r="F16" s="8">
        <v>12.35</v>
      </c>
      <c r="G16" s="12">
        <v>3</v>
      </c>
      <c r="H16" s="8">
        <v>3.16</v>
      </c>
      <c r="I16" s="12">
        <v>0</v>
      </c>
    </row>
    <row r="17" spans="2:9" ht="15" customHeight="1" x14ac:dyDescent="0.2">
      <c r="B17" t="s">
        <v>90</v>
      </c>
      <c r="C17" s="12">
        <v>8</v>
      </c>
      <c r="D17" s="8">
        <v>2.96</v>
      </c>
      <c r="E17" s="12">
        <v>5</v>
      </c>
      <c r="F17" s="8">
        <v>2.94</v>
      </c>
      <c r="G17" s="12">
        <v>3</v>
      </c>
      <c r="H17" s="8">
        <v>3.16</v>
      </c>
      <c r="I17" s="12">
        <v>0</v>
      </c>
    </row>
    <row r="18" spans="2:9" ht="15" customHeight="1" x14ac:dyDescent="0.2">
      <c r="B18" t="s">
        <v>91</v>
      </c>
      <c r="C18" s="12">
        <v>16</v>
      </c>
      <c r="D18" s="8">
        <v>5.93</v>
      </c>
      <c r="E18" s="12">
        <v>11</v>
      </c>
      <c r="F18" s="8">
        <v>6.47</v>
      </c>
      <c r="G18" s="12">
        <v>3</v>
      </c>
      <c r="H18" s="8">
        <v>3.16</v>
      </c>
      <c r="I18" s="12">
        <v>0</v>
      </c>
    </row>
    <row r="19" spans="2:9" ht="15" customHeight="1" x14ac:dyDescent="0.2">
      <c r="B19" t="s">
        <v>92</v>
      </c>
      <c r="C19" s="12">
        <v>6</v>
      </c>
      <c r="D19" s="8">
        <v>2.2200000000000002</v>
      </c>
      <c r="E19" s="12">
        <v>3</v>
      </c>
      <c r="F19" s="8">
        <v>1.76</v>
      </c>
      <c r="G19" s="12">
        <v>2</v>
      </c>
      <c r="H19" s="8">
        <v>2.11</v>
      </c>
      <c r="I19" s="12">
        <v>0</v>
      </c>
    </row>
    <row r="20" spans="2:9" ht="15" customHeight="1" x14ac:dyDescent="0.2">
      <c r="B20" s="9" t="s">
        <v>363</v>
      </c>
      <c r="C20" s="12">
        <f>SUM(LTBL_20407[総数／事業所数])</f>
        <v>270</v>
      </c>
      <c r="E20" s="12">
        <f>SUBTOTAL(109,LTBL_20407[個人／事業所数])</f>
        <v>170</v>
      </c>
      <c r="G20" s="12">
        <f>SUBTOTAL(109,LTBL_20407[法人／事業所数])</f>
        <v>95</v>
      </c>
      <c r="I20" s="12">
        <f>SUBTOTAL(109,LTBL_20407[法人以外の団体／事業所数])</f>
        <v>0</v>
      </c>
    </row>
    <row r="21" spans="2:9" ht="15" customHeight="1" x14ac:dyDescent="0.2">
      <c r="E21" s="11">
        <f>LTBL_20407[[#Totals],[個人／事業所数]]/LTBL_20407[[#Totals],[総数／事業所数]]</f>
        <v>0.62962962962962965</v>
      </c>
      <c r="G21" s="11">
        <f>LTBL_20407[[#Totals],[法人／事業所数]]/LTBL_20407[[#Totals],[総数／事業所数]]</f>
        <v>0.35185185185185186</v>
      </c>
      <c r="I21" s="11">
        <f>LTBL_20407[[#Totals],[法人以外の団体／事業所数]]/LTBL_20407[[#Totals],[総数／事業所数]]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31</v>
      </c>
      <c r="D24" s="8">
        <v>11.48</v>
      </c>
      <c r="E24" s="12">
        <v>24</v>
      </c>
      <c r="F24" s="8">
        <v>14.12</v>
      </c>
      <c r="G24" s="12">
        <v>7</v>
      </c>
      <c r="H24" s="8">
        <v>7.37</v>
      </c>
      <c r="I24" s="12">
        <v>0</v>
      </c>
    </row>
    <row r="25" spans="2:9" ht="15" customHeight="1" x14ac:dyDescent="0.2">
      <c r="B25" t="s">
        <v>101</v>
      </c>
      <c r="C25" s="12">
        <v>29</v>
      </c>
      <c r="D25" s="8">
        <v>10.74</v>
      </c>
      <c r="E25" s="12">
        <v>14</v>
      </c>
      <c r="F25" s="8">
        <v>8.24</v>
      </c>
      <c r="G25" s="12">
        <v>15</v>
      </c>
      <c r="H25" s="8">
        <v>15.79</v>
      </c>
      <c r="I25" s="12">
        <v>0</v>
      </c>
    </row>
    <row r="26" spans="2:9" ht="15" customHeight="1" x14ac:dyDescent="0.2">
      <c r="B26" t="s">
        <v>108</v>
      </c>
      <c r="C26" s="12">
        <v>25</v>
      </c>
      <c r="D26" s="8">
        <v>9.26</v>
      </c>
      <c r="E26" s="12">
        <v>18</v>
      </c>
      <c r="F26" s="8">
        <v>10.59</v>
      </c>
      <c r="G26" s="12">
        <v>7</v>
      </c>
      <c r="H26" s="8">
        <v>7.37</v>
      </c>
      <c r="I26" s="12">
        <v>0</v>
      </c>
    </row>
    <row r="27" spans="2:9" ht="15" customHeight="1" x14ac:dyDescent="0.2">
      <c r="B27" t="s">
        <v>110</v>
      </c>
      <c r="C27" s="12">
        <v>22</v>
      </c>
      <c r="D27" s="8">
        <v>8.15</v>
      </c>
      <c r="E27" s="12">
        <v>14</v>
      </c>
      <c r="F27" s="8">
        <v>8.24</v>
      </c>
      <c r="G27" s="12">
        <v>8</v>
      </c>
      <c r="H27" s="8">
        <v>8.42</v>
      </c>
      <c r="I27" s="12">
        <v>0</v>
      </c>
    </row>
    <row r="28" spans="2:9" ht="15" customHeight="1" x14ac:dyDescent="0.2">
      <c r="B28" t="s">
        <v>102</v>
      </c>
      <c r="C28" s="12">
        <v>18</v>
      </c>
      <c r="D28" s="8">
        <v>6.67</v>
      </c>
      <c r="E28" s="12">
        <v>13</v>
      </c>
      <c r="F28" s="8">
        <v>7.65</v>
      </c>
      <c r="G28" s="12">
        <v>5</v>
      </c>
      <c r="H28" s="8">
        <v>5.26</v>
      </c>
      <c r="I28" s="12">
        <v>0</v>
      </c>
    </row>
    <row r="29" spans="2:9" ht="15" customHeight="1" x14ac:dyDescent="0.2">
      <c r="B29" t="s">
        <v>116</v>
      </c>
      <c r="C29" s="12">
        <v>18</v>
      </c>
      <c r="D29" s="8">
        <v>6.67</v>
      </c>
      <c r="E29" s="12">
        <v>17</v>
      </c>
      <c r="F29" s="8">
        <v>10</v>
      </c>
      <c r="G29" s="12">
        <v>1</v>
      </c>
      <c r="H29" s="8">
        <v>1.05</v>
      </c>
      <c r="I29" s="12">
        <v>0</v>
      </c>
    </row>
    <row r="30" spans="2:9" ht="15" customHeight="1" x14ac:dyDescent="0.2">
      <c r="B30" t="s">
        <v>118</v>
      </c>
      <c r="C30" s="12">
        <v>13</v>
      </c>
      <c r="D30" s="8">
        <v>4.8099999999999996</v>
      </c>
      <c r="E30" s="12">
        <v>11</v>
      </c>
      <c r="F30" s="8">
        <v>6.47</v>
      </c>
      <c r="G30" s="12">
        <v>2</v>
      </c>
      <c r="H30" s="8">
        <v>2.11</v>
      </c>
      <c r="I30" s="12">
        <v>0</v>
      </c>
    </row>
    <row r="31" spans="2:9" ht="15" customHeight="1" x14ac:dyDescent="0.2">
      <c r="B31" t="s">
        <v>117</v>
      </c>
      <c r="C31" s="12">
        <v>8</v>
      </c>
      <c r="D31" s="8">
        <v>2.96</v>
      </c>
      <c r="E31" s="12">
        <v>5</v>
      </c>
      <c r="F31" s="8">
        <v>2.94</v>
      </c>
      <c r="G31" s="12">
        <v>3</v>
      </c>
      <c r="H31" s="8">
        <v>3.16</v>
      </c>
      <c r="I31" s="12">
        <v>0</v>
      </c>
    </row>
    <row r="32" spans="2:9" ht="15" customHeight="1" x14ac:dyDescent="0.2">
      <c r="B32" t="s">
        <v>112</v>
      </c>
      <c r="C32" s="12">
        <v>7</v>
      </c>
      <c r="D32" s="8">
        <v>2.59</v>
      </c>
      <c r="E32" s="12">
        <v>4</v>
      </c>
      <c r="F32" s="8">
        <v>2.35</v>
      </c>
      <c r="G32" s="12">
        <v>3</v>
      </c>
      <c r="H32" s="8">
        <v>3.16</v>
      </c>
      <c r="I32" s="12">
        <v>0</v>
      </c>
    </row>
    <row r="33" spans="2:9" ht="15" customHeight="1" x14ac:dyDescent="0.2">
      <c r="B33" t="s">
        <v>103</v>
      </c>
      <c r="C33" s="12">
        <v>6</v>
      </c>
      <c r="D33" s="8">
        <v>2.2200000000000002</v>
      </c>
      <c r="E33" s="12">
        <v>4</v>
      </c>
      <c r="F33" s="8">
        <v>2.35</v>
      </c>
      <c r="G33" s="12">
        <v>2</v>
      </c>
      <c r="H33" s="8">
        <v>2.11</v>
      </c>
      <c r="I33" s="12">
        <v>0</v>
      </c>
    </row>
    <row r="34" spans="2:9" ht="15" customHeight="1" x14ac:dyDescent="0.2">
      <c r="B34" t="s">
        <v>114</v>
      </c>
      <c r="C34" s="12">
        <v>6</v>
      </c>
      <c r="D34" s="8">
        <v>2.2200000000000002</v>
      </c>
      <c r="E34" s="12">
        <v>4</v>
      </c>
      <c r="F34" s="8">
        <v>2.35</v>
      </c>
      <c r="G34" s="12">
        <v>2</v>
      </c>
      <c r="H34" s="8">
        <v>2.11</v>
      </c>
      <c r="I34" s="12">
        <v>0</v>
      </c>
    </row>
    <row r="35" spans="2:9" ht="15" customHeight="1" x14ac:dyDescent="0.2">
      <c r="B35" t="s">
        <v>127</v>
      </c>
      <c r="C35" s="12">
        <v>5</v>
      </c>
      <c r="D35" s="8">
        <v>1.85</v>
      </c>
      <c r="E35" s="12">
        <v>1</v>
      </c>
      <c r="F35" s="8">
        <v>0.59</v>
      </c>
      <c r="G35" s="12">
        <v>4</v>
      </c>
      <c r="H35" s="8">
        <v>4.21</v>
      </c>
      <c r="I35" s="12">
        <v>0</v>
      </c>
    </row>
    <row r="36" spans="2:9" ht="15" customHeight="1" x14ac:dyDescent="0.2">
      <c r="B36" t="s">
        <v>109</v>
      </c>
      <c r="C36" s="12">
        <v>5</v>
      </c>
      <c r="D36" s="8">
        <v>1.85</v>
      </c>
      <c r="E36" s="12">
        <v>4</v>
      </c>
      <c r="F36" s="8">
        <v>2.35</v>
      </c>
      <c r="G36" s="12">
        <v>1</v>
      </c>
      <c r="H36" s="8">
        <v>1.05</v>
      </c>
      <c r="I36" s="12">
        <v>0</v>
      </c>
    </row>
    <row r="37" spans="2:9" ht="15" customHeight="1" x14ac:dyDescent="0.2">
      <c r="B37" t="s">
        <v>133</v>
      </c>
      <c r="C37" s="12">
        <v>5</v>
      </c>
      <c r="D37" s="8">
        <v>1.85</v>
      </c>
      <c r="E37" s="12">
        <v>5</v>
      </c>
      <c r="F37" s="8">
        <v>2.94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157</v>
      </c>
      <c r="C38" s="12">
        <v>4</v>
      </c>
      <c r="D38" s="8">
        <v>1.48</v>
      </c>
      <c r="E38" s="12">
        <v>2</v>
      </c>
      <c r="F38" s="8">
        <v>1.18</v>
      </c>
      <c r="G38" s="12">
        <v>2</v>
      </c>
      <c r="H38" s="8">
        <v>2.11</v>
      </c>
      <c r="I38" s="12">
        <v>0</v>
      </c>
    </row>
    <row r="39" spans="2:9" ht="15" customHeight="1" x14ac:dyDescent="0.2">
      <c r="B39" t="s">
        <v>156</v>
      </c>
      <c r="C39" s="12">
        <v>4</v>
      </c>
      <c r="D39" s="8">
        <v>1.48</v>
      </c>
      <c r="E39" s="12">
        <v>3</v>
      </c>
      <c r="F39" s="8">
        <v>1.76</v>
      </c>
      <c r="G39" s="12">
        <v>1</v>
      </c>
      <c r="H39" s="8">
        <v>1.05</v>
      </c>
      <c r="I39" s="12">
        <v>0</v>
      </c>
    </row>
    <row r="40" spans="2:9" ht="15" customHeight="1" x14ac:dyDescent="0.2">
      <c r="B40" t="s">
        <v>105</v>
      </c>
      <c r="C40" s="12">
        <v>4</v>
      </c>
      <c r="D40" s="8">
        <v>1.48</v>
      </c>
      <c r="E40" s="12">
        <v>2</v>
      </c>
      <c r="F40" s="8">
        <v>1.18</v>
      </c>
      <c r="G40" s="12">
        <v>2</v>
      </c>
      <c r="H40" s="8">
        <v>2.11</v>
      </c>
      <c r="I40" s="12">
        <v>0</v>
      </c>
    </row>
    <row r="41" spans="2:9" ht="15" customHeight="1" x14ac:dyDescent="0.2">
      <c r="B41" t="s">
        <v>107</v>
      </c>
      <c r="C41" s="12">
        <v>4</v>
      </c>
      <c r="D41" s="8">
        <v>1.48</v>
      </c>
      <c r="E41" s="12">
        <v>2</v>
      </c>
      <c r="F41" s="8">
        <v>1.18</v>
      </c>
      <c r="G41" s="12">
        <v>2</v>
      </c>
      <c r="H41" s="8">
        <v>2.11</v>
      </c>
      <c r="I41" s="12">
        <v>0</v>
      </c>
    </row>
    <row r="42" spans="2:9" ht="15" customHeight="1" x14ac:dyDescent="0.2">
      <c r="B42" t="s">
        <v>111</v>
      </c>
      <c r="C42" s="12">
        <v>4</v>
      </c>
      <c r="D42" s="8">
        <v>1.48</v>
      </c>
      <c r="E42" s="12">
        <v>1</v>
      </c>
      <c r="F42" s="8">
        <v>0.59</v>
      </c>
      <c r="G42" s="12">
        <v>3</v>
      </c>
      <c r="H42" s="8">
        <v>3.16</v>
      </c>
      <c r="I42" s="12">
        <v>0</v>
      </c>
    </row>
    <row r="43" spans="2:9" ht="15" customHeight="1" x14ac:dyDescent="0.2">
      <c r="B43" t="s">
        <v>132</v>
      </c>
      <c r="C43" s="12">
        <v>4</v>
      </c>
      <c r="D43" s="8">
        <v>1.48</v>
      </c>
      <c r="E43" s="12">
        <v>2</v>
      </c>
      <c r="F43" s="8">
        <v>1.18</v>
      </c>
      <c r="G43" s="12">
        <v>2</v>
      </c>
      <c r="H43" s="8">
        <v>2.11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176</v>
      </c>
      <c r="C47" s="12">
        <v>13</v>
      </c>
      <c r="D47" s="8">
        <v>4.8099999999999996</v>
      </c>
      <c r="E47" s="12">
        <v>8</v>
      </c>
      <c r="F47" s="8">
        <v>4.71</v>
      </c>
      <c r="G47" s="12">
        <v>5</v>
      </c>
      <c r="H47" s="8">
        <v>5.26</v>
      </c>
      <c r="I47" s="12">
        <v>0</v>
      </c>
    </row>
    <row r="48" spans="2:9" ht="15" customHeight="1" x14ac:dyDescent="0.2">
      <c r="B48" t="s">
        <v>174</v>
      </c>
      <c r="C48" s="12">
        <v>11</v>
      </c>
      <c r="D48" s="8">
        <v>4.07</v>
      </c>
      <c r="E48" s="12">
        <v>3</v>
      </c>
      <c r="F48" s="8">
        <v>1.76</v>
      </c>
      <c r="G48" s="12">
        <v>8</v>
      </c>
      <c r="H48" s="8">
        <v>8.42</v>
      </c>
      <c r="I48" s="12">
        <v>0</v>
      </c>
    </row>
    <row r="49" spans="2:9" ht="15" customHeight="1" x14ac:dyDescent="0.2">
      <c r="B49" t="s">
        <v>193</v>
      </c>
      <c r="C49" s="12">
        <v>11</v>
      </c>
      <c r="D49" s="8">
        <v>4.07</v>
      </c>
      <c r="E49" s="12">
        <v>9</v>
      </c>
      <c r="F49" s="8">
        <v>5.29</v>
      </c>
      <c r="G49" s="12">
        <v>2</v>
      </c>
      <c r="H49" s="8">
        <v>2.11</v>
      </c>
      <c r="I49" s="12">
        <v>0</v>
      </c>
    </row>
    <row r="50" spans="2:9" ht="15" customHeight="1" x14ac:dyDescent="0.2">
      <c r="B50" t="s">
        <v>191</v>
      </c>
      <c r="C50" s="12">
        <v>10</v>
      </c>
      <c r="D50" s="8">
        <v>3.7</v>
      </c>
      <c r="E50" s="12">
        <v>9</v>
      </c>
      <c r="F50" s="8">
        <v>5.29</v>
      </c>
      <c r="G50" s="12">
        <v>1</v>
      </c>
      <c r="H50" s="8">
        <v>1.05</v>
      </c>
      <c r="I50" s="12">
        <v>0</v>
      </c>
    </row>
    <row r="51" spans="2:9" ht="15" customHeight="1" x14ac:dyDescent="0.2">
      <c r="B51" t="s">
        <v>181</v>
      </c>
      <c r="C51" s="12">
        <v>8</v>
      </c>
      <c r="D51" s="8">
        <v>2.96</v>
      </c>
      <c r="E51" s="12">
        <v>6</v>
      </c>
      <c r="F51" s="8">
        <v>3.53</v>
      </c>
      <c r="G51" s="12">
        <v>2</v>
      </c>
      <c r="H51" s="8">
        <v>2.11</v>
      </c>
      <c r="I51" s="12">
        <v>0</v>
      </c>
    </row>
    <row r="52" spans="2:9" ht="15" customHeight="1" x14ac:dyDescent="0.2">
      <c r="B52" t="s">
        <v>186</v>
      </c>
      <c r="C52" s="12">
        <v>8</v>
      </c>
      <c r="D52" s="8">
        <v>2.96</v>
      </c>
      <c r="E52" s="12">
        <v>6</v>
      </c>
      <c r="F52" s="8">
        <v>3.53</v>
      </c>
      <c r="G52" s="12">
        <v>2</v>
      </c>
      <c r="H52" s="8">
        <v>2.11</v>
      </c>
      <c r="I52" s="12">
        <v>0</v>
      </c>
    </row>
    <row r="53" spans="2:9" ht="15" customHeight="1" x14ac:dyDescent="0.2">
      <c r="B53" t="s">
        <v>227</v>
      </c>
      <c r="C53" s="12">
        <v>7</v>
      </c>
      <c r="D53" s="8">
        <v>2.59</v>
      </c>
      <c r="E53" s="12">
        <v>6</v>
      </c>
      <c r="F53" s="8">
        <v>3.53</v>
      </c>
      <c r="G53" s="12">
        <v>1</v>
      </c>
      <c r="H53" s="8">
        <v>1.05</v>
      </c>
      <c r="I53" s="12">
        <v>0</v>
      </c>
    </row>
    <row r="54" spans="2:9" ht="15" customHeight="1" x14ac:dyDescent="0.2">
      <c r="B54" t="s">
        <v>179</v>
      </c>
      <c r="C54" s="12">
        <v>7</v>
      </c>
      <c r="D54" s="8">
        <v>2.59</v>
      </c>
      <c r="E54" s="12">
        <v>6</v>
      </c>
      <c r="F54" s="8">
        <v>3.53</v>
      </c>
      <c r="G54" s="12">
        <v>1</v>
      </c>
      <c r="H54" s="8">
        <v>1.05</v>
      </c>
      <c r="I54" s="12">
        <v>0</v>
      </c>
    </row>
    <row r="55" spans="2:9" ht="15" customHeight="1" x14ac:dyDescent="0.2">
      <c r="B55" t="s">
        <v>220</v>
      </c>
      <c r="C55" s="12">
        <v>7</v>
      </c>
      <c r="D55" s="8">
        <v>2.59</v>
      </c>
      <c r="E55" s="12">
        <v>3</v>
      </c>
      <c r="F55" s="8">
        <v>1.76</v>
      </c>
      <c r="G55" s="12">
        <v>4</v>
      </c>
      <c r="H55" s="8">
        <v>4.21</v>
      </c>
      <c r="I55" s="12">
        <v>0</v>
      </c>
    </row>
    <row r="56" spans="2:9" ht="15" customHeight="1" x14ac:dyDescent="0.2">
      <c r="B56" t="s">
        <v>198</v>
      </c>
      <c r="C56" s="12">
        <v>7</v>
      </c>
      <c r="D56" s="8">
        <v>2.59</v>
      </c>
      <c r="E56" s="12">
        <v>7</v>
      </c>
      <c r="F56" s="8">
        <v>4.12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197</v>
      </c>
      <c r="C57" s="12">
        <v>6</v>
      </c>
      <c r="D57" s="8">
        <v>2.2200000000000002</v>
      </c>
      <c r="E57" s="12">
        <v>5</v>
      </c>
      <c r="F57" s="8">
        <v>2.94</v>
      </c>
      <c r="G57" s="12">
        <v>1</v>
      </c>
      <c r="H57" s="8">
        <v>1.05</v>
      </c>
      <c r="I57" s="12">
        <v>0</v>
      </c>
    </row>
    <row r="58" spans="2:9" ht="15" customHeight="1" x14ac:dyDescent="0.2">
      <c r="B58" t="s">
        <v>192</v>
      </c>
      <c r="C58" s="12">
        <v>6</v>
      </c>
      <c r="D58" s="8">
        <v>2.2200000000000002</v>
      </c>
      <c r="E58" s="12">
        <v>5</v>
      </c>
      <c r="F58" s="8">
        <v>2.94</v>
      </c>
      <c r="G58" s="12">
        <v>1</v>
      </c>
      <c r="H58" s="8">
        <v>1.05</v>
      </c>
      <c r="I58" s="12">
        <v>0</v>
      </c>
    </row>
    <row r="59" spans="2:9" ht="15" customHeight="1" x14ac:dyDescent="0.2">
      <c r="B59" t="s">
        <v>178</v>
      </c>
      <c r="C59" s="12">
        <v>5</v>
      </c>
      <c r="D59" s="8">
        <v>1.85</v>
      </c>
      <c r="E59" s="12">
        <v>3</v>
      </c>
      <c r="F59" s="8">
        <v>1.76</v>
      </c>
      <c r="G59" s="12">
        <v>2</v>
      </c>
      <c r="H59" s="8">
        <v>2.11</v>
      </c>
      <c r="I59" s="12">
        <v>0</v>
      </c>
    </row>
    <row r="60" spans="2:9" ht="15" customHeight="1" x14ac:dyDescent="0.2">
      <c r="B60" t="s">
        <v>187</v>
      </c>
      <c r="C60" s="12">
        <v>5</v>
      </c>
      <c r="D60" s="8">
        <v>1.85</v>
      </c>
      <c r="E60" s="12">
        <v>5</v>
      </c>
      <c r="F60" s="8">
        <v>2.94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175</v>
      </c>
      <c r="C61" s="12">
        <v>4</v>
      </c>
      <c r="D61" s="8">
        <v>1.48</v>
      </c>
      <c r="E61" s="12">
        <v>2</v>
      </c>
      <c r="F61" s="8">
        <v>1.18</v>
      </c>
      <c r="G61" s="12">
        <v>2</v>
      </c>
      <c r="H61" s="8">
        <v>2.11</v>
      </c>
      <c r="I61" s="12">
        <v>0</v>
      </c>
    </row>
    <row r="62" spans="2:9" ht="15" customHeight="1" x14ac:dyDescent="0.2">
      <c r="B62" t="s">
        <v>224</v>
      </c>
      <c r="C62" s="12">
        <v>4</v>
      </c>
      <c r="D62" s="8">
        <v>1.48</v>
      </c>
      <c r="E62" s="12">
        <v>4</v>
      </c>
      <c r="F62" s="8">
        <v>2.35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201</v>
      </c>
      <c r="C63" s="12">
        <v>4</v>
      </c>
      <c r="D63" s="8">
        <v>1.48</v>
      </c>
      <c r="E63" s="12">
        <v>2</v>
      </c>
      <c r="F63" s="8">
        <v>1.18</v>
      </c>
      <c r="G63" s="12">
        <v>2</v>
      </c>
      <c r="H63" s="8">
        <v>2.11</v>
      </c>
      <c r="I63" s="12">
        <v>0</v>
      </c>
    </row>
    <row r="64" spans="2:9" ht="15" customHeight="1" x14ac:dyDescent="0.2">
      <c r="B64" t="s">
        <v>194</v>
      </c>
      <c r="C64" s="12">
        <v>4</v>
      </c>
      <c r="D64" s="8">
        <v>1.48</v>
      </c>
      <c r="E64" s="12">
        <v>3</v>
      </c>
      <c r="F64" s="8">
        <v>1.76</v>
      </c>
      <c r="G64" s="12">
        <v>1</v>
      </c>
      <c r="H64" s="8">
        <v>1.05</v>
      </c>
      <c r="I64" s="12">
        <v>0</v>
      </c>
    </row>
    <row r="65" spans="2:9" ht="15" customHeight="1" x14ac:dyDescent="0.2">
      <c r="B65" t="s">
        <v>288</v>
      </c>
      <c r="C65" s="12">
        <v>4</v>
      </c>
      <c r="D65" s="8">
        <v>1.48</v>
      </c>
      <c r="E65" s="12">
        <v>3</v>
      </c>
      <c r="F65" s="8">
        <v>1.76</v>
      </c>
      <c r="G65" s="12">
        <v>1</v>
      </c>
      <c r="H65" s="8">
        <v>1.05</v>
      </c>
      <c r="I65" s="12">
        <v>0</v>
      </c>
    </row>
    <row r="66" spans="2:9" ht="15" customHeight="1" x14ac:dyDescent="0.2">
      <c r="B66" t="s">
        <v>190</v>
      </c>
      <c r="C66" s="12">
        <v>4</v>
      </c>
      <c r="D66" s="8">
        <v>1.48</v>
      </c>
      <c r="E66" s="12">
        <v>4</v>
      </c>
      <c r="F66" s="8">
        <v>2.35</v>
      </c>
      <c r="G66" s="12">
        <v>0</v>
      </c>
      <c r="H66" s="8">
        <v>0</v>
      </c>
      <c r="I66" s="12">
        <v>0</v>
      </c>
    </row>
    <row r="68" spans="2:9" ht="15" customHeight="1" x14ac:dyDescent="0.2">
      <c r="B68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CB01E-23B3-41A3-90F6-A95C15820C08}">
  <sheetPr>
    <pageSetUpPr fitToPage="1"/>
  </sheetPr>
  <dimension ref="B2:I6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410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4</v>
      </c>
      <c r="D6" s="8">
        <v>12.9</v>
      </c>
      <c r="E6" s="12">
        <v>1</v>
      </c>
      <c r="F6" s="8">
        <v>5.56</v>
      </c>
      <c r="G6" s="12">
        <v>3</v>
      </c>
      <c r="H6" s="8">
        <v>27.27</v>
      </c>
      <c r="I6" s="12">
        <v>0</v>
      </c>
    </row>
    <row r="7" spans="2:9" ht="15" customHeight="1" x14ac:dyDescent="0.2">
      <c r="B7" t="s">
        <v>80</v>
      </c>
      <c r="C7" s="12">
        <v>0</v>
      </c>
      <c r="D7" s="8">
        <v>0</v>
      </c>
      <c r="E7" s="12">
        <v>0</v>
      </c>
      <c r="F7" s="8">
        <v>0</v>
      </c>
      <c r="G7" s="12">
        <v>0</v>
      </c>
      <c r="H7" s="8">
        <v>0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3.23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84</v>
      </c>
      <c r="C11" s="12">
        <v>7</v>
      </c>
      <c r="D11" s="8">
        <v>22.58</v>
      </c>
      <c r="E11" s="12">
        <v>5</v>
      </c>
      <c r="F11" s="8">
        <v>27.78</v>
      </c>
      <c r="G11" s="12">
        <v>2</v>
      </c>
      <c r="H11" s="8">
        <v>18.18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87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88</v>
      </c>
      <c r="C15" s="12">
        <v>10</v>
      </c>
      <c r="D15" s="8">
        <v>32.26</v>
      </c>
      <c r="E15" s="12">
        <v>8</v>
      </c>
      <c r="F15" s="8">
        <v>44.44</v>
      </c>
      <c r="G15" s="12">
        <v>2</v>
      </c>
      <c r="H15" s="8">
        <v>18.18</v>
      </c>
      <c r="I15" s="12">
        <v>0</v>
      </c>
    </row>
    <row r="16" spans="2:9" ht="15" customHeight="1" x14ac:dyDescent="0.2">
      <c r="B16" t="s">
        <v>89</v>
      </c>
      <c r="C16" s="12">
        <v>4</v>
      </c>
      <c r="D16" s="8">
        <v>12.9</v>
      </c>
      <c r="E16" s="12">
        <v>2</v>
      </c>
      <c r="F16" s="8">
        <v>11.11</v>
      </c>
      <c r="G16" s="12">
        <v>2</v>
      </c>
      <c r="H16" s="8">
        <v>18.18</v>
      </c>
      <c r="I16" s="12">
        <v>0</v>
      </c>
    </row>
    <row r="17" spans="2:9" ht="15" customHeight="1" x14ac:dyDescent="0.2">
      <c r="B17" t="s">
        <v>90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3</v>
      </c>
      <c r="D18" s="8">
        <v>9.68</v>
      </c>
      <c r="E18" s="12">
        <v>1</v>
      </c>
      <c r="F18" s="8">
        <v>5.56</v>
      </c>
      <c r="G18" s="12">
        <v>1</v>
      </c>
      <c r="H18" s="8">
        <v>9.09</v>
      </c>
      <c r="I18" s="12">
        <v>0</v>
      </c>
    </row>
    <row r="19" spans="2:9" ht="15" customHeight="1" x14ac:dyDescent="0.2">
      <c r="B19" t="s">
        <v>92</v>
      </c>
      <c r="C19" s="12">
        <v>2</v>
      </c>
      <c r="D19" s="8">
        <v>6.45</v>
      </c>
      <c r="E19" s="12">
        <v>1</v>
      </c>
      <c r="F19" s="8">
        <v>5.56</v>
      </c>
      <c r="G19" s="12">
        <v>1</v>
      </c>
      <c r="H19" s="8">
        <v>9.09</v>
      </c>
      <c r="I19" s="12">
        <v>0</v>
      </c>
    </row>
    <row r="20" spans="2:9" ht="15" customHeight="1" x14ac:dyDescent="0.2">
      <c r="B20" s="9" t="s">
        <v>363</v>
      </c>
      <c r="C20" s="12">
        <f>SUM(LTBL_20409[総数／事業所数])</f>
        <v>31</v>
      </c>
      <c r="E20" s="12">
        <f>SUBTOTAL(109,LTBL_20409[個人／事業所数])</f>
        <v>18</v>
      </c>
      <c r="G20" s="12">
        <f>SUBTOTAL(109,LTBL_20409[法人／事業所数])</f>
        <v>11</v>
      </c>
      <c r="I20" s="12">
        <f>SUBTOTAL(109,LTBL_20409[法人以外の団体／事業所数])</f>
        <v>0</v>
      </c>
    </row>
    <row r="21" spans="2:9" ht="15" customHeight="1" x14ac:dyDescent="0.2">
      <c r="E21" s="11">
        <f>LTBL_20409[[#Totals],[個人／事業所数]]/LTBL_20409[[#Totals],[総数／事業所数]]</f>
        <v>0.58064516129032262</v>
      </c>
      <c r="G21" s="11">
        <f>LTBL_20409[[#Totals],[法人／事業所数]]/LTBL_20409[[#Totals],[総数／事業所数]]</f>
        <v>0.35483870967741937</v>
      </c>
      <c r="I21" s="11">
        <f>LTBL_20409[[#Totals],[法人以外の団体／事業所数]]/LTBL_20409[[#Totals],[総数／事業所数]]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8</v>
      </c>
      <c r="D24" s="8">
        <v>25.81</v>
      </c>
      <c r="E24" s="12">
        <v>8</v>
      </c>
      <c r="F24" s="8">
        <v>44.44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110</v>
      </c>
      <c r="C25" s="12">
        <v>4</v>
      </c>
      <c r="D25" s="8">
        <v>12.9</v>
      </c>
      <c r="E25" s="12">
        <v>2</v>
      </c>
      <c r="F25" s="8">
        <v>11.11</v>
      </c>
      <c r="G25" s="12">
        <v>2</v>
      </c>
      <c r="H25" s="8">
        <v>18.18</v>
      </c>
      <c r="I25" s="12">
        <v>0</v>
      </c>
    </row>
    <row r="26" spans="2:9" ht="15" customHeight="1" x14ac:dyDescent="0.2">
      <c r="B26" t="s">
        <v>101</v>
      </c>
      <c r="C26" s="12">
        <v>3</v>
      </c>
      <c r="D26" s="8">
        <v>9.68</v>
      </c>
      <c r="E26" s="12">
        <v>0</v>
      </c>
      <c r="F26" s="8">
        <v>0</v>
      </c>
      <c r="G26" s="12">
        <v>3</v>
      </c>
      <c r="H26" s="8">
        <v>27.27</v>
      </c>
      <c r="I26" s="12">
        <v>0</v>
      </c>
    </row>
    <row r="27" spans="2:9" ht="15" customHeight="1" x14ac:dyDescent="0.2">
      <c r="B27" t="s">
        <v>108</v>
      </c>
      <c r="C27" s="12">
        <v>3</v>
      </c>
      <c r="D27" s="8">
        <v>9.68</v>
      </c>
      <c r="E27" s="12">
        <v>3</v>
      </c>
      <c r="F27" s="8">
        <v>16.670000000000002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132</v>
      </c>
      <c r="C28" s="12">
        <v>3</v>
      </c>
      <c r="D28" s="8">
        <v>9.68</v>
      </c>
      <c r="E28" s="12">
        <v>1</v>
      </c>
      <c r="F28" s="8">
        <v>5.56</v>
      </c>
      <c r="G28" s="12">
        <v>2</v>
      </c>
      <c r="H28" s="8">
        <v>18.18</v>
      </c>
      <c r="I28" s="12">
        <v>0</v>
      </c>
    </row>
    <row r="29" spans="2:9" ht="15" customHeight="1" x14ac:dyDescent="0.2">
      <c r="B29" t="s">
        <v>114</v>
      </c>
      <c r="C29" s="12">
        <v>2</v>
      </c>
      <c r="D29" s="8">
        <v>6.45</v>
      </c>
      <c r="E29" s="12">
        <v>0</v>
      </c>
      <c r="F29" s="8">
        <v>0</v>
      </c>
      <c r="G29" s="12">
        <v>2</v>
      </c>
      <c r="H29" s="8">
        <v>18.18</v>
      </c>
      <c r="I29" s="12">
        <v>0</v>
      </c>
    </row>
    <row r="30" spans="2:9" ht="15" customHeight="1" x14ac:dyDescent="0.2">
      <c r="B30" t="s">
        <v>119</v>
      </c>
      <c r="C30" s="12">
        <v>2</v>
      </c>
      <c r="D30" s="8">
        <v>6.45</v>
      </c>
      <c r="E30" s="12">
        <v>0</v>
      </c>
      <c r="F30" s="8">
        <v>0</v>
      </c>
      <c r="G30" s="12">
        <v>1</v>
      </c>
      <c r="H30" s="8">
        <v>9.09</v>
      </c>
      <c r="I30" s="12">
        <v>0</v>
      </c>
    </row>
    <row r="31" spans="2:9" ht="15" customHeight="1" x14ac:dyDescent="0.2">
      <c r="B31" t="s">
        <v>102</v>
      </c>
      <c r="C31" s="12">
        <v>1</v>
      </c>
      <c r="D31" s="8">
        <v>3.23</v>
      </c>
      <c r="E31" s="12">
        <v>1</v>
      </c>
      <c r="F31" s="8">
        <v>5.56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139</v>
      </c>
      <c r="C32" s="12">
        <v>1</v>
      </c>
      <c r="D32" s="8">
        <v>3.23</v>
      </c>
      <c r="E32" s="12">
        <v>0</v>
      </c>
      <c r="F32" s="8">
        <v>0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116</v>
      </c>
      <c r="C33" s="12">
        <v>1</v>
      </c>
      <c r="D33" s="8">
        <v>3.23</v>
      </c>
      <c r="E33" s="12">
        <v>1</v>
      </c>
      <c r="F33" s="8">
        <v>5.56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118</v>
      </c>
      <c r="C34" s="12">
        <v>1</v>
      </c>
      <c r="D34" s="8">
        <v>3.23</v>
      </c>
      <c r="E34" s="12">
        <v>1</v>
      </c>
      <c r="F34" s="8">
        <v>5.56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163</v>
      </c>
      <c r="C35" s="12">
        <v>1</v>
      </c>
      <c r="D35" s="8">
        <v>3.23</v>
      </c>
      <c r="E35" s="12">
        <v>0</v>
      </c>
      <c r="F35" s="8">
        <v>0</v>
      </c>
      <c r="G35" s="12">
        <v>1</v>
      </c>
      <c r="H35" s="8">
        <v>9.09</v>
      </c>
      <c r="I35" s="12">
        <v>0</v>
      </c>
    </row>
    <row r="36" spans="2:9" ht="15" customHeight="1" x14ac:dyDescent="0.2">
      <c r="B36" t="s">
        <v>120</v>
      </c>
      <c r="C36" s="12">
        <v>1</v>
      </c>
      <c r="D36" s="8">
        <v>3.23</v>
      </c>
      <c r="E36" s="12">
        <v>1</v>
      </c>
      <c r="F36" s="8">
        <v>5.56</v>
      </c>
      <c r="G36" s="12">
        <v>0</v>
      </c>
      <c r="H36" s="8">
        <v>0</v>
      </c>
      <c r="I36" s="12">
        <v>0</v>
      </c>
    </row>
    <row r="39" spans="2:9" ht="33" customHeight="1" x14ac:dyDescent="0.2">
      <c r="B39" t="s">
        <v>365</v>
      </c>
      <c r="C39" s="10" t="s">
        <v>94</v>
      </c>
      <c r="D39" s="10" t="s">
        <v>95</v>
      </c>
      <c r="E39" s="10" t="s">
        <v>96</v>
      </c>
      <c r="F39" s="10" t="s">
        <v>97</v>
      </c>
      <c r="G39" s="10" t="s">
        <v>98</v>
      </c>
      <c r="H39" s="10" t="s">
        <v>99</v>
      </c>
      <c r="I39" s="10" t="s">
        <v>100</v>
      </c>
    </row>
    <row r="40" spans="2:9" ht="15" customHeight="1" x14ac:dyDescent="0.2">
      <c r="B40" t="s">
        <v>186</v>
      </c>
      <c r="C40" s="12">
        <v>4</v>
      </c>
      <c r="D40" s="8">
        <v>12.9</v>
      </c>
      <c r="E40" s="12">
        <v>4</v>
      </c>
      <c r="F40" s="8">
        <v>22.22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174</v>
      </c>
      <c r="C41" s="12">
        <v>2</v>
      </c>
      <c r="D41" s="8">
        <v>6.45</v>
      </c>
      <c r="E41" s="12">
        <v>0</v>
      </c>
      <c r="F41" s="8">
        <v>0</v>
      </c>
      <c r="G41" s="12">
        <v>2</v>
      </c>
      <c r="H41" s="8">
        <v>18.18</v>
      </c>
      <c r="I41" s="12">
        <v>0</v>
      </c>
    </row>
    <row r="42" spans="2:9" ht="15" customHeight="1" x14ac:dyDescent="0.2">
      <c r="B42" t="s">
        <v>216</v>
      </c>
      <c r="C42" s="12">
        <v>2</v>
      </c>
      <c r="D42" s="8">
        <v>6.45</v>
      </c>
      <c r="E42" s="12">
        <v>1</v>
      </c>
      <c r="F42" s="8">
        <v>5.56</v>
      </c>
      <c r="G42" s="12">
        <v>1</v>
      </c>
      <c r="H42" s="8">
        <v>9.09</v>
      </c>
      <c r="I42" s="12">
        <v>0</v>
      </c>
    </row>
    <row r="43" spans="2:9" ht="15" customHeight="1" x14ac:dyDescent="0.2">
      <c r="B43" t="s">
        <v>187</v>
      </c>
      <c r="C43" s="12">
        <v>2</v>
      </c>
      <c r="D43" s="8">
        <v>6.45</v>
      </c>
      <c r="E43" s="12">
        <v>2</v>
      </c>
      <c r="F43" s="8">
        <v>11.11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249</v>
      </c>
      <c r="C44" s="12">
        <v>2</v>
      </c>
      <c r="D44" s="8">
        <v>6.45</v>
      </c>
      <c r="E44" s="12">
        <v>0</v>
      </c>
      <c r="F44" s="8">
        <v>0</v>
      </c>
      <c r="G44" s="12">
        <v>2</v>
      </c>
      <c r="H44" s="8">
        <v>18.18</v>
      </c>
      <c r="I44" s="12">
        <v>0</v>
      </c>
    </row>
    <row r="45" spans="2:9" ht="15" customHeight="1" x14ac:dyDescent="0.2">
      <c r="B45" t="s">
        <v>175</v>
      </c>
      <c r="C45" s="12">
        <v>1</v>
      </c>
      <c r="D45" s="8">
        <v>3.23</v>
      </c>
      <c r="E45" s="12">
        <v>0</v>
      </c>
      <c r="F45" s="8">
        <v>0</v>
      </c>
      <c r="G45" s="12">
        <v>1</v>
      </c>
      <c r="H45" s="8">
        <v>9.09</v>
      </c>
      <c r="I45" s="12">
        <v>0</v>
      </c>
    </row>
    <row r="46" spans="2:9" ht="15" customHeight="1" x14ac:dyDescent="0.2">
      <c r="B46" t="s">
        <v>286</v>
      </c>
      <c r="C46" s="12">
        <v>1</v>
      </c>
      <c r="D46" s="8">
        <v>3.23</v>
      </c>
      <c r="E46" s="12">
        <v>1</v>
      </c>
      <c r="F46" s="8">
        <v>5.56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232</v>
      </c>
      <c r="C47" s="12">
        <v>1</v>
      </c>
      <c r="D47" s="8">
        <v>3.23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214</v>
      </c>
      <c r="C48" s="12">
        <v>1</v>
      </c>
      <c r="D48" s="8">
        <v>3.23</v>
      </c>
      <c r="E48" s="12">
        <v>1</v>
      </c>
      <c r="F48" s="8">
        <v>5.56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197</v>
      </c>
      <c r="C49" s="12">
        <v>1</v>
      </c>
      <c r="D49" s="8">
        <v>3.23</v>
      </c>
      <c r="E49" s="12">
        <v>1</v>
      </c>
      <c r="F49" s="8">
        <v>5.56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179</v>
      </c>
      <c r="C50" s="12">
        <v>1</v>
      </c>
      <c r="D50" s="8">
        <v>3.23</v>
      </c>
      <c r="E50" s="12">
        <v>1</v>
      </c>
      <c r="F50" s="8">
        <v>5.56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288</v>
      </c>
      <c r="C51" s="12">
        <v>1</v>
      </c>
      <c r="D51" s="8">
        <v>3.23</v>
      </c>
      <c r="E51" s="12">
        <v>1</v>
      </c>
      <c r="F51" s="8">
        <v>5.56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282</v>
      </c>
      <c r="C52" s="12">
        <v>1</v>
      </c>
      <c r="D52" s="8">
        <v>3.23</v>
      </c>
      <c r="E52" s="12">
        <v>0</v>
      </c>
      <c r="F52" s="8">
        <v>0</v>
      </c>
      <c r="G52" s="12">
        <v>1</v>
      </c>
      <c r="H52" s="8">
        <v>9.09</v>
      </c>
      <c r="I52" s="12">
        <v>0</v>
      </c>
    </row>
    <row r="53" spans="2:9" ht="15" customHeight="1" x14ac:dyDescent="0.2">
      <c r="B53" t="s">
        <v>247</v>
      </c>
      <c r="C53" s="12">
        <v>1</v>
      </c>
      <c r="D53" s="8">
        <v>3.23</v>
      </c>
      <c r="E53" s="12">
        <v>0</v>
      </c>
      <c r="F53" s="8">
        <v>0</v>
      </c>
      <c r="G53" s="12">
        <v>1</v>
      </c>
      <c r="H53" s="8">
        <v>9.09</v>
      </c>
      <c r="I53" s="12">
        <v>0</v>
      </c>
    </row>
    <row r="54" spans="2:9" ht="15" customHeight="1" x14ac:dyDescent="0.2">
      <c r="B54" t="s">
        <v>234</v>
      </c>
      <c r="C54" s="12">
        <v>1</v>
      </c>
      <c r="D54" s="8">
        <v>3.23</v>
      </c>
      <c r="E54" s="12">
        <v>0</v>
      </c>
      <c r="F54" s="8">
        <v>0</v>
      </c>
      <c r="G54" s="12">
        <v>1</v>
      </c>
      <c r="H54" s="8">
        <v>9.09</v>
      </c>
      <c r="I54" s="12">
        <v>0</v>
      </c>
    </row>
    <row r="55" spans="2:9" ht="15" customHeight="1" x14ac:dyDescent="0.2">
      <c r="B55" t="s">
        <v>220</v>
      </c>
      <c r="C55" s="12">
        <v>1</v>
      </c>
      <c r="D55" s="8">
        <v>3.23</v>
      </c>
      <c r="E55" s="12">
        <v>1</v>
      </c>
      <c r="F55" s="8">
        <v>5.56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198</v>
      </c>
      <c r="C56" s="12">
        <v>1</v>
      </c>
      <c r="D56" s="8">
        <v>3.23</v>
      </c>
      <c r="E56" s="12">
        <v>1</v>
      </c>
      <c r="F56" s="8">
        <v>5.56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190</v>
      </c>
      <c r="C57" s="12">
        <v>1</v>
      </c>
      <c r="D57" s="8">
        <v>3.23</v>
      </c>
      <c r="E57" s="12">
        <v>1</v>
      </c>
      <c r="F57" s="8">
        <v>5.56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229</v>
      </c>
      <c r="C58" s="12">
        <v>1</v>
      </c>
      <c r="D58" s="8">
        <v>3.23</v>
      </c>
      <c r="E58" s="12">
        <v>1</v>
      </c>
      <c r="F58" s="8">
        <v>5.56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193</v>
      </c>
      <c r="C59" s="12">
        <v>1</v>
      </c>
      <c r="D59" s="8">
        <v>3.23</v>
      </c>
      <c r="E59" s="12">
        <v>1</v>
      </c>
      <c r="F59" s="8">
        <v>5.56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217</v>
      </c>
      <c r="C60" s="12">
        <v>1</v>
      </c>
      <c r="D60" s="8">
        <v>3.23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289</v>
      </c>
      <c r="C61" s="12">
        <v>1</v>
      </c>
      <c r="D61" s="8">
        <v>3.23</v>
      </c>
      <c r="E61" s="12">
        <v>0</v>
      </c>
      <c r="F61" s="8">
        <v>0</v>
      </c>
      <c r="G61" s="12">
        <v>1</v>
      </c>
      <c r="H61" s="8">
        <v>9.09</v>
      </c>
      <c r="I61" s="12">
        <v>0</v>
      </c>
    </row>
    <row r="62" spans="2:9" ht="15" customHeight="1" x14ac:dyDescent="0.2">
      <c r="B62" t="s">
        <v>290</v>
      </c>
      <c r="C62" s="12">
        <v>1</v>
      </c>
      <c r="D62" s="8">
        <v>3.23</v>
      </c>
      <c r="E62" s="12">
        <v>0</v>
      </c>
      <c r="F62" s="8">
        <v>0</v>
      </c>
      <c r="G62" s="12">
        <v>1</v>
      </c>
      <c r="H62" s="8">
        <v>9.09</v>
      </c>
      <c r="I62" s="12">
        <v>0</v>
      </c>
    </row>
    <row r="63" spans="2:9" ht="15" customHeight="1" x14ac:dyDescent="0.2">
      <c r="B63" t="s">
        <v>200</v>
      </c>
      <c r="C63" s="12">
        <v>1</v>
      </c>
      <c r="D63" s="8">
        <v>3.23</v>
      </c>
      <c r="E63" s="12">
        <v>1</v>
      </c>
      <c r="F63" s="8">
        <v>5.56</v>
      </c>
      <c r="G63" s="12">
        <v>0</v>
      </c>
      <c r="H63" s="8">
        <v>0</v>
      </c>
      <c r="I63" s="12">
        <v>0</v>
      </c>
    </row>
    <row r="65" spans="2:2" ht="15" customHeight="1" x14ac:dyDescent="0.2">
      <c r="B65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B0BE4-7D57-495D-BFEF-CF8E28D3ED0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361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32</v>
      </c>
      <c r="D5" s="8">
        <v>0.05</v>
      </c>
      <c r="E5" s="12">
        <v>5</v>
      </c>
      <c r="F5" s="8">
        <v>0.02</v>
      </c>
      <c r="G5" s="12">
        <v>27</v>
      </c>
      <c r="H5" s="8">
        <v>0.09</v>
      </c>
      <c r="I5" s="12">
        <v>0</v>
      </c>
    </row>
    <row r="6" spans="2:9" ht="15" customHeight="1" x14ac:dyDescent="0.2">
      <c r="B6" t="s">
        <v>79</v>
      </c>
      <c r="C6" s="12">
        <v>9036</v>
      </c>
      <c r="D6" s="8">
        <v>14.64</v>
      </c>
      <c r="E6" s="12">
        <v>3455</v>
      </c>
      <c r="F6" s="8">
        <v>10.71</v>
      </c>
      <c r="G6" s="12">
        <v>5581</v>
      </c>
      <c r="H6" s="8">
        <v>19.579999999999998</v>
      </c>
      <c r="I6" s="12">
        <v>0</v>
      </c>
    </row>
    <row r="7" spans="2:9" ht="15" customHeight="1" x14ac:dyDescent="0.2">
      <c r="B7" t="s">
        <v>80</v>
      </c>
      <c r="C7" s="12">
        <v>6202</v>
      </c>
      <c r="D7" s="8">
        <v>10.050000000000001</v>
      </c>
      <c r="E7" s="12">
        <v>2237</v>
      </c>
      <c r="F7" s="8">
        <v>6.93</v>
      </c>
      <c r="G7" s="12">
        <v>3954</v>
      </c>
      <c r="H7" s="8">
        <v>13.88</v>
      </c>
      <c r="I7" s="12">
        <v>7</v>
      </c>
    </row>
    <row r="8" spans="2:9" ht="15" customHeight="1" x14ac:dyDescent="0.2">
      <c r="B8" t="s">
        <v>81</v>
      </c>
      <c r="C8" s="12">
        <v>205</v>
      </c>
      <c r="D8" s="8">
        <v>0.33</v>
      </c>
      <c r="E8" s="12">
        <v>11</v>
      </c>
      <c r="F8" s="8">
        <v>0.03</v>
      </c>
      <c r="G8" s="12">
        <v>155</v>
      </c>
      <c r="H8" s="8">
        <v>0.54</v>
      </c>
      <c r="I8" s="12">
        <v>2</v>
      </c>
    </row>
    <row r="9" spans="2:9" ht="15" customHeight="1" x14ac:dyDescent="0.2">
      <c r="B9" t="s">
        <v>82</v>
      </c>
      <c r="C9" s="12">
        <v>553</v>
      </c>
      <c r="D9" s="8">
        <v>0.9</v>
      </c>
      <c r="E9" s="12">
        <v>73</v>
      </c>
      <c r="F9" s="8">
        <v>0.23</v>
      </c>
      <c r="G9" s="12">
        <v>473</v>
      </c>
      <c r="H9" s="8">
        <v>1.66</v>
      </c>
      <c r="I9" s="12">
        <v>3</v>
      </c>
    </row>
    <row r="10" spans="2:9" ht="15" customHeight="1" x14ac:dyDescent="0.2">
      <c r="B10" t="s">
        <v>83</v>
      </c>
      <c r="C10" s="12">
        <v>479</v>
      </c>
      <c r="D10" s="8">
        <v>0.78</v>
      </c>
      <c r="E10" s="12">
        <v>119</v>
      </c>
      <c r="F10" s="8">
        <v>0.37</v>
      </c>
      <c r="G10" s="12">
        <v>328</v>
      </c>
      <c r="H10" s="8">
        <v>1.1499999999999999</v>
      </c>
      <c r="I10" s="12">
        <v>22</v>
      </c>
    </row>
    <row r="11" spans="2:9" ht="15" customHeight="1" x14ac:dyDescent="0.2">
      <c r="B11" t="s">
        <v>84</v>
      </c>
      <c r="C11" s="12">
        <v>13161</v>
      </c>
      <c r="D11" s="8">
        <v>21.32</v>
      </c>
      <c r="E11" s="12">
        <v>5596</v>
      </c>
      <c r="F11" s="8">
        <v>17.34</v>
      </c>
      <c r="G11" s="12">
        <v>7532</v>
      </c>
      <c r="H11" s="8">
        <v>26.43</v>
      </c>
      <c r="I11" s="12">
        <v>28</v>
      </c>
    </row>
    <row r="12" spans="2:9" ht="15" customHeight="1" x14ac:dyDescent="0.2">
      <c r="B12" t="s">
        <v>85</v>
      </c>
      <c r="C12" s="12">
        <v>405</v>
      </c>
      <c r="D12" s="8">
        <v>0.66</v>
      </c>
      <c r="E12" s="12">
        <v>71</v>
      </c>
      <c r="F12" s="8">
        <v>0.22</v>
      </c>
      <c r="G12" s="12">
        <v>331</v>
      </c>
      <c r="H12" s="8">
        <v>1.1599999999999999</v>
      </c>
      <c r="I12" s="12">
        <v>1</v>
      </c>
    </row>
    <row r="13" spans="2:9" ht="15" customHeight="1" x14ac:dyDescent="0.2">
      <c r="B13" t="s">
        <v>86</v>
      </c>
      <c r="C13" s="12">
        <v>5787</v>
      </c>
      <c r="D13" s="8">
        <v>9.3800000000000008</v>
      </c>
      <c r="E13" s="12">
        <v>3047</v>
      </c>
      <c r="F13" s="8">
        <v>9.44</v>
      </c>
      <c r="G13" s="12">
        <v>2720</v>
      </c>
      <c r="H13" s="8">
        <v>9.5399999999999991</v>
      </c>
      <c r="I13" s="12">
        <v>6</v>
      </c>
    </row>
    <row r="14" spans="2:9" ht="15" customHeight="1" x14ac:dyDescent="0.2">
      <c r="B14" t="s">
        <v>87</v>
      </c>
      <c r="C14" s="12">
        <v>3078</v>
      </c>
      <c r="D14" s="8">
        <v>4.99</v>
      </c>
      <c r="E14" s="12">
        <v>1682</v>
      </c>
      <c r="F14" s="8">
        <v>5.21</v>
      </c>
      <c r="G14" s="12">
        <v>1353</v>
      </c>
      <c r="H14" s="8">
        <v>4.75</v>
      </c>
      <c r="I14" s="12">
        <v>6</v>
      </c>
    </row>
    <row r="15" spans="2:9" ht="15" customHeight="1" x14ac:dyDescent="0.2">
      <c r="B15" t="s">
        <v>88</v>
      </c>
      <c r="C15" s="12">
        <v>9183</v>
      </c>
      <c r="D15" s="8">
        <v>14.88</v>
      </c>
      <c r="E15" s="12">
        <v>7059</v>
      </c>
      <c r="F15" s="8">
        <v>21.88</v>
      </c>
      <c r="G15" s="12">
        <v>2101</v>
      </c>
      <c r="H15" s="8">
        <v>7.37</v>
      </c>
      <c r="I15" s="12">
        <v>4</v>
      </c>
    </row>
    <row r="16" spans="2:9" ht="15" customHeight="1" x14ac:dyDescent="0.2">
      <c r="B16" t="s">
        <v>89</v>
      </c>
      <c r="C16" s="12">
        <v>6661</v>
      </c>
      <c r="D16" s="8">
        <v>10.79</v>
      </c>
      <c r="E16" s="12">
        <v>5222</v>
      </c>
      <c r="F16" s="8">
        <v>16.18</v>
      </c>
      <c r="G16" s="12">
        <v>1384</v>
      </c>
      <c r="H16" s="8">
        <v>4.8600000000000003</v>
      </c>
      <c r="I16" s="12">
        <v>11</v>
      </c>
    </row>
    <row r="17" spans="2:9" ht="15" customHeight="1" x14ac:dyDescent="0.2">
      <c r="B17" t="s">
        <v>90</v>
      </c>
      <c r="C17" s="12">
        <v>2177</v>
      </c>
      <c r="D17" s="8">
        <v>3.53</v>
      </c>
      <c r="E17" s="12">
        <v>1266</v>
      </c>
      <c r="F17" s="8">
        <v>3.92</v>
      </c>
      <c r="G17" s="12">
        <v>575</v>
      </c>
      <c r="H17" s="8">
        <v>2.02</v>
      </c>
      <c r="I17" s="12">
        <v>17</v>
      </c>
    </row>
    <row r="18" spans="2:9" ht="15" customHeight="1" x14ac:dyDescent="0.2">
      <c r="B18" t="s">
        <v>91</v>
      </c>
      <c r="C18" s="12">
        <v>2752</v>
      </c>
      <c r="D18" s="8">
        <v>4.46</v>
      </c>
      <c r="E18" s="12">
        <v>1691</v>
      </c>
      <c r="F18" s="8">
        <v>5.24</v>
      </c>
      <c r="G18" s="12">
        <v>820</v>
      </c>
      <c r="H18" s="8">
        <v>2.88</v>
      </c>
      <c r="I18" s="12">
        <v>6</v>
      </c>
    </row>
    <row r="19" spans="2:9" ht="15" customHeight="1" x14ac:dyDescent="0.2">
      <c r="B19" t="s">
        <v>92</v>
      </c>
      <c r="C19" s="12">
        <v>2016</v>
      </c>
      <c r="D19" s="8">
        <v>3.27</v>
      </c>
      <c r="E19" s="12">
        <v>734</v>
      </c>
      <c r="F19" s="8">
        <v>2.27</v>
      </c>
      <c r="G19" s="12">
        <v>1163</v>
      </c>
      <c r="H19" s="8">
        <v>4.08</v>
      </c>
      <c r="I19" s="12">
        <v>41</v>
      </c>
    </row>
    <row r="20" spans="2:9" ht="15" customHeight="1" x14ac:dyDescent="0.2">
      <c r="B20" s="9" t="s">
        <v>363</v>
      </c>
      <c r="C20" s="12">
        <f>SUM(LTBL_20000[総数／事業所数])</f>
        <v>61727</v>
      </c>
      <c r="E20" s="12">
        <f>SUBTOTAL(109,LTBL_20000[個人／事業所数])</f>
        <v>32268</v>
      </c>
      <c r="G20" s="12">
        <f>SUBTOTAL(109,LTBL_20000[法人／事業所数])</f>
        <v>28497</v>
      </c>
      <c r="I20" s="12">
        <f>SUBTOTAL(109,LTBL_20000[法人以外の団体／事業所数])</f>
        <v>154</v>
      </c>
    </row>
    <row r="21" spans="2:9" ht="15" customHeight="1" x14ac:dyDescent="0.2">
      <c r="E21" s="11">
        <f>LTBL_20000[[#Totals],[個人／事業所数]]/LTBL_20000[[#Totals],[総数／事業所数]]</f>
        <v>0.52275341422716148</v>
      </c>
      <c r="G21" s="11">
        <f>LTBL_20000[[#Totals],[法人／事業所数]]/LTBL_20000[[#Totals],[総数／事業所数]]</f>
        <v>0.46166183355743839</v>
      </c>
      <c r="I21" s="11">
        <f>LTBL_20000[[#Totals],[法人以外の団体／事業所数]]/LTBL_20000[[#Totals],[総数／事業所数]]</f>
        <v>2.4948563837542729E-3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6564</v>
      </c>
      <c r="D24" s="8">
        <v>10.63</v>
      </c>
      <c r="E24" s="12">
        <v>5478</v>
      </c>
      <c r="F24" s="8">
        <v>16.98</v>
      </c>
      <c r="G24" s="12">
        <v>1084</v>
      </c>
      <c r="H24" s="8">
        <v>3.8</v>
      </c>
      <c r="I24" s="12">
        <v>1</v>
      </c>
    </row>
    <row r="25" spans="2:9" ht="15" customHeight="1" x14ac:dyDescent="0.2">
      <c r="B25" t="s">
        <v>116</v>
      </c>
      <c r="C25" s="12">
        <v>5682</v>
      </c>
      <c r="D25" s="8">
        <v>9.2100000000000009</v>
      </c>
      <c r="E25" s="12">
        <v>4819</v>
      </c>
      <c r="F25" s="8">
        <v>14.93</v>
      </c>
      <c r="G25" s="12">
        <v>851</v>
      </c>
      <c r="H25" s="8">
        <v>2.99</v>
      </c>
      <c r="I25" s="12">
        <v>3</v>
      </c>
    </row>
    <row r="26" spans="2:9" ht="15" customHeight="1" x14ac:dyDescent="0.2">
      <c r="B26" t="s">
        <v>111</v>
      </c>
      <c r="C26" s="12">
        <v>4844</v>
      </c>
      <c r="D26" s="8">
        <v>7.85</v>
      </c>
      <c r="E26" s="12">
        <v>2929</v>
      </c>
      <c r="F26" s="8">
        <v>9.08</v>
      </c>
      <c r="G26" s="12">
        <v>1896</v>
      </c>
      <c r="H26" s="8">
        <v>6.65</v>
      </c>
      <c r="I26" s="12">
        <v>6</v>
      </c>
    </row>
    <row r="27" spans="2:9" ht="15" customHeight="1" x14ac:dyDescent="0.2">
      <c r="B27" t="s">
        <v>101</v>
      </c>
      <c r="C27" s="12">
        <v>4178</v>
      </c>
      <c r="D27" s="8">
        <v>6.77</v>
      </c>
      <c r="E27" s="12">
        <v>1204</v>
      </c>
      <c r="F27" s="8">
        <v>3.73</v>
      </c>
      <c r="G27" s="12">
        <v>2974</v>
      </c>
      <c r="H27" s="8">
        <v>10.44</v>
      </c>
      <c r="I27" s="12">
        <v>0</v>
      </c>
    </row>
    <row r="28" spans="2:9" ht="15" customHeight="1" x14ac:dyDescent="0.2">
      <c r="B28" t="s">
        <v>110</v>
      </c>
      <c r="C28" s="12">
        <v>4027</v>
      </c>
      <c r="D28" s="8">
        <v>6.52</v>
      </c>
      <c r="E28" s="12">
        <v>1880</v>
      </c>
      <c r="F28" s="8">
        <v>5.83</v>
      </c>
      <c r="G28" s="12">
        <v>2144</v>
      </c>
      <c r="H28" s="8">
        <v>7.52</v>
      </c>
      <c r="I28" s="12">
        <v>2</v>
      </c>
    </row>
    <row r="29" spans="2:9" ht="15" customHeight="1" x14ac:dyDescent="0.2">
      <c r="B29" t="s">
        <v>102</v>
      </c>
      <c r="C29" s="12">
        <v>2954</v>
      </c>
      <c r="D29" s="8">
        <v>4.79</v>
      </c>
      <c r="E29" s="12">
        <v>1675</v>
      </c>
      <c r="F29" s="8">
        <v>5.19</v>
      </c>
      <c r="G29" s="12">
        <v>1279</v>
      </c>
      <c r="H29" s="8">
        <v>4.49</v>
      </c>
      <c r="I29" s="12">
        <v>0</v>
      </c>
    </row>
    <row r="30" spans="2:9" ht="15" customHeight="1" x14ac:dyDescent="0.2">
      <c r="B30" t="s">
        <v>108</v>
      </c>
      <c r="C30" s="12">
        <v>2683</v>
      </c>
      <c r="D30" s="8">
        <v>4.3499999999999996</v>
      </c>
      <c r="E30" s="12">
        <v>1642</v>
      </c>
      <c r="F30" s="8">
        <v>5.09</v>
      </c>
      <c r="G30" s="12">
        <v>1017</v>
      </c>
      <c r="H30" s="8">
        <v>3.57</v>
      </c>
      <c r="I30" s="12">
        <v>20</v>
      </c>
    </row>
    <row r="31" spans="2:9" ht="15" customHeight="1" x14ac:dyDescent="0.2">
      <c r="B31" t="s">
        <v>114</v>
      </c>
      <c r="C31" s="12">
        <v>2206</v>
      </c>
      <c r="D31" s="8">
        <v>3.57</v>
      </c>
      <c r="E31" s="12">
        <v>1494</v>
      </c>
      <c r="F31" s="8">
        <v>4.63</v>
      </c>
      <c r="G31" s="12">
        <v>705</v>
      </c>
      <c r="H31" s="8">
        <v>2.4700000000000002</v>
      </c>
      <c r="I31" s="12">
        <v>3</v>
      </c>
    </row>
    <row r="32" spans="2:9" ht="15" customHeight="1" x14ac:dyDescent="0.2">
      <c r="B32" t="s">
        <v>117</v>
      </c>
      <c r="C32" s="12">
        <v>2177</v>
      </c>
      <c r="D32" s="8">
        <v>3.53</v>
      </c>
      <c r="E32" s="12">
        <v>1266</v>
      </c>
      <c r="F32" s="8">
        <v>3.92</v>
      </c>
      <c r="G32" s="12">
        <v>575</v>
      </c>
      <c r="H32" s="8">
        <v>2.02</v>
      </c>
      <c r="I32" s="12">
        <v>17</v>
      </c>
    </row>
    <row r="33" spans="2:9" ht="15" customHeight="1" x14ac:dyDescent="0.2">
      <c r="B33" t="s">
        <v>103</v>
      </c>
      <c r="C33" s="12">
        <v>1904</v>
      </c>
      <c r="D33" s="8">
        <v>3.08</v>
      </c>
      <c r="E33" s="12">
        <v>576</v>
      </c>
      <c r="F33" s="8">
        <v>1.79</v>
      </c>
      <c r="G33" s="12">
        <v>1328</v>
      </c>
      <c r="H33" s="8">
        <v>4.66</v>
      </c>
      <c r="I33" s="12">
        <v>0</v>
      </c>
    </row>
    <row r="34" spans="2:9" ht="15" customHeight="1" x14ac:dyDescent="0.2">
      <c r="B34" t="s">
        <v>118</v>
      </c>
      <c r="C34" s="12">
        <v>1850</v>
      </c>
      <c r="D34" s="8">
        <v>3</v>
      </c>
      <c r="E34" s="12">
        <v>1682</v>
      </c>
      <c r="F34" s="8">
        <v>5.21</v>
      </c>
      <c r="G34" s="12">
        <v>162</v>
      </c>
      <c r="H34" s="8">
        <v>0.56999999999999995</v>
      </c>
      <c r="I34" s="12">
        <v>1</v>
      </c>
    </row>
    <row r="35" spans="2:9" ht="15" customHeight="1" x14ac:dyDescent="0.2">
      <c r="B35" t="s">
        <v>109</v>
      </c>
      <c r="C35" s="12">
        <v>1824</v>
      </c>
      <c r="D35" s="8">
        <v>2.95</v>
      </c>
      <c r="E35" s="12">
        <v>916</v>
      </c>
      <c r="F35" s="8">
        <v>2.84</v>
      </c>
      <c r="G35" s="12">
        <v>908</v>
      </c>
      <c r="H35" s="8">
        <v>3.19</v>
      </c>
      <c r="I35" s="12">
        <v>0</v>
      </c>
    </row>
    <row r="36" spans="2:9" ht="15" customHeight="1" x14ac:dyDescent="0.2">
      <c r="B36" t="s">
        <v>112</v>
      </c>
      <c r="C36" s="12">
        <v>1583</v>
      </c>
      <c r="D36" s="8">
        <v>2.56</v>
      </c>
      <c r="E36" s="12">
        <v>1138</v>
      </c>
      <c r="F36" s="8">
        <v>3.53</v>
      </c>
      <c r="G36" s="12">
        <v>444</v>
      </c>
      <c r="H36" s="8">
        <v>1.56</v>
      </c>
      <c r="I36" s="12">
        <v>1</v>
      </c>
    </row>
    <row r="37" spans="2:9" ht="15" customHeight="1" x14ac:dyDescent="0.2">
      <c r="B37" t="s">
        <v>107</v>
      </c>
      <c r="C37" s="12">
        <v>1381</v>
      </c>
      <c r="D37" s="8">
        <v>2.2400000000000002</v>
      </c>
      <c r="E37" s="12">
        <v>621</v>
      </c>
      <c r="F37" s="8">
        <v>1.92</v>
      </c>
      <c r="G37" s="12">
        <v>759</v>
      </c>
      <c r="H37" s="8">
        <v>2.66</v>
      </c>
      <c r="I37" s="12">
        <v>1</v>
      </c>
    </row>
    <row r="38" spans="2:9" ht="15" customHeight="1" x14ac:dyDescent="0.2">
      <c r="B38" t="s">
        <v>113</v>
      </c>
      <c r="C38" s="12">
        <v>1334</v>
      </c>
      <c r="D38" s="8">
        <v>2.16</v>
      </c>
      <c r="E38" s="12">
        <v>528</v>
      </c>
      <c r="F38" s="8">
        <v>1.64</v>
      </c>
      <c r="G38" s="12">
        <v>767</v>
      </c>
      <c r="H38" s="8">
        <v>2.69</v>
      </c>
      <c r="I38" s="12">
        <v>5</v>
      </c>
    </row>
    <row r="39" spans="2:9" ht="15" customHeight="1" x14ac:dyDescent="0.2">
      <c r="B39" t="s">
        <v>119</v>
      </c>
      <c r="C39" s="12">
        <v>902</v>
      </c>
      <c r="D39" s="8">
        <v>1.46</v>
      </c>
      <c r="E39" s="12">
        <v>9</v>
      </c>
      <c r="F39" s="8">
        <v>0.03</v>
      </c>
      <c r="G39" s="12">
        <v>658</v>
      </c>
      <c r="H39" s="8">
        <v>2.31</v>
      </c>
      <c r="I39" s="12">
        <v>5</v>
      </c>
    </row>
    <row r="40" spans="2:9" ht="15" customHeight="1" x14ac:dyDescent="0.2">
      <c r="B40" t="s">
        <v>105</v>
      </c>
      <c r="C40" s="12">
        <v>845</v>
      </c>
      <c r="D40" s="8">
        <v>1.37</v>
      </c>
      <c r="E40" s="12">
        <v>241</v>
      </c>
      <c r="F40" s="8">
        <v>0.75</v>
      </c>
      <c r="G40" s="12">
        <v>604</v>
      </c>
      <c r="H40" s="8">
        <v>2.12</v>
      </c>
      <c r="I40" s="12">
        <v>0</v>
      </c>
    </row>
    <row r="41" spans="2:9" ht="15" customHeight="1" x14ac:dyDescent="0.2">
      <c r="B41" t="s">
        <v>106</v>
      </c>
      <c r="C41" s="12">
        <v>826</v>
      </c>
      <c r="D41" s="8">
        <v>1.34</v>
      </c>
      <c r="E41" s="12">
        <v>73</v>
      </c>
      <c r="F41" s="8">
        <v>0.23</v>
      </c>
      <c r="G41" s="12">
        <v>753</v>
      </c>
      <c r="H41" s="8">
        <v>2.64</v>
      </c>
      <c r="I41" s="12">
        <v>0</v>
      </c>
    </row>
    <row r="42" spans="2:9" ht="15" customHeight="1" x14ac:dyDescent="0.2">
      <c r="B42" t="s">
        <v>120</v>
      </c>
      <c r="C42" s="12">
        <v>749</v>
      </c>
      <c r="D42" s="8">
        <v>1.21</v>
      </c>
      <c r="E42" s="12">
        <v>471</v>
      </c>
      <c r="F42" s="8">
        <v>1.46</v>
      </c>
      <c r="G42" s="12">
        <v>276</v>
      </c>
      <c r="H42" s="8">
        <v>0.97</v>
      </c>
      <c r="I42" s="12">
        <v>0</v>
      </c>
    </row>
    <row r="43" spans="2:9" ht="15" customHeight="1" x14ac:dyDescent="0.2">
      <c r="B43" t="s">
        <v>104</v>
      </c>
      <c r="C43" s="12">
        <v>696</v>
      </c>
      <c r="D43" s="8">
        <v>1.1299999999999999</v>
      </c>
      <c r="E43" s="12">
        <v>255</v>
      </c>
      <c r="F43" s="8">
        <v>0.79</v>
      </c>
      <c r="G43" s="12">
        <v>441</v>
      </c>
      <c r="H43" s="8">
        <v>1.55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183</v>
      </c>
      <c r="C47" s="12">
        <v>3240</v>
      </c>
      <c r="D47" s="8">
        <v>5.25</v>
      </c>
      <c r="E47" s="12">
        <v>2394</v>
      </c>
      <c r="F47" s="8">
        <v>7.42</v>
      </c>
      <c r="G47" s="12">
        <v>839</v>
      </c>
      <c r="H47" s="8">
        <v>2.94</v>
      </c>
      <c r="I47" s="12">
        <v>1</v>
      </c>
    </row>
    <row r="48" spans="2:9" ht="15" customHeight="1" x14ac:dyDescent="0.2">
      <c r="B48" t="s">
        <v>191</v>
      </c>
      <c r="C48" s="12">
        <v>3127</v>
      </c>
      <c r="D48" s="8">
        <v>5.07</v>
      </c>
      <c r="E48" s="12">
        <v>2837</v>
      </c>
      <c r="F48" s="8">
        <v>8.7899999999999991</v>
      </c>
      <c r="G48" s="12">
        <v>290</v>
      </c>
      <c r="H48" s="8">
        <v>1.02</v>
      </c>
      <c r="I48" s="12">
        <v>0</v>
      </c>
    </row>
    <row r="49" spans="2:9" ht="15" customHeight="1" x14ac:dyDescent="0.2">
      <c r="B49" t="s">
        <v>185</v>
      </c>
      <c r="C49" s="12">
        <v>1726</v>
      </c>
      <c r="D49" s="8">
        <v>2.8</v>
      </c>
      <c r="E49" s="12">
        <v>1258</v>
      </c>
      <c r="F49" s="8">
        <v>3.9</v>
      </c>
      <c r="G49" s="12">
        <v>464</v>
      </c>
      <c r="H49" s="8">
        <v>1.63</v>
      </c>
      <c r="I49" s="12">
        <v>2</v>
      </c>
    </row>
    <row r="50" spans="2:9" ht="15" customHeight="1" x14ac:dyDescent="0.2">
      <c r="B50" t="s">
        <v>187</v>
      </c>
      <c r="C50" s="12">
        <v>1648</v>
      </c>
      <c r="D50" s="8">
        <v>2.67</v>
      </c>
      <c r="E50" s="12">
        <v>1278</v>
      </c>
      <c r="F50" s="8">
        <v>3.96</v>
      </c>
      <c r="G50" s="12">
        <v>370</v>
      </c>
      <c r="H50" s="8">
        <v>1.3</v>
      </c>
      <c r="I50" s="12">
        <v>0</v>
      </c>
    </row>
    <row r="51" spans="2:9" ht="15" customHeight="1" x14ac:dyDescent="0.2">
      <c r="B51" t="s">
        <v>190</v>
      </c>
      <c r="C51" s="12">
        <v>1533</v>
      </c>
      <c r="D51" s="8">
        <v>2.48</v>
      </c>
      <c r="E51" s="12">
        <v>1438</v>
      </c>
      <c r="F51" s="8">
        <v>4.46</v>
      </c>
      <c r="G51" s="12">
        <v>95</v>
      </c>
      <c r="H51" s="8">
        <v>0.33</v>
      </c>
      <c r="I51" s="12">
        <v>0</v>
      </c>
    </row>
    <row r="52" spans="2:9" ht="15" customHeight="1" x14ac:dyDescent="0.2">
      <c r="B52" t="s">
        <v>174</v>
      </c>
      <c r="C52" s="12">
        <v>1403</v>
      </c>
      <c r="D52" s="8">
        <v>2.27</v>
      </c>
      <c r="E52" s="12">
        <v>295</v>
      </c>
      <c r="F52" s="8">
        <v>0.91</v>
      </c>
      <c r="G52" s="12">
        <v>1108</v>
      </c>
      <c r="H52" s="8">
        <v>3.89</v>
      </c>
      <c r="I52" s="12">
        <v>0</v>
      </c>
    </row>
    <row r="53" spans="2:9" ht="15" customHeight="1" x14ac:dyDescent="0.2">
      <c r="B53" t="s">
        <v>188</v>
      </c>
      <c r="C53" s="12">
        <v>1310</v>
      </c>
      <c r="D53" s="8">
        <v>2.12</v>
      </c>
      <c r="E53" s="12">
        <v>1158</v>
      </c>
      <c r="F53" s="8">
        <v>3.59</v>
      </c>
      <c r="G53" s="12">
        <v>152</v>
      </c>
      <c r="H53" s="8">
        <v>0.53</v>
      </c>
      <c r="I53" s="12">
        <v>0</v>
      </c>
    </row>
    <row r="54" spans="2:9" ht="15" customHeight="1" x14ac:dyDescent="0.2">
      <c r="B54" t="s">
        <v>193</v>
      </c>
      <c r="C54" s="12">
        <v>1297</v>
      </c>
      <c r="D54" s="8">
        <v>2.1</v>
      </c>
      <c r="E54" s="12">
        <v>1197</v>
      </c>
      <c r="F54" s="8">
        <v>3.71</v>
      </c>
      <c r="G54" s="12">
        <v>99</v>
      </c>
      <c r="H54" s="8">
        <v>0.35</v>
      </c>
      <c r="I54" s="12">
        <v>1</v>
      </c>
    </row>
    <row r="55" spans="2:9" ht="15" customHeight="1" x14ac:dyDescent="0.2">
      <c r="B55" t="s">
        <v>189</v>
      </c>
      <c r="C55" s="12">
        <v>1241</v>
      </c>
      <c r="D55" s="8">
        <v>2.0099999999999998</v>
      </c>
      <c r="E55" s="12">
        <v>1194</v>
      </c>
      <c r="F55" s="8">
        <v>3.7</v>
      </c>
      <c r="G55" s="12">
        <v>47</v>
      </c>
      <c r="H55" s="8">
        <v>0.16</v>
      </c>
      <c r="I55" s="12">
        <v>0</v>
      </c>
    </row>
    <row r="56" spans="2:9" ht="15" customHeight="1" x14ac:dyDescent="0.2">
      <c r="B56" t="s">
        <v>181</v>
      </c>
      <c r="C56" s="12">
        <v>1136</v>
      </c>
      <c r="D56" s="8">
        <v>1.84</v>
      </c>
      <c r="E56" s="12">
        <v>664</v>
      </c>
      <c r="F56" s="8">
        <v>2.06</v>
      </c>
      <c r="G56" s="12">
        <v>471</v>
      </c>
      <c r="H56" s="8">
        <v>1.65</v>
      </c>
      <c r="I56" s="12">
        <v>0</v>
      </c>
    </row>
    <row r="57" spans="2:9" ht="15" customHeight="1" x14ac:dyDescent="0.2">
      <c r="B57" t="s">
        <v>180</v>
      </c>
      <c r="C57" s="12">
        <v>1132</v>
      </c>
      <c r="D57" s="8">
        <v>1.83</v>
      </c>
      <c r="E57" s="12">
        <v>516</v>
      </c>
      <c r="F57" s="8">
        <v>1.6</v>
      </c>
      <c r="G57" s="12">
        <v>616</v>
      </c>
      <c r="H57" s="8">
        <v>2.16</v>
      </c>
      <c r="I57" s="12">
        <v>0</v>
      </c>
    </row>
    <row r="58" spans="2:9" ht="15" customHeight="1" x14ac:dyDescent="0.2">
      <c r="B58" t="s">
        <v>192</v>
      </c>
      <c r="C58" s="12">
        <v>1106</v>
      </c>
      <c r="D58" s="8">
        <v>1.79</v>
      </c>
      <c r="E58" s="12">
        <v>835</v>
      </c>
      <c r="F58" s="8">
        <v>2.59</v>
      </c>
      <c r="G58" s="12">
        <v>269</v>
      </c>
      <c r="H58" s="8">
        <v>0.94</v>
      </c>
      <c r="I58" s="12">
        <v>2</v>
      </c>
    </row>
    <row r="59" spans="2:9" ht="15" customHeight="1" x14ac:dyDescent="0.2">
      <c r="B59" t="s">
        <v>176</v>
      </c>
      <c r="C59" s="12">
        <v>1093</v>
      </c>
      <c r="D59" s="8">
        <v>1.77</v>
      </c>
      <c r="E59" s="12">
        <v>510</v>
      </c>
      <c r="F59" s="8">
        <v>1.58</v>
      </c>
      <c r="G59" s="12">
        <v>583</v>
      </c>
      <c r="H59" s="8">
        <v>2.0499999999999998</v>
      </c>
      <c r="I59" s="12">
        <v>0</v>
      </c>
    </row>
    <row r="60" spans="2:9" ht="15" customHeight="1" x14ac:dyDescent="0.2">
      <c r="B60" t="s">
        <v>175</v>
      </c>
      <c r="C60" s="12">
        <v>1004</v>
      </c>
      <c r="D60" s="8">
        <v>1.63</v>
      </c>
      <c r="E60" s="12">
        <v>240</v>
      </c>
      <c r="F60" s="8">
        <v>0.74</v>
      </c>
      <c r="G60" s="12">
        <v>764</v>
      </c>
      <c r="H60" s="8">
        <v>2.68</v>
      </c>
      <c r="I60" s="12">
        <v>0</v>
      </c>
    </row>
    <row r="61" spans="2:9" ht="15" customHeight="1" x14ac:dyDescent="0.2">
      <c r="B61" t="s">
        <v>186</v>
      </c>
      <c r="C61" s="12">
        <v>876</v>
      </c>
      <c r="D61" s="8">
        <v>1.42</v>
      </c>
      <c r="E61" s="12">
        <v>654</v>
      </c>
      <c r="F61" s="8">
        <v>2.0299999999999998</v>
      </c>
      <c r="G61" s="12">
        <v>221</v>
      </c>
      <c r="H61" s="8">
        <v>0.78</v>
      </c>
      <c r="I61" s="12">
        <v>1</v>
      </c>
    </row>
    <row r="62" spans="2:9" ht="15" customHeight="1" x14ac:dyDescent="0.2">
      <c r="B62" t="s">
        <v>184</v>
      </c>
      <c r="C62" s="12">
        <v>865</v>
      </c>
      <c r="D62" s="8">
        <v>1.4</v>
      </c>
      <c r="E62" s="12">
        <v>325</v>
      </c>
      <c r="F62" s="8">
        <v>1.01</v>
      </c>
      <c r="G62" s="12">
        <v>510</v>
      </c>
      <c r="H62" s="8">
        <v>1.79</v>
      </c>
      <c r="I62" s="12">
        <v>1</v>
      </c>
    </row>
    <row r="63" spans="2:9" ht="15" customHeight="1" x14ac:dyDescent="0.2">
      <c r="B63" t="s">
        <v>179</v>
      </c>
      <c r="C63" s="12">
        <v>814</v>
      </c>
      <c r="D63" s="8">
        <v>1.32</v>
      </c>
      <c r="E63" s="12">
        <v>497</v>
      </c>
      <c r="F63" s="8">
        <v>1.54</v>
      </c>
      <c r="G63" s="12">
        <v>310</v>
      </c>
      <c r="H63" s="8">
        <v>1.0900000000000001</v>
      </c>
      <c r="I63" s="12">
        <v>6</v>
      </c>
    </row>
    <row r="64" spans="2:9" ht="15" customHeight="1" x14ac:dyDescent="0.2">
      <c r="B64" t="s">
        <v>178</v>
      </c>
      <c r="C64" s="12">
        <v>803</v>
      </c>
      <c r="D64" s="8">
        <v>1.3</v>
      </c>
      <c r="E64" s="12">
        <v>252</v>
      </c>
      <c r="F64" s="8">
        <v>0.78</v>
      </c>
      <c r="G64" s="12">
        <v>551</v>
      </c>
      <c r="H64" s="8">
        <v>1.93</v>
      </c>
      <c r="I64" s="12">
        <v>0</v>
      </c>
    </row>
    <row r="65" spans="2:9" ht="15" customHeight="1" x14ac:dyDescent="0.2">
      <c r="B65" t="s">
        <v>182</v>
      </c>
      <c r="C65" s="12">
        <v>793</v>
      </c>
      <c r="D65" s="8">
        <v>1.28</v>
      </c>
      <c r="E65" s="12">
        <v>186</v>
      </c>
      <c r="F65" s="8">
        <v>0.57999999999999996</v>
      </c>
      <c r="G65" s="12">
        <v>603</v>
      </c>
      <c r="H65" s="8">
        <v>2.12</v>
      </c>
      <c r="I65" s="12">
        <v>2</v>
      </c>
    </row>
    <row r="66" spans="2:9" ht="15" customHeight="1" x14ac:dyDescent="0.2">
      <c r="B66" t="s">
        <v>177</v>
      </c>
      <c r="C66" s="12">
        <v>785</v>
      </c>
      <c r="D66" s="8">
        <v>1.27</v>
      </c>
      <c r="E66" s="12">
        <v>292</v>
      </c>
      <c r="F66" s="8">
        <v>0.9</v>
      </c>
      <c r="G66" s="12">
        <v>493</v>
      </c>
      <c r="H66" s="8">
        <v>1.73</v>
      </c>
      <c r="I66" s="12">
        <v>0</v>
      </c>
    </row>
    <row r="68" spans="2:9" ht="15" customHeight="1" x14ac:dyDescent="0.2">
      <c r="B68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33C5D-A530-4C3D-A4CD-152C81C3D0BF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411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5</v>
      </c>
      <c r="D6" s="8">
        <v>14.29</v>
      </c>
      <c r="E6" s="12">
        <v>3</v>
      </c>
      <c r="F6" s="8">
        <v>13.04</v>
      </c>
      <c r="G6" s="12">
        <v>2</v>
      </c>
      <c r="H6" s="8">
        <v>18.18</v>
      </c>
      <c r="I6" s="12">
        <v>0</v>
      </c>
    </row>
    <row r="7" spans="2:9" ht="15" customHeight="1" x14ac:dyDescent="0.2">
      <c r="B7" t="s">
        <v>80</v>
      </c>
      <c r="C7" s="12">
        <v>3</v>
      </c>
      <c r="D7" s="8">
        <v>8.57</v>
      </c>
      <c r="E7" s="12">
        <v>0</v>
      </c>
      <c r="F7" s="8">
        <v>0</v>
      </c>
      <c r="G7" s="12">
        <v>2</v>
      </c>
      <c r="H7" s="8">
        <v>18.18</v>
      </c>
      <c r="I7" s="12">
        <v>1</v>
      </c>
    </row>
    <row r="8" spans="2:9" ht="15" customHeight="1" x14ac:dyDescent="0.2">
      <c r="B8" t="s">
        <v>81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1</v>
      </c>
      <c r="D9" s="8">
        <v>2.86</v>
      </c>
      <c r="E9" s="12">
        <v>0</v>
      </c>
      <c r="F9" s="8">
        <v>0</v>
      </c>
      <c r="G9" s="12">
        <v>1</v>
      </c>
      <c r="H9" s="8">
        <v>9.09</v>
      </c>
      <c r="I9" s="12">
        <v>0</v>
      </c>
    </row>
    <row r="10" spans="2:9" ht="15" customHeight="1" x14ac:dyDescent="0.2">
      <c r="B10" t="s">
        <v>83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84</v>
      </c>
      <c r="C11" s="12">
        <v>11</v>
      </c>
      <c r="D11" s="8">
        <v>31.43</v>
      </c>
      <c r="E11" s="12">
        <v>9</v>
      </c>
      <c r="F11" s="8">
        <v>39.130000000000003</v>
      </c>
      <c r="G11" s="12">
        <v>2</v>
      </c>
      <c r="H11" s="8">
        <v>18.18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1</v>
      </c>
      <c r="D13" s="8">
        <v>2.86</v>
      </c>
      <c r="E13" s="12">
        <v>1</v>
      </c>
      <c r="F13" s="8">
        <v>4.3499999999999996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87</v>
      </c>
      <c r="C14" s="12">
        <v>1</v>
      </c>
      <c r="D14" s="8">
        <v>2.86</v>
      </c>
      <c r="E14" s="12">
        <v>1</v>
      </c>
      <c r="F14" s="8">
        <v>4.3499999999999996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88</v>
      </c>
      <c r="C15" s="12">
        <v>4</v>
      </c>
      <c r="D15" s="8">
        <v>11.43</v>
      </c>
      <c r="E15" s="12">
        <v>4</v>
      </c>
      <c r="F15" s="8">
        <v>17.39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89</v>
      </c>
      <c r="C16" s="12">
        <v>3</v>
      </c>
      <c r="D16" s="8">
        <v>8.57</v>
      </c>
      <c r="E16" s="12">
        <v>3</v>
      </c>
      <c r="F16" s="8">
        <v>13.04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90</v>
      </c>
      <c r="C17" s="12">
        <v>1</v>
      </c>
      <c r="D17" s="8">
        <v>2.86</v>
      </c>
      <c r="E17" s="12">
        <v>0</v>
      </c>
      <c r="F17" s="8">
        <v>0</v>
      </c>
      <c r="G17" s="12">
        <v>1</v>
      </c>
      <c r="H17" s="8">
        <v>9.09</v>
      </c>
      <c r="I17" s="12">
        <v>0</v>
      </c>
    </row>
    <row r="18" spans="2:9" ht="15" customHeight="1" x14ac:dyDescent="0.2">
      <c r="B18" t="s">
        <v>91</v>
      </c>
      <c r="C18" s="12">
        <v>4</v>
      </c>
      <c r="D18" s="8">
        <v>11.43</v>
      </c>
      <c r="E18" s="12">
        <v>1</v>
      </c>
      <c r="F18" s="8">
        <v>4.3499999999999996</v>
      </c>
      <c r="G18" s="12">
        <v>3</v>
      </c>
      <c r="H18" s="8">
        <v>27.27</v>
      </c>
      <c r="I18" s="12">
        <v>0</v>
      </c>
    </row>
    <row r="19" spans="2:9" ht="15" customHeight="1" x14ac:dyDescent="0.2">
      <c r="B19" t="s">
        <v>92</v>
      </c>
      <c r="C19" s="12">
        <v>1</v>
      </c>
      <c r="D19" s="8">
        <v>2.86</v>
      </c>
      <c r="E19" s="12">
        <v>1</v>
      </c>
      <c r="F19" s="8">
        <v>4.3499999999999996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363</v>
      </c>
      <c r="C20" s="12">
        <f>SUM(LTBL_20410[総数／事業所数])</f>
        <v>35</v>
      </c>
      <c r="E20" s="12">
        <f>SUBTOTAL(109,LTBL_20410[個人／事業所数])</f>
        <v>23</v>
      </c>
      <c r="G20" s="12">
        <f>SUBTOTAL(109,LTBL_20410[法人／事業所数])</f>
        <v>11</v>
      </c>
      <c r="I20" s="12">
        <f>SUBTOTAL(109,LTBL_20410[法人以外の団体／事業所数])</f>
        <v>1</v>
      </c>
    </row>
    <row r="21" spans="2:9" ht="15" customHeight="1" x14ac:dyDescent="0.2">
      <c r="E21" s="11">
        <f>LTBL_20410[[#Totals],[個人／事業所数]]/LTBL_20410[[#Totals],[総数／事業所数]]</f>
        <v>0.65714285714285714</v>
      </c>
      <c r="G21" s="11">
        <f>LTBL_20410[[#Totals],[法人／事業所数]]/LTBL_20410[[#Totals],[総数／事業所数]]</f>
        <v>0.31428571428571428</v>
      </c>
      <c r="I21" s="11">
        <f>LTBL_20410[[#Totals],[法人以外の団体／事業所数]]/LTBL_20410[[#Totals],[総数／事業所数]]</f>
        <v>2.8571428571428571E-2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110</v>
      </c>
      <c r="C24" s="12">
        <v>4</v>
      </c>
      <c r="D24" s="8">
        <v>11.43</v>
      </c>
      <c r="E24" s="12">
        <v>3</v>
      </c>
      <c r="F24" s="8">
        <v>13.04</v>
      </c>
      <c r="G24" s="12">
        <v>1</v>
      </c>
      <c r="H24" s="8">
        <v>9.09</v>
      </c>
      <c r="I24" s="12">
        <v>0</v>
      </c>
    </row>
    <row r="25" spans="2:9" ht="15" customHeight="1" x14ac:dyDescent="0.2">
      <c r="B25" t="s">
        <v>115</v>
      </c>
      <c r="C25" s="12">
        <v>4</v>
      </c>
      <c r="D25" s="8">
        <v>11.43</v>
      </c>
      <c r="E25" s="12">
        <v>4</v>
      </c>
      <c r="F25" s="8">
        <v>17.39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101</v>
      </c>
      <c r="C26" s="12">
        <v>3</v>
      </c>
      <c r="D26" s="8">
        <v>8.57</v>
      </c>
      <c r="E26" s="12">
        <v>1</v>
      </c>
      <c r="F26" s="8">
        <v>4.3499999999999996</v>
      </c>
      <c r="G26" s="12">
        <v>2</v>
      </c>
      <c r="H26" s="8">
        <v>18.18</v>
      </c>
      <c r="I26" s="12">
        <v>0</v>
      </c>
    </row>
    <row r="27" spans="2:9" ht="15" customHeight="1" x14ac:dyDescent="0.2">
      <c r="B27" t="s">
        <v>108</v>
      </c>
      <c r="C27" s="12">
        <v>3</v>
      </c>
      <c r="D27" s="8">
        <v>8.57</v>
      </c>
      <c r="E27" s="12">
        <v>3</v>
      </c>
      <c r="F27" s="8">
        <v>13.04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109</v>
      </c>
      <c r="C28" s="12">
        <v>3</v>
      </c>
      <c r="D28" s="8">
        <v>8.57</v>
      </c>
      <c r="E28" s="12">
        <v>2</v>
      </c>
      <c r="F28" s="8">
        <v>8.6999999999999993</v>
      </c>
      <c r="G28" s="12">
        <v>1</v>
      </c>
      <c r="H28" s="8">
        <v>9.09</v>
      </c>
      <c r="I28" s="12">
        <v>0</v>
      </c>
    </row>
    <row r="29" spans="2:9" ht="15" customHeight="1" x14ac:dyDescent="0.2">
      <c r="B29" t="s">
        <v>116</v>
      </c>
      <c r="C29" s="12">
        <v>3</v>
      </c>
      <c r="D29" s="8">
        <v>8.57</v>
      </c>
      <c r="E29" s="12">
        <v>3</v>
      </c>
      <c r="F29" s="8">
        <v>13.04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119</v>
      </c>
      <c r="C30" s="12">
        <v>3</v>
      </c>
      <c r="D30" s="8">
        <v>8.57</v>
      </c>
      <c r="E30" s="12">
        <v>0</v>
      </c>
      <c r="F30" s="8">
        <v>0</v>
      </c>
      <c r="G30" s="12">
        <v>3</v>
      </c>
      <c r="H30" s="8">
        <v>27.27</v>
      </c>
      <c r="I30" s="12">
        <v>0</v>
      </c>
    </row>
    <row r="31" spans="2:9" ht="15" customHeight="1" x14ac:dyDescent="0.2">
      <c r="B31" t="s">
        <v>102</v>
      </c>
      <c r="C31" s="12">
        <v>2</v>
      </c>
      <c r="D31" s="8">
        <v>5.71</v>
      </c>
      <c r="E31" s="12">
        <v>2</v>
      </c>
      <c r="F31" s="8">
        <v>8.6999999999999993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127</v>
      </c>
      <c r="C32" s="12">
        <v>2</v>
      </c>
      <c r="D32" s="8">
        <v>5.71</v>
      </c>
      <c r="E32" s="12">
        <v>0</v>
      </c>
      <c r="F32" s="8">
        <v>0</v>
      </c>
      <c r="G32" s="12">
        <v>2</v>
      </c>
      <c r="H32" s="8">
        <v>18.18</v>
      </c>
      <c r="I32" s="12">
        <v>0</v>
      </c>
    </row>
    <row r="33" spans="2:9" ht="15" customHeight="1" x14ac:dyDescent="0.2">
      <c r="B33" t="s">
        <v>142</v>
      </c>
      <c r="C33" s="12">
        <v>1</v>
      </c>
      <c r="D33" s="8">
        <v>2.86</v>
      </c>
      <c r="E33" s="12">
        <v>0</v>
      </c>
      <c r="F33" s="8">
        <v>0</v>
      </c>
      <c r="G33" s="12">
        <v>0</v>
      </c>
      <c r="H33" s="8">
        <v>0</v>
      </c>
      <c r="I33" s="12">
        <v>1</v>
      </c>
    </row>
    <row r="34" spans="2:9" ht="15" customHeight="1" x14ac:dyDescent="0.2">
      <c r="B34" t="s">
        <v>159</v>
      </c>
      <c r="C34" s="12">
        <v>1</v>
      </c>
      <c r="D34" s="8">
        <v>2.86</v>
      </c>
      <c r="E34" s="12">
        <v>0</v>
      </c>
      <c r="F34" s="8">
        <v>0</v>
      </c>
      <c r="G34" s="12">
        <v>1</v>
      </c>
      <c r="H34" s="8">
        <v>9.09</v>
      </c>
      <c r="I34" s="12">
        <v>0</v>
      </c>
    </row>
    <row r="35" spans="2:9" ht="15" customHeight="1" x14ac:dyDescent="0.2">
      <c r="B35" t="s">
        <v>125</v>
      </c>
      <c r="C35" s="12">
        <v>1</v>
      </c>
      <c r="D35" s="8">
        <v>2.86</v>
      </c>
      <c r="E35" s="12">
        <v>1</v>
      </c>
      <c r="F35" s="8">
        <v>4.3499999999999996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111</v>
      </c>
      <c r="C36" s="12">
        <v>1</v>
      </c>
      <c r="D36" s="8">
        <v>2.86</v>
      </c>
      <c r="E36" s="12">
        <v>1</v>
      </c>
      <c r="F36" s="8">
        <v>4.3499999999999996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164</v>
      </c>
      <c r="C37" s="12">
        <v>1</v>
      </c>
      <c r="D37" s="8">
        <v>2.86</v>
      </c>
      <c r="E37" s="12">
        <v>1</v>
      </c>
      <c r="F37" s="8">
        <v>4.3499999999999996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117</v>
      </c>
      <c r="C38" s="12">
        <v>1</v>
      </c>
      <c r="D38" s="8">
        <v>2.86</v>
      </c>
      <c r="E38" s="12">
        <v>0</v>
      </c>
      <c r="F38" s="8">
        <v>0</v>
      </c>
      <c r="G38" s="12">
        <v>1</v>
      </c>
      <c r="H38" s="8">
        <v>9.09</v>
      </c>
      <c r="I38" s="12">
        <v>0</v>
      </c>
    </row>
    <row r="39" spans="2:9" ht="15" customHeight="1" x14ac:dyDescent="0.2">
      <c r="B39" t="s">
        <v>118</v>
      </c>
      <c r="C39" s="12">
        <v>1</v>
      </c>
      <c r="D39" s="8">
        <v>2.86</v>
      </c>
      <c r="E39" s="12">
        <v>1</v>
      </c>
      <c r="F39" s="8">
        <v>4.3499999999999996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120</v>
      </c>
      <c r="C40" s="12">
        <v>1</v>
      </c>
      <c r="D40" s="8">
        <v>2.86</v>
      </c>
      <c r="E40" s="12">
        <v>1</v>
      </c>
      <c r="F40" s="8">
        <v>4.3499999999999996</v>
      </c>
      <c r="G40" s="12">
        <v>0</v>
      </c>
      <c r="H40" s="8">
        <v>0</v>
      </c>
      <c r="I40" s="12">
        <v>0</v>
      </c>
    </row>
    <row r="43" spans="2:9" ht="33" customHeight="1" x14ac:dyDescent="0.2">
      <c r="B43" t="s">
        <v>365</v>
      </c>
      <c r="C43" s="10" t="s">
        <v>94</v>
      </c>
      <c r="D43" s="10" t="s">
        <v>95</v>
      </c>
      <c r="E43" s="10" t="s">
        <v>96</v>
      </c>
      <c r="F43" s="10" t="s">
        <v>97</v>
      </c>
      <c r="G43" s="10" t="s">
        <v>98</v>
      </c>
      <c r="H43" s="10" t="s">
        <v>99</v>
      </c>
      <c r="I43" s="10" t="s">
        <v>100</v>
      </c>
    </row>
    <row r="44" spans="2:9" ht="15" customHeight="1" x14ac:dyDescent="0.2">
      <c r="B44" t="s">
        <v>264</v>
      </c>
      <c r="C44" s="12">
        <v>3</v>
      </c>
      <c r="D44" s="8">
        <v>8.57</v>
      </c>
      <c r="E44" s="12">
        <v>0</v>
      </c>
      <c r="F44" s="8">
        <v>0</v>
      </c>
      <c r="G44" s="12">
        <v>3</v>
      </c>
      <c r="H44" s="8">
        <v>27.27</v>
      </c>
      <c r="I44" s="12">
        <v>0</v>
      </c>
    </row>
    <row r="45" spans="2:9" ht="15" customHeight="1" x14ac:dyDescent="0.2">
      <c r="B45" t="s">
        <v>174</v>
      </c>
      <c r="C45" s="12">
        <v>2</v>
      </c>
      <c r="D45" s="8">
        <v>5.71</v>
      </c>
      <c r="E45" s="12">
        <v>0</v>
      </c>
      <c r="F45" s="8">
        <v>0</v>
      </c>
      <c r="G45" s="12">
        <v>2</v>
      </c>
      <c r="H45" s="8">
        <v>18.18</v>
      </c>
      <c r="I45" s="12">
        <v>0</v>
      </c>
    </row>
    <row r="46" spans="2:9" ht="15" customHeight="1" x14ac:dyDescent="0.2">
      <c r="B46" t="s">
        <v>262</v>
      </c>
      <c r="C46" s="12">
        <v>2</v>
      </c>
      <c r="D46" s="8">
        <v>5.71</v>
      </c>
      <c r="E46" s="12">
        <v>0</v>
      </c>
      <c r="F46" s="8">
        <v>0</v>
      </c>
      <c r="G46" s="12">
        <v>2</v>
      </c>
      <c r="H46" s="8">
        <v>18.18</v>
      </c>
      <c r="I46" s="12">
        <v>0</v>
      </c>
    </row>
    <row r="47" spans="2:9" ht="15" customHeight="1" x14ac:dyDescent="0.2">
      <c r="B47" t="s">
        <v>205</v>
      </c>
      <c r="C47" s="12">
        <v>2</v>
      </c>
      <c r="D47" s="8">
        <v>5.71</v>
      </c>
      <c r="E47" s="12">
        <v>2</v>
      </c>
      <c r="F47" s="8">
        <v>8.6999999999999993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288</v>
      </c>
      <c r="C48" s="12">
        <v>2</v>
      </c>
      <c r="D48" s="8">
        <v>5.71</v>
      </c>
      <c r="E48" s="12">
        <v>1</v>
      </c>
      <c r="F48" s="8">
        <v>4.3499999999999996</v>
      </c>
      <c r="G48" s="12">
        <v>1</v>
      </c>
      <c r="H48" s="8">
        <v>9.09</v>
      </c>
      <c r="I48" s="12">
        <v>0</v>
      </c>
    </row>
    <row r="49" spans="2:9" ht="15" customHeight="1" x14ac:dyDescent="0.2">
      <c r="B49" t="s">
        <v>190</v>
      </c>
      <c r="C49" s="12">
        <v>2</v>
      </c>
      <c r="D49" s="8">
        <v>5.71</v>
      </c>
      <c r="E49" s="12">
        <v>2</v>
      </c>
      <c r="F49" s="8">
        <v>8.6999999999999993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208</v>
      </c>
      <c r="C50" s="12">
        <v>1</v>
      </c>
      <c r="D50" s="8">
        <v>2.86</v>
      </c>
      <c r="E50" s="12">
        <v>1</v>
      </c>
      <c r="F50" s="8">
        <v>4.3499999999999996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210</v>
      </c>
      <c r="C51" s="12">
        <v>1</v>
      </c>
      <c r="D51" s="8">
        <v>2.86</v>
      </c>
      <c r="E51" s="12">
        <v>1</v>
      </c>
      <c r="F51" s="8">
        <v>4.3499999999999996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224</v>
      </c>
      <c r="C52" s="12">
        <v>1</v>
      </c>
      <c r="D52" s="8">
        <v>2.86</v>
      </c>
      <c r="E52" s="12">
        <v>1</v>
      </c>
      <c r="F52" s="8">
        <v>4.3499999999999996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235</v>
      </c>
      <c r="C53" s="12">
        <v>1</v>
      </c>
      <c r="D53" s="8">
        <v>2.86</v>
      </c>
      <c r="E53" s="12">
        <v>0</v>
      </c>
      <c r="F53" s="8">
        <v>0</v>
      </c>
      <c r="G53" s="12">
        <v>0</v>
      </c>
      <c r="H53" s="8">
        <v>0</v>
      </c>
      <c r="I53" s="12">
        <v>1</v>
      </c>
    </row>
    <row r="54" spans="2:9" ht="15" customHeight="1" x14ac:dyDescent="0.2">
      <c r="B54" t="s">
        <v>291</v>
      </c>
      <c r="C54" s="12">
        <v>1</v>
      </c>
      <c r="D54" s="8">
        <v>2.86</v>
      </c>
      <c r="E54" s="12">
        <v>0</v>
      </c>
      <c r="F54" s="8">
        <v>0</v>
      </c>
      <c r="G54" s="12">
        <v>1</v>
      </c>
      <c r="H54" s="8">
        <v>9.09</v>
      </c>
      <c r="I54" s="12">
        <v>0</v>
      </c>
    </row>
    <row r="55" spans="2:9" ht="15" customHeight="1" x14ac:dyDescent="0.2">
      <c r="B55" t="s">
        <v>213</v>
      </c>
      <c r="C55" s="12">
        <v>1</v>
      </c>
      <c r="D55" s="8">
        <v>2.86</v>
      </c>
      <c r="E55" s="12">
        <v>1</v>
      </c>
      <c r="F55" s="8">
        <v>4.3499999999999996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233</v>
      </c>
      <c r="C56" s="12">
        <v>1</v>
      </c>
      <c r="D56" s="8">
        <v>2.86</v>
      </c>
      <c r="E56" s="12">
        <v>1</v>
      </c>
      <c r="F56" s="8">
        <v>4.3499999999999996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227</v>
      </c>
      <c r="C57" s="12">
        <v>1</v>
      </c>
      <c r="D57" s="8">
        <v>2.86</v>
      </c>
      <c r="E57" s="12">
        <v>1</v>
      </c>
      <c r="F57" s="8">
        <v>4.3499999999999996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214</v>
      </c>
      <c r="C58" s="12">
        <v>1</v>
      </c>
      <c r="D58" s="8">
        <v>2.86</v>
      </c>
      <c r="E58" s="12">
        <v>1</v>
      </c>
      <c r="F58" s="8">
        <v>4.3499999999999996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180</v>
      </c>
      <c r="C59" s="12">
        <v>1</v>
      </c>
      <c r="D59" s="8">
        <v>2.86</v>
      </c>
      <c r="E59" s="12">
        <v>0</v>
      </c>
      <c r="F59" s="8">
        <v>0</v>
      </c>
      <c r="G59" s="12">
        <v>1</v>
      </c>
      <c r="H59" s="8">
        <v>9.09</v>
      </c>
      <c r="I59" s="12">
        <v>0</v>
      </c>
    </row>
    <row r="60" spans="2:9" ht="15" customHeight="1" x14ac:dyDescent="0.2">
      <c r="B60" t="s">
        <v>219</v>
      </c>
      <c r="C60" s="12">
        <v>1</v>
      </c>
      <c r="D60" s="8">
        <v>2.86</v>
      </c>
      <c r="E60" s="12">
        <v>1</v>
      </c>
      <c r="F60" s="8">
        <v>4.3499999999999996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216</v>
      </c>
      <c r="C61" s="12">
        <v>1</v>
      </c>
      <c r="D61" s="8">
        <v>2.86</v>
      </c>
      <c r="E61" s="12">
        <v>1</v>
      </c>
      <c r="F61" s="8">
        <v>4.3499999999999996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183</v>
      </c>
      <c r="C62" s="12">
        <v>1</v>
      </c>
      <c r="D62" s="8">
        <v>2.86</v>
      </c>
      <c r="E62" s="12">
        <v>1</v>
      </c>
      <c r="F62" s="8">
        <v>4.3499999999999996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292</v>
      </c>
      <c r="C63" s="12">
        <v>1</v>
      </c>
      <c r="D63" s="8">
        <v>2.86</v>
      </c>
      <c r="E63" s="12">
        <v>1</v>
      </c>
      <c r="F63" s="8">
        <v>4.3499999999999996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187</v>
      </c>
      <c r="C64" s="12">
        <v>1</v>
      </c>
      <c r="D64" s="8">
        <v>2.86</v>
      </c>
      <c r="E64" s="12">
        <v>1</v>
      </c>
      <c r="F64" s="8">
        <v>4.3499999999999996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220</v>
      </c>
      <c r="C65" s="12">
        <v>1</v>
      </c>
      <c r="D65" s="8">
        <v>2.86</v>
      </c>
      <c r="E65" s="12">
        <v>1</v>
      </c>
      <c r="F65" s="8">
        <v>4.3499999999999996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198</v>
      </c>
      <c r="C66" s="12">
        <v>1</v>
      </c>
      <c r="D66" s="8">
        <v>2.86</v>
      </c>
      <c r="E66" s="12">
        <v>1</v>
      </c>
      <c r="F66" s="8">
        <v>4.3499999999999996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293</v>
      </c>
      <c r="C67" s="12">
        <v>1</v>
      </c>
      <c r="D67" s="8">
        <v>2.86</v>
      </c>
      <c r="E67" s="12">
        <v>1</v>
      </c>
      <c r="F67" s="8">
        <v>4.3499999999999996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191</v>
      </c>
      <c r="C68" s="12">
        <v>1</v>
      </c>
      <c r="D68" s="8">
        <v>2.86</v>
      </c>
      <c r="E68" s="12">
        <v>1</v>
      </c>
      <c r="F68" s="8">
        <v>4.3499999999999996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192</v>
      </c>
      <c r="C69" s="12">
        <v>1</v>
      </c>
      <c r="D69" s="8">
        <v>2.86</v>
      </c>
      <c r="E69" s="12">
        <v>0</v>
      </c>
      <c r="F69" s="8">
        <v>0</v>
      </c>
      <c r="G69" s="12">
        <v>1</v>
      </c>
      <c r="H69" s="8">
        <v>9.09</v>
      </c>
      <c r="I69" s="12">
        <v>0</v>
      </c>
    </row>
    <row r="70" spans="2:9" ht="15" customHeight="1" x14ac:dyDescent="0.2">
      <c r="B70" t="s">
        <v>193</v>
      </c>
      <c r="C70" s="12">
        <v>1</v>
      </c>
      <c r="D70" s="8">
        <v>2.86</v>
      </c>
      <c r="E70" s="12">
        <v>1</v>
      </c>
      <c r="F70" s="8">
        <v>4.3499999999999996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200</v>
      </c>
      <c r="C71" s="12">
        <v>1</v>
      </c>
      <c r="D71" s="8">
        <v>2.86</v>
      </c>
      <c r="E71" s="12">
        <v>1</v>
      </c>
      <c r="F71" s="8">
        <v>4.3499999999999996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2B156-DCA9-4A09-BB71-17B4AB0EB160}">
  <sheetPr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412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1</v>
      </c>
      <c r="D5" s="8">
        <v>0.94</v>
      </c>
      <c r="E5" s="12">
        <v>0</v>
      </c>
      <c r="F5" s="8">
        <v>0</v>
      </c>
      <c r="G5" s="12">
        <v>1</v>
      </c>
      <c r="H5" s="8">
        <v>3.7</v>
      </c>
      <c r="I5" s="12">
        <v>0</v>
      </c>
    </row>
    <row r="6" spans="2:9" ht="15" customHeight="1" x14ac:dyDescent="0.2">
      <c r="B6" t="s">
        <v>79</v>
      </c>
      <c r="C6" s="12">
        <v>31</v>
      </c>
      <c r="D6" s="8">
        <v>29.25</v>
      </c>
      <c r="E6" s="12">
        <v>21</v>
      </c>
      <c r="F6" s="8">
        <v>28.38</v>
      </c>
      <c r="G6" s="12">
        <v>10</v>
      </c>
      <c r="H6" s="8">
        <v>37.04</v>
      </c>
      <c r="I6" s="12">
        <v>0</v>
      </c>
    </row>
    <row r="7" spans="2:9" ht="15" customHeight="1" x14ac:dyDescent="0.2">
      <c r="B7" t="s">
        <v>80</v>
      </c>
      <c r="C7" s="12">
        <v>5</v>
      </c>
      <c r="D7" s="8">
        <v>4.72</v>
      </c>
      <c r="E7" s="12">
        <v>2</v>
      </c>
      <c r="F7" s="8">
        <v>2.7</v>
      </c>
      <c r="G7" s="12">
        <v>3</v>
      </c>
      <c r="H7" s="8">
        <v>11.11</v>
      </c>
      <c r="I7" s="12">
        <v>0</v>
      </c>
    </row>
    <row r="8" spans="2:9" ht="15" customHeight="1" x14ac:dyDescent="0.2">
      <c r="B8" t="s">
        <v>81</v>
      </c>
      <c r="C8" s="12">
        <v>3</v>
      </c>
      <c r="D8" s="8">
        <v>2.83</v>
      </c>
      <c r="E8" s="12">
        <v>2</v>
      </c>
      <c r="F8" s="8">
        <v>2.7</v>
      </c>
      <c r="G8" s="12">
        <v>1</v>
      </c>
      <c r="H8" s="8">
        <v>3.7</v>
      </c>
      <c r="I8" s="12">
        <v>0</v>
      </c>
    </row>
    <row r="9" spans="2:9" ht="15" customHeight="1" x14ac:dyDescent="0.2">
      <c r="B9" t="s">
        <v>82</v>
      </c>
      <c r="C9" s="12">
        <v>2</v>
      </c>
      <c r="D9" s="8">
        <v>1.89</v>
      </c>
      <c r="E9" s="12">
        <v>2</v>
      </c>
      <c r="F9" s="8">
        <v>2.7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2</v>
      </c>
      <c r="D10" s="8">
        <v>1.89</v>
      </c>
      <c r="E10" s="12">
        <v>2</v>
      </c>
      <c r="F10" s="8">
        <v>2.7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84</v>
      </c>
      <c r="C11" s="12">
        <v>29</v>
      </c>
      <c r="D11" s="8">
        <v>27.36</v>
      </c>
      <c r="E11" s="12">
        <v>22</v>
      </c>
      <c r="F11" s="8">
        <v>29.73</v>
      </c>
      <c r="G11" s="12">
        <v>7</v>
      </c>
      <c r="H11" s="8">
        <v>25.93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1</v>
      </c>
      <c r="D13" s="8">
        <v>0.94</v>
      </c>
      <c r="E13" s="12">
        <v>1</v>
      </c>
      <c r="F13" s="8">
        <v>1.35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87</v>
      </c>
      <c r="C14" s="12">
        <v>4</v>
      </c>
      <c r="D14" s="8">
        <v>3.77</v>
      </c>
      <c r="E14" s="12">
        <v>2</v>
      </c>
      <c r="F14" s="8">
        <v>2.7</v>
      </c>
      <c r="G14" s="12">
        <v>2</v>
      </c>
      <c r="H14" s="8">
        <v>7.41</v>
      </c>
      <c r="I14" s="12">
        <v>0</v>
      </c>
    </row>
    <row r="15" spans="2:9" ht="15" customHeight="1" x14ac:dyDescent="0.2">
      <c r="B15" t="s">
        <v>88</v>
      </c>
      <c r="C15" s="12">
        <v>8</v>
      </c>
      <c r="D15" s="8">
        <v>7.55</v>
      </c>
      <c r="E15" s="12">
        <v>6</v>
      </c>
      <c r="F15" s="8">
        <v>8.11</v>
      </c>
      <c r="G15" s="12">
        <v>1</v>
      </c>
      <c r="H15" s="8">
        <v>3.7</v>
      </c>
      <c r="I15" s="12">
        <v>0</v>
      </c>
    </row>
    <row r="16" spans="2:9" ht="15" customHeight="1" x14ac:dyDescent="0.2">
      <c r="B16" t="s">
        <v>89</v>
      </c>
      <c r="C16" s="12">
        <v>9</v>
      </c>
      <c r="D16" s="8">
        <v>8.49</v>
      </c>
      <c r="E16" s="12">
        <v>7</v>
      </c>
      <c r="F16" s="8">
        <v>9.4600000000000009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90</v>
      </c>
      <c r="C17" s="12">
        <v>4</v>
      </c>
      <c r="D17" s="8">
        <v>3.77</v>
      </c>
      <c r="E17" s="12">
        <v>2</v>
      </c>
      <c r="F17" s="8">
        <v>2.7</v>
      </c>
      <c r="G17" s="12">
        <v>1</v>
      </c>
      <c r="H17" s="8">
        <v>3.7</v>
      </c>
      <c r="I17" s="12">
        <v>0</v>
      </c>
    </row>
    <row r="18" spans="2:9" ht="15" customHeight="1" x14ac:dyDescent="0.2">
      <c r="B18" t="s">
        <v>91</v>
      </c>
      <c r="C18" s="12">
        <v>5</v>
      </c>
      <c r="D18" s="8">
        <v>4.72</v>
      </c>
      <c r="E18" s="12">
        <v>4</v>
      </c>
      <c r="F18" s="8">
        <v>5.41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92</v>
      </c>
      <c r="C19" s="12">
        <v>2</v>
      </c>
      <c r="D19" s="8">
        <v>1.89</v>
      </c>
      <c r="E19" s="12">
        <v>1</v>
      </c>
      <c r="F19" s="8">
        <v>1.35</v>
      </c>
      <c r="G19" s="12">
        <v>1</v>
      </c>
      <c r="H19" s="8">
        <v>3.7</v>
      </c>
      <c r="I19" s="12">
        <v>0</v>
      </c>
    </row>
    <row r="20" spans="2:9" ht="15" customHeight="1" x14ac:dyDescent="0.2">
      <c r="B20" s="9" t="s">
        <v>363</v>
      </c>
      <c r="C20" s="12">
        <f>SUM(LTBL_20411[総数／事業所数])</f>
        <v>106</v>
      </c>
      <c r="E20" s="12">
        <f>SUBTOTAL(109,LTBL_20411[個人／事業所数])</f>
        <v>74</v>
      </c>
      <c r="G20" s="12">
        <f>SUBTOTAL(109,LTBL_20411[法人／事業所数])</f>
        <v>27</v>
      </c>
      <c r="I20" s="12">
        <f>SUBTOTAL(109,LTBL_20411[法人以外の団体／事業所数])</f>
        <v>0</v>
      </c>
    </row>
    <row r="21" spans="2:9" ht="15" customHeight="1" x14ac:dyDescent="0.2">
      <c r="E21" s="11">
        <f>LTBL_20411[[#Totals],[個人／事業所数]]/LTBL_20411[[#Totals],[総数／事業所数]]</f>
        <v>0.69811320754716977</v>
      </c>
      <c r="G21" s="11">
        <f>LTBL_20411[[#Totals],[法人／事業所数]]/LTBL_20411[[#Totals],[総数／事業所数]]</f>
        <v>0.25471698113207547</v>
      </c>
      <c r="I21" s="11">
        <f>LTBL_20411[[#Totals],[法人以外の団体／事業所数]]/LTBL_20411[[#Totals],[総数／事業所数]]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101</v>
      </c>
      <c r="C24" s="12">
        <v>18</v>
      </c>
      <c r="D24" s="8">
        <v>16.98</v>
      </c>
      <c r="E24" s="12">
        <v>11</v>
      </c>
      <c r="F24" s="8">
        <v>14.86</v>
      </c>
      <c r="G24" s="12">
        <v>7</v>
      </c>
      <c r="H24" s="8">
        <v>25.93</v>
      </c>
      <c r="I24" s="12">
        <v>0</v>
      </c>
    </row>
    <row r="25" spans="2:9" ht="15" customHeight="1" x14ac:dyDescent="0.2">
      <c r="B25" t="s">
        <v>110</v>
      </c>
      <c r="C25" s="12">
        <v>12</v>
      </c>
      <c r="D25" s="8">
        <v>11.32</v>
      </c>
      <c r="E25" s="12">
        <v>9</v>
      </c>
      <c r="F25" s="8">
        <v>12.16</v>
      </c>
      <c r="G25" s="12">
        <v>3</v>
      </c>
      <c r="H25" s="8">
        <v>11.11</v>
      </c>
      <c r="I25" s="12">
        <v>0</v>
      </c>
    </row>
    <row r="26" spans="2:9" ht="15" customHeight="1" x14ac:dyDescent="0.2">
      <c r="B26" t="s">
        <v>102</v>
      </c>
      <c r="C26" s="12">
        <v>10</v>
      </c>
      <c r="D26" s="8">
        <v>9.43</v>
      </c>
      <c r="E26" s="12">
        <v>9</v>
      </c>
      <c r="F26" s="8">
        <v>12.16</v>
      </c>
      <c r="G26" s="12">
        <v>1</v>
      </c>
      <c r="H26" s="8">
        <v>3.7</v>
      </c>
      <c r="I26" s="12">
        <v>0</v>
      </c>
    </row>
    <row r="27" spans="2:9" ht="15" customHeight="1" x14ac:dyDescent="0.2">
      <c r="B27" t="s">
        <v>109</v>
      </c>
      <c r="C27" s="12">
        <v>7</v>
      </c>
      <c r="D27" s="8">
        <v>6.6</v>
      </c>
      <c r="E27" s="12">
        <v>6</v>
      </c>
      <c r="F27" s="8">
        <v>8.11</v>
      </c>
      <c r="G27" s="12">
        <v>1</v>
      </c>
      <c r="H27" s="8">
        <v>3.7</v>
      </c>
      <c r="I27" s="12">
        <v>0</v>
      </c>
    </row>
    <row r="28" spans="2:9" ht="15" customHeight="1" x14ac:dyDescent="0.2">
      <c r="B28" t="s">
        <v>116</v>
      </c>
      <c r="C28" s="12">
        <v>7</v>
      </c>
      <c r="D28" s="8">
        <v>6.6</v>
      </c>
      <c r="E28" s="12">
        <v>6</v>
      </c>
      <c r="F28" s="8">
        <v>8.11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115</v>
      </c>
      <c r="C29" s="12">
        <v>6</v>
      </c>
      <c r="D29" s="8">
        <v>5.66</v>
      </c>
      <c r="E29" s="12">
        <v>5</v>
      </c>
      <c r="F29" s="8">
        <v>6.76</v>
      </c>
      <c r="G29" s="12">
        <v>1</v>
      </c>
      <c r="H29" s="8">
        <v>3.7</v>
      </c>
      <c r="I29" s="12">
        <v>0</v>
      </c>
    </row>
    <row r="30" spans="2:9" ht="15" customHeight="1" x14ac:dyDescent="0.2">
      <c r="B30" t="s">
        <v>108</v>
      </c>
      <c r="C30" s="12">
        <v>5</v>
      </c>
      <c r="D30" s="8">
        <v>4.72</v>
      </c>
      <c r="E30" s="12">
        <v>3</v>
      </c>
      <c r="F30" s="8">
        <v>4.05</v>
      </c>
      <c r="G30" s="12">
        <v>2</v>
      </c>
      <c r="H30" s="8">
        <v>7.41</v>
      </c>
      <c r="I30" s="12">
        <v>0</v>
      </c>
    </row>
    <row r="31" spans="2:9" ht="15" customHeight="1" x14ac:dyDescent="0.2">
      <c r="B31" t="s">
        <v>117</v>
      </c>
      <c r="C31" s="12">
        <v>4</v>
      </c>
      <c r="D31" s="8">
        <v>3.77</v>
      </c>
      <c r="E31" s="12">
        <v>2</v>
      </c>
      <c r="F31" s="8">
        <v>2.7</v>
      </c>
      <c r="G31" s="12">
        <v>1</v>
      </c>
      <c r="H31" s="8">
        <v>3.7</v>
      </c>
      <c r="I31" s="12">
        <v>0</v>
      </c>
    </row>
    <row r="32" spans="2:9" ht="15" customHeight="1" x14ac:dyDescent="0.2">
      <c r="B32" t="s">
        <v>118</v>
      </c>
      <c r="C32" s="12">
        <v>4</v>
      </c>
      <c r="D32" s="8">
        <v>3.77</v>
      </c>
      <c r="E32" s="12">
        <v>4</v>
      </c>
      <c r="F32" s="8">
        <v>5.41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103</v>
      </c>
      <c r="C33" s="12">
        <v>3</v>
      </c>
      <c r="D33" s="8">
        <v>2.83</v>
      </c>
      <c r="E33" s="12">
        <v>1</v>
      </c>
      <c r="F33" s="8">
        <v>1.35</v>
      </c>
      <c r="G33" s="12">
        <v>2</v>
      </c>
      <c r="H33" s="8">
        <v>7.41</v>
      </c>
      <c r="I33" s="12">
        <v>0</v>
      </c>
    </row>
    <row r="34" spans="2:9" ht="15" customHeight="1" x14ac:dyDescent="0.2">
      <c r="B34" t="s">
        <v>144</v>
      </c>
      <c r="C34" s="12">
        <v>3</v>
      </c>
      <c r="D34" s="8">
        <v>2.83</v>
      </c>
      <c r="E34" s="12">
        <v>2</v>
      </c>
      <c r="F34" s="8">
        <v>2.7</v>
      </c>
      <c r="G34" s="12">
        <v>1</v>
      </c>
      <c r="H34" s="8">
        <v>3.7</v>
      </c>
      <c r="I34" s="12">
        <v>0</v>
      </c>
    </row>
    <row r="35" spans="2:9" ht="15" customHeight="1" x14ac:dyDescent="0.2">
      <c r="B35" t="s">
        <v>122</v>
      </c>
      <c r="C35" s="12">
        <v>3</v>
      </c>
      <c r="D35" s="8">
        <v>2.83</v>
      </c>
      <c r="E35" s="12">
        <v>2</v>
      </c>
      <c r="F35" s="8">
        <v>2.7</v>
      </c>
      <c r="G35" s="12">
        <v>1</v>
      </c>
      <c r="H35" s="8">
        <v>3.7</v>
      </c>
      <c r="I35" s="12">
        <v>0</v>
      </c>
    </row>
    <row r="36" spans="2:9" ht="15" customHeight="1" x14ac:dyDescent="0.2">
      <c r="B36" t="s">
        <v>112</v>
      </c>
      <c r="C36" s="12">
        <v>3</v>
      </c>
      <c r="D36" s="8">
        <v>2.83</v>
      </c>
      <c r="E36" s="12">
        <v>2</v>
      </c>
      <c r="F36" s="8">
        <v>2.7</v>
      </c>
      <c r="G36" s="12">
        <v>1</v>
      </c>
      <c r="H36" s="8">
        <v>3.7</v>
      </c>
      <c r="I36" s="12">
        <v>0</v>
      </c>
    </row>
    <row r="37" spans="2:9" ht="15" customHeight="1" x14ac:dyDescent="0.2">
      <c r="B37" t="s">
        <v>130</v>
      </c>
      <c r="C37" s="12">
        <v>2</v>
      </c>
      <c r="D37" s="8">
        <v>1.89</v>
      </c>
      <c r="E37" s="12">
        <v>2</v>
      </c>
      <c r="F37" s="8">
        <v>2.7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120</v>
      </c>
      <c r="C38" s="12">
        <v>2</v>
      </c>
      <c r="D38" s="8">
        <v>1.89</v>
      </c>
      <c r="E38" s="12">
        <v>1</v>
      </c>
      <c r="F38" s="8">
        <v>1.35</v>
      </c>
      <c r="G38" s="12">
        <v>1</v>
      </c>
      <c r="H38" s="8">
        <v>3.7</v>
      </c>
      <c r="I38" s="12">
        <v>0</v>
      </c>
    </row>
    <row r="39" spans="2:9" ht="15" customHeight="1" x14ac:dyDescent="0.2">
      <c r="B39" t="s">
        <v>149</v>
      </c>
      <c r="C39" s="12">
        <v>1</v>
      </c>
      <c r="D39" s="8">
        <v>0.94</v>
      </c>
      <c r="E39" s="12">
        <v>0</v>
      </c>
      <c r="F39" s="8">
        <v>0</v>
      </c>
      <c r="G39" s="12">
        <v>1</v>
      </c>
      <c r="H39" s="8">
        <v>3.7</v>
      </c>
      <c r="I39" s="12">
        <v>0</v>
      </c>
    </row>
    <row r="40" spans="2:9" ht="15" customHeight="1" x14ac:dyDescent="0.2">
      <c r="B40" t="s">
        <v>127</v>
      </c>
      <c r="C40" s="12">
        <v>1</v>
      </c>
      <c r="D40" s="8">
        <v>0.94</v>
      </c>
      <c r="E40" s="12">
        <v>0</v>
      </c>
      <c r="F40" s="8">
        <v>0</v>
      </c>
      <c r="G40" s="12">
        <v>1</v>
      </c>
      <c r="H40" s="8">
        <v>3.7</v>
      </c>
      <c r="I40" s="12">
        <v>0</v>
      </c>
    </row>
    <row r="41" spans="2:9" ht="15" customHeight="1" x14ac:dyDescent="0.2">
      <c r="B41" t="s">
        <v>142</v>
      </c>
      <c r="C41" s="12">
        <v>1</v>
      </c>
      <c r="D41" s="8">
        <v>0.94</v>
      </c>
      <c r="E41" s="12">
        <v>0</v>
      </c>
      <c r="F41" s="8">
        <v>0</v>
      </c>
      <c r="G41" s="12">
        <v>1</v>
      </c>
      <c r="H41" s="8">
        <v>3.7</v>
      </c>
      <c r="I41" s="12">
        <v>0</v>
      </c>
    </row>
    <row r="42" spans="2:9" ht="15" customHeight="1" x14ac:dyDescent="0.2">
      <c r="B42" t="s">
        <v>156</v>
      </c>
      <c r="C42" s="12">
        <v>1</v>
      </c>
      <c r="D42" s="8">
        <v>0.94</v>
      </c>
      <c r="E42" s="12">
        <v>0</v>
      </c>
      <c r="F42" s="8">
        <v>0</v>
      </c>
      <c r="G42" s="12">
        <v>1</v>
      </c>
      <c r="H42" s="8">
        <v>3.7</v>
      </c>
      <c r="I42" s="12">
        <v>0</v>
      </c>
    </row>
    <row r="43" spans="2:9" ht="15" customHeight="1" x14ac:dyDescent="0.2">
      <c r="B43" t="s">
        <v>159</v>
      </c>
      <c r="C43" s="12">
        <v>1</v>
      </c>
      <c r="D43" s="8">
        <v>0.94</v>
      </c>
      <c r="E43" s="12">
        <v>1</v>
      </c>
      <c r="F43" s="8">
        <v>1.35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165</v>
      </c>
      <c r="C44" s="12">
        <v>1</v>
      </c>
      <c r="D44" s="8">
        <v>0.94</v>
      </c>
      <c r="E44" s="12">
        <v>1</v>
      </c>
      <c r="F44" s="8">
        <v>1.35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140</v>
      </c>
      <c r="C45" s="12">
        <v>1</v>
      </c>
      <c r="D45" s="8">
        <v>0.94</v>
      </c>
      <c r="E45" s="12">
        <v>1</v>
      </c>
      <c r="F45" s="8">
        <v>1.35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145</v>
      </c>
      <c r="C46" s="12">
        <v>1</v>
      </c>
      <c r="D46" s="8">
        <v>0.94</v>
      </c>
      <c r="E46" s="12">
        <v>1</v>
      </c>
      <c r="F46" s="8">
        <v>1.35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166</v>
      </c>
      <c r="C47" s="12">
        <v>1</v>
      </c>
      <c r="D47" s="8">
        <v>0.94</v>
      </c>
      <c r="E47" s="12">
        <v>1</v>
      </c>
      <c r="F47" s="8">
        <v>1.35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107</v>
      </c>
      <c r="C48" s="12">
        <v>1</v>
      </c>
      <c r="D48" s="8">
        <v>0.94</v>
      </c>
      <c r="E48" s="12">
        <v>1</v>
      </c>
      <c r="F48" s="8">
        <v>1.35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153</v>
      </c>
      <c r="C49" s="12">
        <v>1</v>
      </c>
      <c r="D49" s="8">
        <v>0.94</v>
      </c>
      <c r="E49" s="12">
        <v>1</v>
      </c>
      <c r="F49" s="8">
        <v>1.35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113</v>
      </c>
      <c r="C50" s="12">
        <v>1</v>
      </c>
      <c r="D50" s="8">
        <v>0.94</v>
      </c>
      <c r="E50" s="12">
        <v>0</v>
      </c>
      <c r="F50" s="8">
        <v>0</v>
      </c>
      <c r="G50" s="12">
        <v>1</v>
      </c>
      <c r="H50" s="8">
        <v>3.7</v>
      </c>
      <c r="I50" s="12">
        <v>0</v>
      </c>
    </row>
    <row r="51" spans="2:9" ht="15" customHeight="1" x14ac:dyDescent="0.2">
      <c r="B51" t="s">
        <v>114</v>
      </c>
      <c r="C51" s="12">
        <v>1</v>
      </c>
      <c r="D51" s="8">
        <v>0.94</v>
      </c>
      <c r="E51" s="12">
        <v>1</v>
      </c>
      <c r="F51" s="8">
        <v>1.35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129</v>
      </c>
      <c r="C52" s="12">
        <v>1</v>
      </c>
      <c r="D52" s="8">
        <v>0.94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131</v>
      </c>
      <c r="C53" s="12">
        <v>1</v>
      </c>
      <c r="D53" s="8">
        <v>0.94</v>
      </c>
      <c r="E53" s="12">
        <v>1</v>
      </c>
      <c r="F53" s="8">
        <v>1.35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132</v>
      </c>
      <c r="C54" s="12">
        <v>1</v>
      </c>
      <c r="D54" s="8">
        <v>0.94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119</v>
      </c>
      <c r="C55" s="12">
        <v>1</v>
      </c>
      <c r="D55" s="8">
        <v>0.94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8" spans="2:9" ht="33" customHeight="1" x14ac:dyDescent="0.2">
      <c r="B58" t="s">
        <v>365</v>
      </c>
      <c r="C58" s="10" t="s">
        <v>94</v>
      </c>
      <c r="D58" s="10" t="s">
        <v>95</v>
      </c>
      <c r="E58" s="10" t="s">
        <v>96</v>
      </c>
      <c r="F58" s="10" t="s">
        <v>97</v>
      </c>
      <c r="G58" s="10" t="s">
        <v>98</v>
      </c>
      <c r="H58" s="10" t="s">
        <v>99</v>
      </c>
      <c r="I58" s="10" t="s">
        <v>100</v>
      </c>
    </row>
    <row r="59" spans="2:9" ht="15" customHeight="1" x14ac:dyDescent="0.2">
      <c r="B59" t="s">
        <v>174</v>
      </c>
      <c r="C59" s="12">
        <v>7</v>
      </c>
      <c r="D59" s="8">
        <v>6.6</v>
      </c>
      <c r="E59" s="12">
        <v>3</v>
      </c>
      <c r="F59" s="8">
        <v>4.05</v>
      </c>
      <c r="G59" s="12">
        <v>4</v>
      </c>
      <c r="H59" s="8">
        <v>14.81</v>
      </c>
      <c r="I59" s="12">
        <v>0</v>
      </c>
    </row>
    <row r="60" spans="2:9" ht="15" customHeight="1" x14ac:dyDescent="0.2">
      <c r="B60" t="s">
        <v>176</v>
      </c>
      <c r="C60" s="12">
        <v>5</v>
      </c>
      <c r="D60" s="8">
        <v>4.72</v>
      </c>
      <c r="E60" s="12">
        <v>5</v>
      </c>
      <c r="F60" s="8">
        <v>6.76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210</v>
      </c>
      <c r="C61" s="12">
        <v>5</v>
      </c>
      <c r="D61" s="8">
        <v>4.72</v>
      </c>
      <c r="E61" s="12">
        <v>4</v>
      </c>
      <c r="F61" s="8">
        <v>5.41</v>
      </c>
      <c r="G61" s="12">
        <v>1</v>
      </c>
      <c r="H61" s="8">
        <v>3.7</v>
      </c>
      <c r="I61" s="12">
        <v>0</v>
      </c>
    </row>
    <row r="62" spans="2:9" ht="15" customHeight="1" x14ac:dyDescent="0.2">
      <c r="B62" t="s">
        <v>208</v>
      </c>
      <c r="C62" s="12">
        <v>4</v>
      </c>
      <c r="D62" s="8">
        <v>3.77</v>
      </c>
      <c r="E62" s="12">
        <v>3</v>
      </c>
      <c r="F62" s="8">
        <v>4.05</v>
      </c>
      <c r="G62" s="12">
        <v>1</v>
      </c>
      <c r="H62" s="8">
        <v>3.7</v>
      </c>
      <c r="I62" s="12">
        <v>0</v>
      </c>
    </row>
    <row r="63" spans="2:9" ht="15" customHeight="1" x14ac:dyDescent="0.2">
      <c r="B63" t="s">
        <v>180</v>
      </c>
      <c r="C63" s="12">
        <v>4</v>
      </c>
      <c r="D63" s="8">
        <v>3.77</v>
      </c>
      <c r="E63" s="12">
        <v>4</v>
      </c>
      <c r="F63" s="8">
        <v>5.41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216</v>
      </c>
      <c r="C64" s="12">
        <v>4</v>
      </c>
      <c r="D64" s="8">
        <v>3.77</v>
      </c>
      <c r="E64" s="12">
        <v>2</v>
      </c>
      <c r="F64" s="8">
        <v>2.7</v>
      </c>
      <c r="G64" s="12">
        <v>2</v>
      </c>
      <c r="H64" s="8">
        <v>7.41</v>
      </c>
      <c r="I64" s="12">
        <v>0</v>
      </c>
    </row>
    <row r="65" spans="2:9" ht="15" customHeight="1" x14ac:dyDescent="0.2">
      <c r="B65" t="s">
        <v>190</v>
      </c>
      <c r="C65" s="12">
        <v>4</v>
      </c>
      <c r="D65" s="8">
        <v>3.77</v>
      </c>
      <c r="E65" s="12">
        <v>4</v>
      </c>
      <c r="F65" s="8">
        <v>5.41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238</v>
      </c>
      <c r="C66" s="12">
        <v>3</v>
      </c>
      <c r="D66" s="8">
        <v>2.83</v>
      </c>
      <c r="E66" s="12">
        <v>2</v>
      </c>
      <c r="F66" s="8">
        <v>2.7</v>
      </c>
      <c r="G66" s="12">
        <v>1</v>
      </c>
      <c r="H66" s="8">
        <v>3.7</v>
      </c>
      <c r="I66" s="12">
        <v>0</v>
      </c>
    </row>
    <row r="67" spans="2:9" ht="15" customHeight="1" x14ac:dyDescent="0.2">
      <c r="B67" t="s">
        <v>205</v>
      </c>
      <c r="C67" s="12">
        <v>3</v>
      </c>
      <c r="D67" s="8">
        <v>2.83</v>
      </c>
      <c r="E67" s="12">
        <v>2</v>
      </c>
      <c r="F67" s="8">
        <v>2.7</v>
      </c>
      <c r="G67" s="12">
        <v>1</v>
      </c>
      <c r="H67" s="8">
        <v>3.7</v>
      </c>
      <c r="I67" s="12">
        <v>0</v>
      </c>
    </row>
    <row r="68" spans="2:9" ht="15" customHeight="1" x14ac:dyDescent="0.2">
      <c r="B68" t="s">
        <v>181</v>
      </c>
      <c r="C68" s="12">
        <v>3</v>
      </c>
      <c r="D68" s="8">
        <v>2.83</v>
      </c>
      <c r="E68" s="12">
        <v>3</v>
      </c>
      <c r="F68" s="8">
        <v>4.05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193</v>
      </c>
      <c r="C69" s="12">
        <v>3</v>
      </c>
      <c r="D69" s="8">
        <v>2.83</v>
      </c>
      <c r="E69" s="12">
        <v>3</v>
      </c>
      <c r="F69" s="8">
        <v>4.05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175</v>
      </c>
      <c r="C70" s="12">
        <v>2</v>
      </c>
      <c r="D70" s="8">
        <v>1.89</v>
      </c>
      <c r="E70" s="12">
        <v>0</v>
      </c>
      <c r="F70" s="8">
        <v>0</v>
      </c>
      <c r="G70" s="12">
        <v>2</v>
      </c>
      <c r="H70" s="8">
        <v>7.41</v>
      </c>
      <c r="I70" s="12">
        <v>0</v>
      </c>
    </row>
    <row r="71" spans="2:9" ht="15" customHeight="1" x14ac:dyDescent="0.2">
      <c r="B71" t="s">
        <v>224</v>
      </c>
      <c r="C71" s="12">
        <v>2</v>
      </c>
      <c r="D71" s="8">
        <v>1.89</v>
      </c>
      <c r="E71" s="12">
        <v>2</v>
      </c>
      <c r="F71" s="8">
        <v>2.7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261</v>
      </c>
      <c r="C72" s="12">
        <v>2</v>
      </c>
      <c r="D72" s="8">
        <v>1.89</v>
      </c>
      <c r="E72" s="12">
        <v>2</v>
      </c>
      <c r="F72" s="8">
        <v>2.7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178</v>
      </c>
      <c r="C73" s="12">
        <v>2</v>
      </c>
      <c r="D73" s="8">
        <v>1.89</v>
      </c>
      <c r="E73" s="12">
        <v>1</v>
      </c>
      <c r="F73" s="8">
        <v>1.35</v>
      </c>
      <c r="G73" s="12">
        <v>1</v>
      </c>
      <c r="H73" s="8">
        <v>3.7</v>
      </c>
      <c r="I73" s="12">
        <v>0</v>
      </c>
    </row>
    <row r="74" spans="2:9" ht="15" customHeight="1" x14ac:dyDescent="0.2">
      <c r="B74" t="s">
        <v>294</v>
      </c>
      <c r="C74" s="12">
        <v>2</v>
      </c>
      <c r="D74" s="8">
        <v>1.89</v>
      </c>
      <c r="E74" s="12">
        <v>2</v>
      </c>
      <c r="F74" s="8">
        <v>2.7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295</v>
      </c>
      <c r="C75" s="12">
        <v>2</v>
      </c>
      <c r="D75" s="8">
        <v>1.89</v>
      </c>
      <c r="E75" s="12">
        <v>1</v>
      </c>
      <c r="F75" s="8">
        <v>1.35</v>
      </c>
      <c r="G75" s="12">
        <v>1</v>
      </c>
      <c r="H75" s="8">
        <v>3.7</v>
      </c>
      <c r="I75" s="12">
        <v>0</v>
      </c>
    </row>
    <row r="76" spans="2:9" ht="15" customHeight="1" x14ac:dyDescent="0.2">
      <c r="B76" t="s">
        <v>296</v>
      </c>
      <c r="C76" s="12">
        <v>2</v>
      </c>
      <c r="D76" s="8">
        <v>1.89</v>
      </c>
      <c r="E76" s="12">
        <v>1</v>
      </c>
      <c r="F76" s="8">
        <v>1.35</v>
      </c>
      <c r="G76" s="12">
        <v>1</v>
      </c>
      <c r="H76" s="8">
        <v>3.7</v>
      </c>
      <c r="I76" s="12">
        <v>0</v>
      </c>
    </row>
    <row r="77" spans="2:9" ht="15" customHeight="1" x14ac:dyDescent="0.2">
      <c r="B77" t="s">
        <v>215</v>
      </c>
      <c r="C77" s="12">
        <v>2</v>
      </c>
      <c r="D77" s="8">
        <v>1.89</v>
      </c>
      <c r="E77" s="12">
        <v>1</v>
      </c>
      <c r="F77" s="8">
        <v>1.35</v>
      </c>
      <c r="G77" s="12">
        <v>1</v>
      </c>
      <c r="H77" s="8">
        <v>3.7</v>
      </c>
      <c r="I77" s="12">
        <v>0</v>
      </c>
    </row>
    <row r="78" spans="2:9" ht="15" customHeight="1" x14ac:dyDescent="0.2">
      <c r="B78" t="s">
        <v>297</v>
      </c>
      <c r="C78" s="12">
        <v>2</v>
      </c>
      <c r="D78" s="8">
        <v>1.89</v>
      </c>
      <c r="E78" s="12">
        <v>2</v>
      </c>
      <c r="F78" s="8">
        <v>2.7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191</v>
      </c>
      <c r="C79" s="12">
        <v>2</v>
      </c>
      <c r="D79" s="8">
        <v>1.89</v>
      </c>
      <c r="E79" s="12">
        <v>2</v>
      </c>
      <c r="F79" s="8">
        <v>2.7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192</v>
      </c>
      <c r="C80" s="12">
        <v>2</v>
      </c>
      <c r="D80" s="8">
        <v>1.89</v>
      </c>
      <c r="E80" s="12">
        <v>2</v>
      </c>
      <c r="F80" s="8">
        <v>2.7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200</v>
      </c>
      <c r="C81" s="12">
        <v>2</v>
      </c>
      <c r="D81" s="8">
        <v>1.89</v>
      </c>
      <c r="E81" s="12">
        <v>1</v>
      </c>
      <c r="F81" s="8">
        <v>1.35</v>
      </c>
      <c r="G81" s="12">
        <v>1</v>
      </c>
      <c r="H81" s="8">
        <v>3.7</v>
      </c>
      <c r="I81" s="12">
        <v>0</v>
      </c>
    </row>
    <row r="83" spans="2:9" ht="15" customHeight="1" x14ac:dyDescent="0.2">
      <c r="B83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7DB0D-FCD2-4047-90DA-378C010F3EBE}">
  <sheetPr>
    <pageSetUpPr fitToPage="1"/>
  </sheetPr>
  <dimension ref="B2:I6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413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1</v>
      </c>
      <c r="D6" s="8">
        <v>4.17</v>
      </c>
      <c r="E6" s="12">
        <v>0</v>
      </c>
      <c r="F6" s="8">
        <v>0</v>
      </c>
      <c r="G6" s="12">
        <v>1</v>
      </c>
      <c r="H6" s="8">
        <v>20</v>
      </c>
      <c r="I6" s="12">
        <v>0</v>
      </c>
    </row>
    <row r="7" spans="2:9" ht="15" customHeight="1" x14ac:dyDescent="0.2">
      <c r="B7" t="s">
        <v>80</v>
      </c>
      <c r="C7" s="12">
        <v>3</v>
      </c>
      <c r="D7" s="8">
        <v>12.5</v>
      </c>
      <c r="E7" s="12">
        <v>1</v>
      </c>
      <c r="F7" s="8">
        <v>6.25</v>
      </c>
      <c r="G7" s="12">
        <v>2</v>
      </c>
      <c r="H7" s="8">
        <v>40</v>
      </c>
      <c r="I7" s="12">
        <v>0</v>
      </c>
    </row>
    <row r="8" spans="2:9" ht="15" customHeight="1" x14ac:dyDescent="0.2">
      <c r="B8" t="s">
        <v>81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1</v>
      </c>
      <c r="D9" s="8">
        <v>4.17</v>
      </c>
      <c r="E9" s="12">
        <v>1</v>
      </c>
      <c r="F9" s="8">
        <v>6.25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84</v>
      </c>
      <c r="C11" s="12">
        <v>9</v>
      </c>
      <c r="D11" s="8">
        <v>37.5</v>
      </c>
      <c r="E11" s="12">
        <v>8</v>
      </c>
      <c r="F11" s="8">
        <v>50</v>
      </c>
      <c r="G11" s="12">
        <v>0</v>
      </c>
      <c r="H11" s="8">
        <v>0</v>
      </c>
      <c r="I11" s="12">
        <v>1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1</v>
      </c>
      <c r="D13" s="8">
        <v>4.17</v>
      </c>
      <c r="E13" s="12">
        <v>1</v>
      </c>
      <c r="F13" s="8">
        <v>6.25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87</v>
      </c>
      <c r="C14" s="12">
        <v>1</v>
      </c>
      <c r="D14" s="8">
        <v>4.17</v>
      </c>
      <c r="E14" s="12">
        <v>0</v>
      </c>
      <c r="F14" s="8">
        <v>0</v>
      </c>
      <c r="G14" s="12">
        <v>1</v>
      </c>
      <c r="H14" s="8">
        <v>20</v>
      </c>
      <c r="I14" s="12">
        <v>0</v>
      </c>
    </row>
    <row r="15" spans="2:9" ht="15" customHeight="1" x14ac:dyDescent="0.2">
      <c r="B15" t="s">
        <v>88</v>
      </c>
      <c r="C15" s="12">
        <v>4</v>
      </c>
      <c r="D15" s="8">
        <v>16.670000000000002</v>
      </c>
      <c r="E15" s="12">
        <v>3</v>
      </c>
      <c r="F15" s="8">
        <v>18.75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89</v>
      </c>
      <c r="C16" s="12">
        <v>0</v>
      </c>
      <c r="D16" s="8">
        <v>0</v>
      </c>
      <c r="E16" s="12">
        <v>0</v>
      </c>
      <c r="F16" s="8">
        <v>0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90</v>
      </c>
      <c r="C17" s="12">
        <v>2</v>
      </c>
      <c r="D17" s="8">
        <v>8.33</v>
      </c>
      <c r="E17" s="12">
        <v>1</v>
      </c>
      <c r="F17" s="8">
        <v>6.25</v>
      </c>
      <c r="G17" s="12">
        <v>1</v>
      </c>
      <c r="H17" s="8">
        <v>20</v>
      </c>
      <c r="I17" s="12">
        <v>0</v>
      </c>
    </row>
    <row r="18" spans="2:9" ht="15" customHeight="1" x14ac:dyDescent="0.2">
      <c r="B18" t="s">
        <v>91</v>
      </c>
      <c r="C18" s="12">
        <v>2</v>
      </c>
      <c r="D18" s="8">
        <v>8.33</v>
      </c>
      <c r="E18" s="12">
        <v>1</v>
      </c>
      <c r="F18" s="8">
        <v>6.25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92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363</v>
      </c>
      <c r="C20" s="12">
        <f>SUM(LTBL_20412[総数／事業所数])</f>
        <v>24</v>
      </c>
      <c r="E20" s="12">
        <f>SUBTOTAL(109,LTBL_20412[個人／事業所数])</f>
        <v>16</v>
      </c>
      <c r="G20" s="12">
        <f>SUBTOTAL(109,LTBL_20412[法人／事業所数])</f>
        <v>5</v>
      </c>
      <c r="I20" s="12">
        <f>SUBTOTAL(109,LTBL_20412[法人以外の団体／事業所数])</f>
        <v>1</v>
      </c>
    </row>
    <row r="21" spans="2:9" ht="15" customHeight="1" x14ac:dyDescent="0.2">
      <c r="E21" s="11">
        <f>LTBL_20412[[#Totals],[個人／事業所数]]/LTBL_20412[[#Totals],[総数／事業所数]]</f>
        <v>0.66666666666666663</v>
      </c>
      <c r="G21" s="11">
        <f>LTBL_20412[[#Totals],[法人／事業所数]]/LTBL_20412[[#Totals],[総数／事業所数]]</f>
        <v>0.20833333333333334</v>
      </c>
      <c r="I21" s="11">
        <f>LTBL_20412[[#Totals],[法人以外の団体／事業所数]]/LTBL_20412[[#Totals],[総数／事業所数]]</f>
        <v>4.1666666666666664E-2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108</v>
      </c>
      <c r="C24" s="12">
        <v>4</v>
      </c>
      <c r="D24" s="8">
        <v>16.670000000000002</v>
      </c>
      <c r="E24" s="12">
        <v>4</v>
      </c>
      <c r="F24" s="8">
        <v>25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110</v>
      </c>
      <c r="C25" s="12">
        <v>3</v>
      </c>
      <c r="D25" s="8">
        <v>12.5</v>
      </c>
      <c r="E25" s="12">
        <v>2</v>
      </c>
      <c r="F25" s="8">
        <v>12.5</v>
      </c>
      <c r="G25" s="12">
        <v>0</v>
      </c>
      <c r="H25" s="8">
        <v>0</v>
      </c>
      <c r="I25" s="12">
        <v>1</v>
      </c>
    </row>
    <row r="26" spans="2:9" ht="15" customHeight="1" x14ac:dyDescent="0.2">
      <c r="B26" t="s">
        <v>114</v>
      </c>
      <c r="C26" s="12">
        <v>3</v>
      </c>
      <c r="D26" s="8">
        <v>12.5</v>
      </c>
      <c r="E26" s="12">
        <v>2</v>
      </c>
      <c r="F26" s="8">
        <v>12.5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117</v>
      </c>
      <c r="C27" s="12">
        <v>2</v>
      </c>
      <c r="D27" s="8">
        <v>8.33</v>
      </c>
      <c r="E27" s="12">
        <v>1</v>
      </c>
      <c r="F27" s="8">
        <v>6.25</v>
      </c>
      <c r="G27" s="12">
        <v>1</v>
      </c>
      <c r="H27" s="8">
        <v>20</v>
      </c>
      <c r="I27" s="12">
        <v>0</v>
      </c>
    </row>
    <row r="28" spans="2:9" ht="15" customHeight="1" x14ac:dyDescent="0.2">
      <c r="B28" t="s">
        <v>101</v>
      </c>
      <c r="C28" s="12">
        <v>1</v>
      </c>
      <c r="D28" s="8">
        <v>4.17</v>
      </c>
      <c r="E28" s="12">
        <v>0</v>
      </c>
      <c r="F28" s="8">
        <v>0</v>
      </c>
      <c r="G28" s="12">
        <v>1</v>
      </c>
      <c r="H28" s="8">
        <v>20</v>
      </c>
      <c r="I28" s="12">
        <v>0</v>
      </c>
    </row>
    <row r="29" spans="2:9" ht="15" customHeight="1" x14ac:dyDescent="0.2">
      <c r="B29" t="s">
        <v>127</v>
      </c>
      <c r="C29" s="12">
        <v>1</v>
      </c>
      <c r="D29" s="8">
        <v>4.17</v>
      </c>
      <c r="E29" s="12">
        <v>0</v>
      </c>
      <c r="F29" s="8">
        <v>0</v>
      </c>
      <c r="G29" s="12">
        <v>1</v>
      </c>
      <c r="H29" s="8">
        <v>20</v>
      </c>
      <c r="I29" s="12">
        <v>0</v>
      </c>
    </row>
    <row r="30" spans="2:9" ht="15" customHeight="1" x14ac:dyDescent="0.2">
      <c r="B30" t="s">
        <v>137</v>
      </c>
      <c r="C30" s="12">
        <v>1</v>
      </c>
      <c r="D30" s="8">
        <v>4.17</v>
      </c>
      <c r="E30" s="12">
        <v>1</v>
      </c>
      <c r="F30" s="8">
        <v>6.25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130</v>
      </c>
      <c r="C31" s="12">
        <v>1</v>
      </c>
      <c r="D31" s="8">
        <v>4.17</v>
      </c>
      <c r="E31" s="12">
        <v>0</v>
      </c>
      <c r="F31" s="8">
        <v>0</v>
      </c>
      <c r="G31" s="12">
        <v>1</v>
      </c>
      <c r="H31" s="8">
        <v>20</v>
      </c>
      <c r="I31" s="12">
        <v>0</v>
      </c>
    </row>
    <row r="32" spans="2:9" ht="15" customHeight="1" x14ac:dyDescent="0.2">
      <c r="B32" t="s">
        <v>162</v>
      </c>
      <c r="C32" s="12">
        <v>1</v>
      </c>
      <c r="D32" s="8">
        <v>4.17</v>
      </c>
      <c r="E32" s="12">
        <v>1</v>
      </c>
      <c r="F32" s="8">
        <v>6.25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125</v>
      </c>
      <c r="C33" s="12">
        <v>1</v>
      </c>
      <c r="D33" s="8">
        <v>4.17</v>
      </c>
      <c r="E33" s="12">
        <v>1</v>
      </c>
      <c r="F33" s="8">
        <v>6.25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109</v>
      </c>
      <c r="C34" s="12">
        <v>1</v>
      </c>
      <c r="D34" s="8">
        <v>4.17</v>
      </c>
      <c r="E34" s="12">
        <v>1</v>
      </c>
      <c r="F34" s="8">
        <v>6.25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153</v>
      </c>
      <c r="C35" s="12">
        <v>1</v>
      </c>
      <c r="D35" s="8">
        <v>4.17</v>
      </c>
      <c r="E35" s="12">
        <v>1</v>
      </c>
      <c r="F35" s="8">
        <v>6.25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112</v>
      </c>
      <c r="C36" s="12">
        <v>1</v>
      </c>
      <c r="D36" s="8">
        <v>4.17</v>
      </c>
      <c r="E36" s="12">
        <v>0</v>
      </c>
      <c r="F36" s="8">
        <v>0</v>
      </c>
      <c r="G36" s="12">
        <v>1</v>
      </c>
      <c r="H36" s="8">
        <v>20</v>
      </c>
      <c r="I36" s="12">
        <v>0</v>
      </c>
    </row>
    <row r="37" spans="2:9" ht="15" customHeight="1" x14ac:dyDescent="0.2">
      <c r="B37" t="s">
        <v>115</v>
      </c>
      <c r="C37" s="12">
        <v>1</v>
      </c>
      <c r="D37" s="8">
        <v>4.17</v>
      </c>
      <c r="E37" s="12">
        <v>1</v>
      </c>
      <c r="F37" s="8">
        <v>6.25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118</v>
      </c>
      <c r="C38" s="12">
        <v>1</v>
      </c>
      <c r="D38" s="8">
        <v>4.17</v>
      </c>
      <c r="E38" s="12">
        <v>1</v>
      </c>
      <c r="F38" s="8">
        <v>6.25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119</v>
      </c>
      <c r="C39" s="12">
        <v>1</v>
      </c>
      <c r="D39" s="8">
        <v>4.17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2" spans="2:9" ht="33" customHeight="1" x14ac:dyDescent="0.2">
      <c r="B42" t="s">
        <v>365</v>
      </c>
      <c r="C42" s="10" t="s">
        <v>94</v>
      </c>
      <c r="D42" s="10" t="s">
        <v>95</v>
      </c>
      <c r="E42" s="10" t="s">
        <v>96</v>
      </c>
      <c r="F42" s="10" t="s">
        <v>97</v>
      </c>
      <c r="G42" s="10" t="s">
        <v>98</v>
      </c>
      <c r="H42" s="10" t="s">
        <v>99</v>
      </c>
      <c r="I42" s="10" t="s">
        <v>100</v>
      </c>
    </row>
    <row r="43" spans="2:9" ht="15" customHeight="1" x14ac:dyDescent="0.2">
      <c r="B43" t="s">
        <v>227</v>
      </c>
      <c r="C43" s="12">
        <v>2</v>
      </c>
      <c r="D43" s="8">
        <v>8.33</v>
      </c>
      <c r="E43" s="12">
        <v>2</v>
      </c>
      <c r="F43" s="8">
        <v>12.5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216</v>
      </c>
      <c r="C44" s="12">
        <v>2</v>
      </c>
      <c r="D44" s="8">
        <v>8.33</v>
      </c>
      <c r="E44" s="12">
        <v>1</v>
      </c>
      <c r="F44" s="8">
        <v>6.25</v>
      </c>
      <c r="G44" s="12">
        <v>0</v>
      </c>
      <c r="H44" s="8">
        <v>0</v>
      </c>
      <c r="I44" s="12">
        <v>1</v>
      </c>
    </row>
    <row r="45" spans="2:9" ht="15" customHeight="1" x14ac:dyDescent="0.2">
      <c r="B45" t="s">
        <v>185</v>
      </c>
      <c r="C45" s="12">
        <v>2</v>
      </c>
      <c r="D45" s="8">
        <v>8.33</v>
      </c>
      <c r="E45" s="12">
        <v>2</v>
      </c>
      <c r="F45" s="8">
        <v>12.5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176</v>
      </c>
      <c r="C46" s="12">
        <v>1</v>
      </c>
      <c r="D46" s="8">
        <v>4.17</v>
      </c>
      <c r="E46" s="12">
        <v>0</v>
      </c>
      <c r="F46" s="8">
        <v>0</v>
      </c>
      <c r="G46" s="12">
        <v>1</v>
      </c>
      <c r="H46" s="8">
        <v>20</v>
      </c>
      <c r="I46" s="12">
        <v>0</v>
      </c>
    </row>
    <row r="47" spans="2:9" ht="15" customHeight="1" x14ac:dyDescent="0.2">
      <c r="B47" t="s">
        <v>262</v>
      </c>
      <c r="C47" s="12">
        <v>1</v>
      </c>
      <c r="D47" s="8">
        <v>4.17</v>
      </c>
      <c r="E47" s="12">
        <v>0</v>
      </c>
      <c r="F47" s="8">
        <v>0</v>
      </c>
      <c r="G47" s="12">
        <v>1</v>
      </c>
      <c r="H47" s="8">
        <v>20</v>
      </c>
      <c r="I47" s="12">
        <v>0</v>
      </c>
    </row>
    <row r="48" spans="2:9" ht="15" customHeight="1" x14ac:dyDescent="0.2">
      <c r="B48" t="s">
        <v>298</v>
      </c>
      <c r="C48" s="12">
        <v>1</v>
      </c>
      <c r="D48" s="8">
        <v>4.17</v>
      </c>
      <c r="E48" s="12">
        <v>1</v>
      </c>
      <c r="F48" s="8">
        <v>6.25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299</v>
      </c>
      <c r="C49" s="12">
        <v>1</v>
      </c>
      <c r="D49" s="8">
        <v>4.17</v>
      </c>
      <c r="E49" s="12">
        <v>0</v>
      </c>
      <c r="F49" s="8">
        <v>0</v>
      </c>
      <c r="G49" s="12">
        <v>1</v>
      </c>
      <c r="H49" s="8">
        <v>20</v>
      </c>
      <c r="I49" s="12">
        <v>0</v>
      </c>
    </row>
    <row r="50" spans="2:9" ht="15" customHeight="1" x14ac:dyDescent="0.2">
      <c r="B50" t="s">
        <v>300</v>
      </c>
      <c r="C50" s="12">
        <v>1</v>
      </c>
      <c r="D50" s="8">
        <v>4.17</v>
      </c>
      <c r="E50" s="12">
        <v>1</v>
      </c>
      <c r="F50" s="8">
        <v>6.25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213</v>
      </c>
      <c r="C51" s="12">
        <v>1</v>
      </c>
      <c r="D51" s="8">
        <v>4.17</v>
      </c>
      <c r="E51" s="12">
        <v>1</v>
      </c>
      <c r="F51" s="8">
        <v>6.25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233</v>
      </c>
      <c r="C52" s="12">
        <v>1</v>
      </c>
      <c r="D52" s="8">
        <v>4.17</v>
      </c>
      <c r="E52" s="12">
        <v>1</v>
      </c>
      <c r="F52" s="8">
        <v>6.25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179</v>
      </c>
      <c r="C53" s="12">
        <v>1</v>
      </c>
      <c r="D53" s="8">
        <v>4.17</v>
      </c>
      <c r="E53" s="12">
        <v>1</v>
      </c>
      <c r="F53" s="8">
        <v>6.25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180</v>
      </c>
      <c r="C54" s="12">
        <v>1</v>
      </c>
      <c r="D54" s="8">
        <v>4.17</v>
      </c>
      <c r="E54" s="12">
        <v>1</v>
      </c>
      <c r="F54" s="8">
        <v>6.25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288</v>
      </c>
      <c r="C55" s="12">
        <v>1</v>
      </c>
      <c r="D55" s="8">
        <v>4.17</v>
      </c>
      <c r="E55" s="12">
        <v>1</v>
      </c>
      <c r="F55" s="8">
        <v>6.25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301</v>
      </c>
      <c r="C56" s="12">
        <v>1</v>
      </c>
      <c r="D56" s="8">
        <v>4.17</v>
      </c>
      <c r="E56" s="12">
        <v>1</v>
      </c>
      <c r="F56" s="8">
        <v>6.25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302</v>
      </c>
      <c r="C57" s="12">
        <v>1</v>
      </c>
      <c r="D57" s="8">
        <v>4.17</v>
      </c>
      <c r="E57" s="12">
        <v>0</v>
      </c>
      <c r="F57" s="8">
        <v>0</v>
      </c>
      <c r="G57" s="12">
        <v>1</v>
      </c>
      <c r="H57" s="8">
        <v>20</v>
      </c>
      <c r="I57" s="12">
        <v>0</v>
      </c>
    </row>
    <row r="58" spans="2:9" ht="15" customHeight="1" x14ac:dyDescent="0.2">
      <c r="B58" t="s">
        <v>234</v>
      </c>
      <c r="C58" s="12">
        <v>1</v>
      </c>
      <c r="D58" s="8">
        <v>4.17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198</v>
      </c>
      <c r="C59" s="12">
        <v>1</v>
      </c>
      <c r="D59" s="8">
        <v>4.17</v>
      </c>
      <c r="E59" s="12">
        <v>1</v>
      </c>
      <c r="F59" s="8">
        <v>6.25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223</v>
      </c>
      <c r="C60" s="12">
        <v>1</v>
      </c>
      <c r="D60" s="8">
        <v>4.17</v>
      </c>
      <c r="E60" s="12">
        <v>0</v>
      </c>
      <c r="F60" s="8">
        <v>0</v>
      </c>
      <c r="G60" s="12">
        <v>1</v>
      </c>
      <c r="H60" s="8">
        <v>20</v>
      </c>
      <c r="I60" s="12">
        <v>0</v>
      </c>
    </row>
    <row r="61" spans="2:9" ht="15" customHeight="1" x14ac:dyDescent="0.2">
      <c r="B61" t="s">
        <v>192</v>
      </c>
      <c r="C61" s="12">
        <v>1</v>
      </c>
      <c r="D61" s="8">
        <v>4.17</v>
      </c>
      <c r="E61" s="12">
        <v>1</v>
      </c>
      <c r="F61" s="8">
        <v>6.25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278</v>
      </c>
      <c r="C62" s="12">
        <v>1</v>
      </c>
      <c r="D62" s="8">
        <v>4.17</v>
      </c>
      <c r="E62" s="12">
        <v>1</v>
      </c>
      <c r="F62" s="8">
        <v>6.25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217</v>
      </c>
      <c r="C63" s="12">
        <v>1</v>
      </c>
      <c r="D63" s="8">
        <v>4.17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5" spans="2:2" ht="15" customHeight="1" x14ac:dyDescent="0.2">
      <c r="B65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5602A-E4DD-42BC-A278-88BF0A23CBD6}">
  <sheetPr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414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12</v>
      </c>
      <c r="D6" s="8">
        <v>21.43</v>
      </c>
      <c r="E6" s="12">
        <v>3</v>
      </c>
      <c r="F6" s="8">
        <v>9.68</v>
      </c>
      <c r="G6" s="12">
        <v>9</v>
      </c>
      <c r="H6" s="8">
        <v>52.94</v>
      </c>
      <c r="I6" s="12">
        <v>0</v>
      </c>
    </row>
    <row r="7" spans="2:9" ht="15" customHeight="1" x14ac:dyDescent="0.2">
      <c r="B7" t="s">
        <v>80</v>
      </c>
      <c r="C7" s="12">
        <v>3</v>
      </c>
      <c r="D7" s="8">
        <v>5.36</v>
      </c>
      <c r="E7" s="12">
        <v>1</v>
      </c>
      <c r="F7" s="8">
        <v>3.23</v>
      </c>
      <c r="G7" s="12">
        <v>1</v>
      </c>
      <c r="H7" s="8">
        <v>5.88</v>
      </c>
      <c r="I7" s="12">
        <v>1</v>
      </c>
    </row>
    <row r="8" spans="2:9" ht="15" customHeight="1" x14ac:dyDescent="0.2">
      <c r="B8" t="s">
        <v>81</v>
      </c>
      <c r="C8" s="12">
        <v>2</v>
      </c>
      <c r="D8" s="8">
        <v>3.57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1</v>
      </c>
      <c r="D10" s="8">
        <v>1.79</v>
      </c>
      <c r="E10" s="12">
        <v>0</v>
      </c>
      <c r="F10" s="8">
        <v>0</v>
      </c>
      <c r="G10" s="12">
        <v>1</v>
      </c>
      <c r="H10" s="8">
        <v>5.88</v>
      </c>
      <c r="I10" s="12">
        <v>0</v>
      </c>
    </row>
    <row r="11" spans="2:9" ht="15" customHeight="1" x14ac:dyDescent="0.2">
      <c r="B11" t="s">
        <v>84</v>
      </c>
      <c r="C11" s="12">
        <v>18</v>
      </c>
      <c r="D11" s="8">
        <v>32.14</v>
      </c>
      <c r="E11" s="12">
        <v>12</v>
      </c>
      <c r="F11" s="8">
        <v>38.71</v>
      </c>
      <c r="G11" s="12">
        <v>4</v>
      </c>
      <c r="H11" s="8">
        <v>23.53</v>
      </c>
      <c r="I11" s="12">
        <v>2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1</v>
      </c>
      <c r="D13" s="8">
        <v>1.79</v>
      </c>
      <c r="E13" s="12">
        <v>1</v>
      </c>
      <c r="F13" s="8">
        <v>3.23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87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88</v>
      </c>
      <c r="C15" s="12">
        <v>8</v>
      </c>
      <c r="D15" s="8">
        <v>14.29</v>
      </c>
      <c r="E15" s="12">
        <v>6</v>
      </c>
      <c r="F15" s="8">
        <v>19.350000000000001</v>
      </c>
      <c r="G15" s="12">
        <v>1</v>
      </c>
      <c r="H15" s="8">
        <v>5.88</v>
      </c>
      <c r="I15" s="12">
        <v>0</v>
      </c>
    </row>
    <row r="16" spans="2:9" ht="15" customHeight="1" x14ac:dyDescent="0.2">
      <c r="B16" t="s">
        <v>89</v>
      </c>
      <c r="C16" s="12">
        <v>5</v>
      </c>
      <c r="D16" s="8">
        <v>8.93</v>
      </c>
      <c r="E16" s="12">
        <v>5</v>
      </c>
      <c r="F16" s="8">
        <v>16.13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90</v>
      </c>
      <c r="C17" s="12">
        <v>1</v>
      </c>
      <c r="D17" s="8">
        <v>1.79</v>
      </c>
      <c r="E17" s="12">
        <v>1</v>
      </c>
      <c r="F17" s="8">
        <v>3.23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3</v>
      </c>
      <c r="D18" s="8">
        <v>5.36</v>
      </c>
      <c r="E18" s="12">
        <v>1</v>
      </c>
      <c r="F18" s="8">
        <v>3.23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92</v>
      </c>
      <c r="C19" s="12">
        <v>2</v>
      </c>
      <c r="D19" s="8">
        <v>3.57</v>
      </c>
      <c r="E19" s="12">
        <v>1</v>
      </c>
      <c r="F19" s="8">
        <v>3.23</v>
      </c>
      <c r="G19" s="12">
        <v>1</v>
      </c>
      <c r="H19" s="8">
        <v>5.88</v>
      </c>
      <c r="I19" s="12">
        <v>0</v>
      </c>
    </row>
    <row r="20" spans="2:9" ht="15" customHeight="1" x14ac:dyDescent="0.2">
      <c r="B20" s="9" t="s">
        <v>363</v>
      </c>
      <c r="C20" s="12">
        <f>SUM(LTBL_20413[総数／事業所数])</f>
        <v>56</v>
      </c>
      <c r="E20" s="12">
        <f>SUBTOTAL(109,LTBL_20413[個人／事業所数])</f>
        <v>31</v>
      </c>
      <c r="G20" s="12">
        <f>SUBTOTAL(109,LTBL_20413[法人／事業所数])</f>
        <v>17</v>
      </c>
      <c r="I20" s="12">
        <f>SUBTOTAL(109,LTBL_20413[法人以外の団体／事業所数])</f>
        <v>3</v>
      </c>
    </row>
    <row r="21" spans="2:9" ht="15" customHeight="1" x14ac:dyDescent="0.2">
      <c r="E21" s="11">
        <f>LTBL_20413[[#Totals],[個人／事業所数]]/LTBL_20413[[#Totals],[総数／事業所数]]</f>
        <v>0.5535714285714286</v>
      </c>
      <c r="G21" s="11">
        <f>LTBL_20413[[#Totals],[法人／事業所数]]/LTBL_20413[[#Totals],[総数／事業所数]]</f>
        <v>0.30357142857142855</v>
      </c>
      <c r="I21" s="11">
        <f>LTBL_20413[[#Totals],[法人以外の団体／事業所数]]/LTBL_20413[[#Totals],[総数／事業所数]]</f>
        <v>5.3571428571428568E-2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101</v>
      </c>
      <c r="C24" s="12">
        <v>10</v>
      </c>
      <c r="D24" s="8">
        <v>17.86</v>
      </c>
      <c r="E24" s="12">
        <v>2</v>
      </c>
      <c r="F24" s="8">
        <v>6.45</v>
      </c>
      <c r="G24" s="12">
        <v>8</v>
      </c>
      <c r="H24" s="8">
        <v>47.06</v>
      </c>
      <c r="I24" s="12">
        <v>0</v>
      </c>
    </row>
    <row r="25" spans="2:9" ht="15" customHeight="1" x14ac:dyDescent="0.2">
      <c r="B25" t="s">
        <v>108</v>
      </c>
      <c r="C25" s="12">
        <v>9</v>
      </c>
      <c r="D25" s="8">
        <v>16.07</v>
      </c>
      <c r="E25" s="12">
        <v>6</v>
      </c>
      <c r="F25" s="8">
        <v>19.350000000000001</v>
      </c>
      <c r="G25" s="12">
        <v>2</v>
      </c>
      <c r="H25" s="8">
        <v>11.76</v>
      </c>
      <c r="I25" s="12">
        <v>1</v>
      </c>
    </row>
    <row r="26" spans="2:9" ht="15" customHeight="1" x14ac:dyDescent="0.2">
      <c r="B26" t="s">
        <v>110</v>
      </c>
      <c r="C26" s="12">
        <v>7</v>
      </c>
      <c r="D26" s="8">
        <v>12.5</v>
      </c>
      <c r="E26" s="12">
        <v>5</v>
      </c>
      <c r="F26" s="8">
        <v>16.13</v>
      </c>
      <c r="G26" s="12">
        <v>2</v>
      </c>
      <c r="H26" s="8">
        <v>11.76</v>
      </c>
      <c r="I26" s="12">
        <v>0</v>
      </c>
    </row>
    <row r="27" spans="2:9" ht="15" customHeight="1" x14ac:dyDescent="0.2">
      <c r="B27" t="s">
        <v>116</v>
      </c>
      <c r="C27" s="12">
        <v>5</v>
      </c>
      <c r="D27" s="8">
        <v>8.93</v>
      </c>
      <c r="E27" s="12">
        <v>5</v>
      </c>
      <c r="F27" s="8">
        <v>16.13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114</v>
      </c>
      <c r="C28" s="12">
        <v>3</v>
      </c>
      <c r="D28" s="8">
        <v>5.36</v>
      </c>
      <c r="E28" s="12">
        <v>3</v>
      </c>
      <c r="F28" s="8">
        <v>9.68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115</v>
      </c>
      <c r="C29" s="12">
        <v>3</v>
      </c>
      <c r="D29" s="8">
        <v>5.36</v>
      </c>
      <c r="E29" s="12">
        <v>2</v>
      </c>
      <c r="F29" s="8">
        <v>6.45</v>
      </c>
      <c r="G29" s="12">
        <v>1</v>
      </c>
      <c r="H29" s="8">
        <v>5.88</v>
      </c>
      <c r="I29" s="12">
        <v>0</v>
      </c>
    </row>
    <row r="30" spans="2:9" ht="15" customHeight="1" x14ac:dyDescent="0.2">
      <c r="B30" t="s">
        <v>103</v>
      </c>
      <c r="C30" s="12">
        <v>2</v>
      </c>
      <c r="D30" s="8">
        <v>3.57</v>
      </c>
      <c r="E30" s="12">
        <v>1</v>
      </c>
      <c r="F30" s="8">
        <v>3.23</v>
      </c>
      <c r="G30" s="12">
        <v>1</v>
      </c>
      <c r="H30" s="8">
        <v>5.88</v>
      </c>
      <c r="I30" s="12">
        <v>0</v>
      </c>
    </row>
    <row r="31" spans="2:9" ht="15" customHeight="1" x14ac:dyDescent="0.2">
      <c r="B31" t="s">
        <v>127</v>
      </c>
      <c r="C31" s="12">
        <v>2</v>
      </c>
      <c r="D31" s="8">
        <v>3.57</v>
      </c>
      <c r="E31" s="12">
        <v>0</v>
      </c>
      <c r="F31" s="8">
        <v>0</v>
      </c>
      <c r="G31" s="12">
        <v>1</v>
      </c>
      <c r="H31" s="8">
        <v>5.88</v>
      </c>
      <c r="I31" s="12">
        <v>1</v>
      </c>
    </row>
    <row r="32" spans="2:9" ht="15" customHeight="1" x14ac:dyDescent="0.2">
      <c r="B32" t="s">
        <v>139</v>
      </c>
      <c r="C32" s="12">
        <v>2</v>
      </c>
      <c r="D32" s="8">
        <v>3.57</v>
      </c>
      <c r="E32" s="12">
        <v>0</v>
      </c>
      <c r="F32" s="8">
        <v>0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129</v>
      </c>
      <c r="C33" s="12">
        <v>2</v>
      </c>
      <c r="D33" s="8">
        <v>3.57</v>
      </c>
      <c r="E33" s="12">
        <v>1</v>
      </c>
      <c r="F33" s="8">
        <v>3.23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119</v>
      </c>
      <c r="C34" s="12">
        <v>2</v>
      </c>
      <c r="D34" s="8">
        <v>3.57</v>
      </c>
      <c r="E34" s="12">
        <v>0</v>
      </c>
      <c r="F34" s="8">
        <v>0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163</v>
      </c>
      <c r="C35" s="12">
        <v>2</v>
      </c>
      <c r="D35" s="8">
        <v>3.57</v>
      </c>
      <c r="E35" s="12">
        <v>1</v>
      </c>
      <c r="F35" s="8">
        <v>3.23</v>
      </c>
      <c r="G35" s="12">
        <v>1</v>
      </c>
      <c r="H35" s="8">
        <v>5.88</v>
      </c>
      <c r="I35" s="12">
        <v>0</v>
      </c>
    </row>
    <row r="36" spans="2:9" ht="15" customHeight="1" x14ac:dyDescent="0.2">
      <c r="B36" t="s">
        <v>155</v>
      </c>
      <c r="C36" s="12">
        <v>1</v>
      </c>
      <c r="D36" s="8">
        <v>1.79</v>
      </c>
      <c r="E36" s="12">
        <v>1</v>
      </c>
      <c r="F36" s="8">
        <v>3.23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140</v>
      </c>
      <c r="C37" s="12">
        <v>1</v>
      </c>
      <c r="D37" s="8">
        <v>1.79</v>
      </c>
      <c r="E37" s="12">
        <v>0</v>
      </c>
      <c r="F37" s="8">
        <v>0</v>
      </c>
      <c r="G37" s="12">
        <v>1</v>
      </c>
      <c r="H37" s="8">
        <v>5.88</v>
      </c>
      <c r="I37" s="12">
        <v>0</v>
      </c>
    </row>
    <row r="38" spans="2:9" ht="15" customHeight="1" x14ac:dyDescent="0.2">
      <c r="B38" t="s">
        <v>125</v>
      </c>
      <c r="C38" s="12">
        <v>1</v>
      </c>
      <c r="D38" s="8">
        <v>1.79</v>
      </c>
      <c r="E38" s="12">
        <v>0</v>
      </c>
      <c r="F38" s="8">
        <v>0</v>
      </c>
      <c r="G38" s="12">
        <v>0</v>
      </c>
      <c r="H38" s="8">
        <v>0</v>
      </c>
      <c r="I38" s="12">
        <v>1</v>
      </c>
    </row>
    <row r="39" spans="2:9" ht="15" customHeight="1" x14ac:dyDescent="0.2">
      <c r="B39" t="s">
        <v>107</v>
      </c>
      <c r="C39" s="12">
        <v>1</v>
      </c>
      <c r="D39" s="8">
        <v>1.79</v>
      </c>
      <c r="E39" s="12">
        <v>1</v>
      </c>
      <c r="F39" s="8">
        <v>3.23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111</v>
      </c>
      <c r="C40" s="12">
        <v>1</v>
      </c>
      <c r="D40" s="8">
        <v>1.79</v>
      </c>
      <c r="E40" s="12">
        <v>1</v>
      </c>
      <c r="F40" s="8">
        <v>3.23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117</v>
      </c>
      <c r="C41" s="12">
        <v>1</v>
      </c>
      <c r="D41" s="8">
        <v>1.79</v>
      </c>
      <c r="E41" s="12">
        <v>1</v>
      </c>
      <c r="F41" s="8">
        <v>3.23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118</v>
      </c>
      <c r="C42" s="12">
        <v>1</v>
      </c>
      <c r="D42" s="8">
        <v>1.79</v>
      </c>
      <c r="E42" s="12">
        <v>1</v>
      </c>
      <c r="F42" s="8">
        <v>3.23</v>
      </c>
      <c r="G42" s="12">
        <v>0</v>
      </c>
      <c r="H42" s="8">
        <v>0</v>
      </c>
      <c r="I42" s="12">
        <v>0</v>
      </c>
    </row>
    <row r="45" spans="2:9" ht="33" customHeight="1" x14ac:dyDescent="0.2">
      <c r="B45" t="s">
        <v>365</v>
      </c>
      <c r="C45" s="10" t="s">
        <v>94</v>
      </c>
      <c r="D45" s="10" t="s">
        <v>95</v>
      </c>
      <c r="E45" s="10" t="s">
        <v>96</v>
      </c>
      <c r="F45" s="10" t="s">
        <v>97</v>
      </c>
      <c r="G45" s="10" t="s">
        <v>98</v>
      </c>
      <c r="H45" s="10" t="s">
        <v>99</v>
      </c>
      <c r="I45" s="10" t="s">
        <v>100</v>
      </c>
    </row>
    <row r="46" spans="2:9" ht="15" customHeight="1" x14ac:dyDescent="0.2">
      <c r="B46" t="s">
        <v>174</v>
      </c>
      <c r="C46" s="12">
        <v>8</v>
      </c>
      <c r="D46" s="8">
        <v>14.29</v>
      </c>
      <c r="E46" s="12">
        <v>1</v>
      </c>
      <c r="F46" s="8">
        <v>3.23</v>
      </c>
      <c r="G46" s="12">
        <v>7</v>
      </c>
      <c r="H46" s="8">
        <v>41.18</v>
      </c>
      <c r="I46" s="12">
        <v>0</v>
      </c>
    </row>
    <row r="47" spans="2:9" ht="15" customHeight="1" x14ac:dyDescent="0.2">
      <c r="B47" t="s">
        <v>179</v>
      </c>
      <c r="C47" s="12">
        <v>4</v>
      </c>
      <c r="D47" s="8">
        <v>7.14</v>
      </c>
      <c r="E47" s="12">
        <v>2</v>
      </c>
      <c r="F47" s="8">
        <v>6.45</v>
      </c>
      <c r="G47" s="12">
        <v>1</v>
      </c>
      <c r="H47" s="8">
        <v>5.88</v>
      </c>
      <c r="I47" s="12">
        <v>1</v>
      </c>
    </row>
    <row r="48" spans="2:9" ht="15" customHeight="1" x14ac:dyDescent="0.2">
      <c r="B48" t="s">
        <v>233</v>
      </c>
      <c r="C48" s="12">
        <v>3</v>
      </c>
      <c r="D48" s="8">
        <v>5.36</v>
      </c>
      <c r="E48" s="12">
        <v>2</v>
      </c>
      <c r="F48" s="8">
        <v>6.45</v>
      </c>
      <c r="G48" s="12">
        <v>1</v>
      </c>
      <c r="H48" s="8">
        <v>5.88</v>
      </c>
      <c r="I48" s="12">
        <v>0</v>
      </c>
    </row>
    <row r="49" spans="2:9" ht="15" customHeight="1" x14ac:dyDescent="0.2">
      <c r="B49" t="s">
        <v>181</v>
      </c>
      <c r="C49" s="12">
        <v>3</v>
      </c>
      <c r="D49" s="8">
        <v>5.36</v>
      </c>
      <c r="E49" s="12">
        <v>3</v>
      </c>
      <c r="F49" s="8">
        <v>9.68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185</v>
      </c>
      <c r="C50" s="12">
        <v>3</v>
      </c>
      <c r="D50" s="8">
        <v>5.36</v>
      </c>
      <c r="E50" s="12">
        <v>3</v>
      </c>
      <c r="F50" s="8">
        <v>9.68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190</v>
      </c>
      <c r="C51" s="12">
        <v>3</v>
      </c>
      <c r="D51" s="8">
        <v>5.36</v>
      </c>
      <c r="E51" s="12">
        <v>3</v>
      </c>
      <c r="F51" s="8">
        <v>9.68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216</v>
      </c>
      <c r="C52" s="12">
        <v>2</v>
      </c>
      <c r="D52" s="8">
        <v>3.57</v>
      </c>
      <c r="E52" s="12">
        <v>0</v>
      </c>
      <c r="F52" s="8">
        <v>0</v>
      </c>
      <c r="G52" s="12">
        <v>2</v>
      </c>
      <c r="H52" s="8">
        <v>11.76</v>
      </c>
      <c r="I52" s="12">
        <v>0</v>
      </c>
    </row>
    <row r="53" spans="2:9" ht="15" customHeight="1" x14ac:dyDescent="0.2">
      <c r="B53" t="s">
        <v>207</v>
      </c>
      <c r="C53" s="12">
        <v>2</v>
      </c>
      <c r="D53" s="8">
        <v>3.57</v>
      </c>
      <c r="E53" s="12">
        <v>1</v>
      </c>
      <c r="F53" s="8">
        <v>3.23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191</v>
      </c>
      <c r="C54" s="12">
        <v>2</v>
      </c>
      <c r="D54" s="8">
        <v>3.57</v>
      </c>
      <c r="E54" s="12">
        <v>2</v>
      </c>
      <c r="F54" s="8">
        <v>6.45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287</v>
      </c>
      <c r="C55" s="12">
        <v>1</v>
      </c>
      <c r="D55" s="8">
        <v>1.79</v>
      </c>
      <c r="E55" s="12">
        <v>0</v>
      </c>
      <c r="F55" s="8">
        <v>0</v>
      </c>
      <c r="G55" s="12">
        <v>1</v>
      </c>
      <c r="H55" s="8">
        <v>5.88</v>
      </c>
      <c r="I55" s="12">
        <v>0</v>
      </c>
    </row>
    <row r="56" spans="2:9" ht="15" customHeight="1" x14ac:dyDescent="0.2">
      <c r="B56" t="s">
        <v>176</v>
      </c>
      <c r="C56" s="12">
        <v>1</v>
      </c>
      <c r="D56" s="8">
        <v>1.79</v>
      </c>
      <c r="E56" s="12">
        <v>1</v>
      </c>
      <c r="F56" s="8">
        <v>3.23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177</v>
      </c>
      <c r="C57" s="12">
        <v>1</v>
      </c>
      <c r="D57" s="8">
        <v>1.79</v>
      </c>
      <c r="E57" s="12">
        <v>1</v>
      </c>
      <c r="F57" s="8">
        <v>3.23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178</v>
      </c>
      <c r="C58" s="12">
        <v>1</v>
      </c>
      <c r="D58" s="8">
        <v>1.79</v>
      </c>
      <c r="E58" s="12">
        <v>0</v>
      </c>
      <c r="F58" s="8">
        <v>0</v>
      </c>
      <c r="G58" s="12">
        <v>1</v>
      </c>
      <c r="H58" s="8">
        <v>5.88</v>
      </c>
      <c r="I58" s="12">
        <v>0</v>
      </c>
    </row>
    <row r="59" spans="2:9" ht="15" customHeight="1" x14ac:dyDescent="0.2">
      <c r="B59" t="s">
        <v>262</v>
      </c>
      <c r="C59" s="12">
        <v>1</v>
      </c>
      <c r="D59" s="8">
        <v>1.79</v>
      </c>
      <c r="E59" s="12">
        <v>0</v>
      </c>
      <c r="F59" s="8">
        <v>0</v>
      </c>
      <c r="G59" s="12">
        <v>1</v>
      </c>
      <c r="H59" s="8">
        <v>5.88</v>
      </c>
      <c r="I59" s="12">
        <v>0</v>
      </c>
    </row>
    <row r="60" spans="2:9" ht="15" customHeight="1" x14ac:dyDescent="0.2">
      <c r="B60" t="s">
        <v>303</v>
      </c>
      <c r="C60" s="12">
        <v>1</v>
      </c>
      <c r="D60" s="8">
        <v>1.79</v>
      </c>
      <c r="E60" s="12">
        <v>0</v>
      </c>
      <c r="F60" s="8">
        <v>0</v>
      </c>
      <c r="G60" s="12">
        <v>0</v>
      </c>
      <c r="H60" s="8">
        <v>0</v>
      </c>
      <c r="I60" s="12">
        <v>1</v>
      </c>
    </row>
    <row r="61" spans="2:9" ht="15" customHeight="1" x14ac:dyDescent="0.2">
      <c r="B61" t="s">
        <v>279</v>
      </c>
      <c r="C61" s="12">
        <v>1</v>
      </c>
      <c r="D61" s="8">
        <v>1.79</v>
      </c>
      <c r="E61" s="12">
        <v>1</v>
      </c>
      <c r="F61" s="8">
        <v>3.23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232</v>
      </c>
      <c r="C62" s="12">
        <v>1</v>
      </c>
      <c r="D62" s="8">
        <v>1.79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304</v>
      </c>
      <c r="C63" s="12">
        <v>1</v>
      </c>
      <c r="D63" s="8">
        <v>1.79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305</v>
      </c>
      <c r="C64" s="12">
        <v>1</v>
      </c>
      <c r="D64" s="8">
        <v>1.79</v>
      </c>
      <c r="E64" s="12">
        <v>0</v>
      </c>
      <c r="F64" s="8">
        <v>0</v>
      </c>
      <c r="G64" s="12">
        <v>1</v>
      </c>
      <c r="H64" s="8">
        <v>5.88</v>
      </c>
      <c r="I64" s="12">
        <v>0</v>
      </c>
    </row>
    <row r="65" spans="2:9" ht="15" customHeight="1" x14ac:dyDescent="0.2">
      <c r="B65" t="s">
        <v>225</v>
      </c>
      <c r="C65" s="12">
        <v>1</v>
      </c>
      <c r="D65" s="8">
        <v>1.79</v>
      </c>
      <c r="E65" s="12">
        <v>0</v>
      </c>
      <c r="F65" s="8">
        <v>0</v>
      </c>
      <c r="G65" s="12">
        <v>0</v>
      </c>
      <c r="H65" s="8">
        <v>0</v>
      </c>
      <c r="I65" s="12">
        <v>1</v>
      </c>
    </row>
    <row r="66" spans="2:9" ht="15" customHeight="1" x14ac:dyDescent="0.2">
      <c r="B66" t="s">
        <v>196</v>
      </c>
      <c r="C66" s="12">
        <v>1</v>
      </c>
      <c r="D66" s="8">
        <v>1.79</v>
      </c>
      <c r="E66" s="12">
        <v>1</v>
      </c>
      <c r="F66" s="8">
        <v>3.23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214</v>
      </c>
      <c r="C67" s="12">
        <v>1</v>
      </c>
      <c r="D67" s="8">
        <v>1.79</v>
      </c>
      <c r="E67" s="12">
        <v>1</v>
      </c>
      <c r="F67" s="8">
        <v>3.23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197</v>
      </c>
      <c r="C68" s="12">
        <v>1</v>
      </c>
      <c r="D68" s="8">
        <v>1.79</v>
      </c>
      <c r="E68" s="12">
        <v>1</v>
      </c>
      <c r="F68" s="8">
        <v>3.23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222</v>
      </c>
      <c r="C69" s="12">
        <v>1</v>
      </c>
      <c r="D69" s="8">
        <v>1.79</v>
      </c>
      <c r="E69" s="12">
        <v>1</v>
      </c>
      <c r="F69" s="8">
        <v>3.23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288</v>
      </c>
      <c r="C70" s="12">
        <v>1</v>
      </c>
      <c r="D70" s="8">
        <v>1.79</v>
      </c>
      <c r="E70" s="12">
        <v>1</v>
      </c>
      <c r="F70" s="8">
        <v>3.23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183</v>
      </c>
      <c r="C71" s="12">
        <v>1</v>
      </c>
      <c r="D71" s="8">
        <v>1.79</v>
      </c>
      <c r="E71" s="12">
        <v>1</v>
      </c>
      <c r="F71" s="8">
        <v>3.23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186</v>
      </c>
      <c r="C72" s="12">
        <v>1</v>
      </c>
      <c r="D72" s="8">
        <v>1.79</v>
      </c>
      <c r="E72" s="12">
        <v>0</v>
      </c>
      <c r="F72" s="8">
        <v>0</v>
      </c>
      <c r="G72" s="12">
        <v>1</v>
      </c>
      <c r="H72" s="8">
        <v>5.88</v>
      </c>
      <c r="I72" s="12">
        <v>0</v>
      </c>
    </row>
    <row r="73" spans="2:9" ht="15" customHeight="1" x14ac:dyDescent="0.2">
      <c r="B73" t="s">
        <v>188</v>
      </c>
      <c r="C73" s="12">
        <v>1</v>
      </c>
      <c r="D73" s="8">
        <v>1.79</v>
      </c>
      <c r="E73" s="12">
        <v>1</v>
      </c>
      <c r="F73" s="8">
        <v>3.23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189</v>
      </c>
      <c r="C74" s="12">
        <v>1</v>
      </c>
      <c r="D74" s="8">
        <v>1.79</v>
      </c>
      <c r="E74" s="12">
        <v>1</v>
      </c>
      <c r="F74" s="8">
        <v>3.23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192</v>
      </c>
      <c r="C75" s="12">
        <v>1</v>
      </c>
      <c r="D75" s="8">
        <v>1.79</v>
      </c>
      <c r="E75" s="12">
        <v>1</v>
      </c>
      <c r="F75" s="8">
        <v>3.23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193</v>
      </c>
      <c r="C76" s="12">
        <v>1</v>
      </c>
      <c r="D76" s="8">
        <v>1.79</v>
      </c>
      <c r="E76" s="12">
        <v>1</v>
      </c>
      <c r="F76" s="8">
        <v>3.23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264</v>
      </c>
      <c r="C77" s="12">
        <v>1</v>
      </c>
      <c r="D77" s="8">
        <v>1.79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289</v>
      </c>
      <c r="C78" s="12">
        <v>1</v>
      </c>
      <c r="D78" s="8">
        <v>1.79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290</v>
      </c>
      <c r="C79" s="12">
        <v>1</v>
      </c>
      <c r="D79" s="8">
        <v>1.79</v>
      </c>
      <c r="E79" s="12">
        <v>1</v>
      </c>
      <c r="F79" s="8">
        <v>3.23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306</v>
      </c>
      <c r="C80" s="12">
        <v>1</v>
      </c>
      <c r="D80" s="8">
        <v>1.79</v>
      </c>
      <c r="E80" s="12">
        <v>0</v>
      </c>
      <c r="F80" s="8">
        <v>0</v>
      </c>
      <c r="G80" s="12">
        <v>1</v>
      </c>
      <c r="H80" s="8">
        <v>5.88</v>
      </c>
      <c r="I80" s="12">
        <v>0</v>
      </c>
    </row>
    <row r="82" spans="2:2" ht="15" customHeight="1" x14ac:dyDescent="0.2">
      <c r="B82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8CA91-F144-455D-A213-292121543713}">
  <sheetPr>
    <pageSetUpPr fitToPage="1"/>
  </sheetPr>
  <dimension ref="B2:I9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415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1</v>
      </c>
      <c r="D5" s="8">
        <v>1.75</v>
      </c>
      <c r="E5" s="12">
        <v>0</v>
      </c>
      <c r="F5" s="8">
        <v>0</v>
      </c>
      <c r="G5" s="12">
        <v>1</v>
      </c>
      <c r="H5" s="8">
        <v>5.88</v>
      </c>
      <c r="I5" s="12">
        <v>0</v>
      </c>
    </row>
    <row r="6" spans="2:9" ht="15" customHeight="1" x14ac:dyDescent="0.2">
      <c r="B6" t="s">
        <v>79</v>
      </c>
      <c r="C6" s="12">
        <v>16</v>
      </c>
      <c r="D6" s="8">
        <v>28.07</v>
      </c>
      <c r="E6" s="12">
        <v>13</v>
      </c>
      <c r="F6" s="8">
        <v>34.21</v>
      </c>
      <c r="G6" s="12">
        <v>3</v>
      </c>
      <c r="H6" s="8">
        <v>17.649999999999999</v>
      </c>
      <c r="I6" s="12">
        <v>0</v>
      </c>
    </row>
    <row r="7" spans="2:9" ht="15" customHeight="1" x14ac:dyDescent="0.2">
      <c r="B7" t="s">
        <v>80</v>
      </c>
      <c r="C7" s="12">
        <v>4</v>
      </c>
      <c r="D7" s="8">
        <v>7.02</v>
      </c>
      <c r="E7" s="12">
        <v>0</v>
      </c>
      <c r="F7" s="8">
        <v>0</v>
      </c>
      <c r="G7" s="12">
        <v>4</v>
      </c>
      <c r="H7" s="8">
        <v>23.53</v>
      </c>
      <c r="I7" s="12">
        <v>0</v>
      </c>
    </row>
    <row r="8" spans="2:9" ht="15" customHeight="1" x14ac:dyDescent="0.2">
      <c r="B8" t="s">
        <v>81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1</v>
      </c>
      <c r="D10" s="8">
        <v>1.75</v>
      </c>
      <c r="E10" s="12">
        <v>0</v>
      </c>
      <c r="F10" s="8">
        <v>0</v>
      </c>
      <c r="G10" s="12">
        <v>1</v>
      </c>
      <c r="H10" s="8">
        <v>5.88</v>
      </c>
      <c r="I10" s="12">
        <v>0</v>
      </c>
    </row>
    <row r="11" spans="2:9" ht="15" customHeight="1" x14ac:dyDescent="0.2">
      <c r="B11" t="s">
        <v>84</v>
      </c>
      <c r="C11" s="12">
        <v>19</v>
      </c>
      <c r="D11" s="8">
        <v>33.33</v>
      </c>
      <c r="E11" s="12">
        <v>13</v>
      </c>
      <c r="F11" s="8">
        <v>34.21</v>
      </c>
      <c r="G11" s="12">
        <v>6</v>
      </c>
      <c r="H11" s="8">
        <v>35.29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87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88</v>
      </c>
      <c r="C15" s="12">
        <v>7</v>
      </c>
      <c r="D15" s="8">
        <v>12.28</v>
      </c>
      <c r="E15" s="12">
        <v>5</v>
      </c>
      <c r="F15" s="8">
        <v>13.16</v>
      </c>
      <c r="G15" s="12">
        <v>2</v>
      </c>
      <c r="H15" s="8">
        <v>11.76</v>
      </c>
      <c r="I15" s="12">
        <v>0</v>
      </c>
    </row>
    <row r="16" spans="2:9" ht="15" customHeight="1" x14ac:dyDescent="0.2">
      <c r="B16" t="s">
        <v>89</v>
      </c>
      <c r="C16" s="12">
        <v>4</v>
      </c>
      <c r="D16" s="8">
        <v>7.02</v>
      </c>
      <c r="E16" s="12">
        <v>4</v>
      </c>
      <c r="F16" s="8">
        <v>10.53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90</v>
      </c>
      <c r="C17" s="12">
        <v>1</v>
      </c>
      <c r="D17" s="8">
        <v>1.75</v>
      </c>
      <c r="E17" s="12">
        <v>1</v>
      </c>
      <c r="F17" s="8">
        <v>2.63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3</v>
      </c>
      <c r="D18" s="8">
        <v>5.26</v>
      </c>
      <c r="E18" s="12">
        <v>2</v>
      </c>
      <c r="F18" s="8">
        <v>5.26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92</v>
      </c>
      <c r="C19" s="12">
        <v>1</v>
      </c>
      <c r="D19" s="8">
        <v>1.75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363</v>
      </c>
      <c r="C20" s="12">
        <f>SUM(LTBL_20414[総数／事業所数])</f>
        <v>57</v>
      </c>
      <c r="E20" s="12">
        <f>SUBTOTAL(109,LTBL_20414[個人／事業所数])</f>
        <v>38</v>
      </c>
      <c r="G20" s="12">
        <f>SUBTOTAL(109,LTBL_20414[法人／事業所数])</f>
        <v>17</v>
      </c>
      <c r="I20" s="12">
        <f>SUBTOTAL(109,LTBL_20414[法人以外の団体／事業所数])</f>
        <v>0</v>
      </c>
    </row>
    <row r="21" spans="2:9" ht="15" customHeight="1" x14ac:dyDescent="0.2">
      <c r="E21" s="11">
        <f>LTBL_20414[[#Totals],[個人／事業所数]]/LTBL_20414[[#Totals],[総数／事業所数]]</f>
        <v>0.66666666666666663</v>
      </c>
      <c r="G21" s="11">
        <f>LTBL_20414[[#Totals],[法人／事業所数]]/LTBL_20414[[#Totals],[総数／事業所数]]</f>
        <v>0.2982456140350877</v>
      </c>
      <c r="I21" s="11">
        <f>LTBL_20414[[#Totals],[法人以外の団体／事業所数]]/LTBL_20414[[#Totals],[総数／事業所数]]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102</v>
      </c>
      <c r="C24" s="12">
        <v>8</v>
      </c>
      <c r="D24" s="8">
        <v>14.04</v>
      </c>
      <c r="E24" s="12">
        <v>7</v>
      </c>
      <c r="F24" s="8">
        <v>18.420000000000002</v>
      </c>
      <c r="G24" s="12">
        <v>1</v>
      </c>
      <c r="H24" s="8">
        <v>5.88</v>
      </c>
      <c r="I24" s="12">
        <v>0</v>
      </c>
    </row>
    <row r="25" spans="2:9" ht="15" customHeight="1" x14ac:dyDescent="0.2">
      <c r="B25" t="s">
        <v>110</v>
      </c>
      <c r="C25" s="12">
        <v>7</v>
      </c>
      <c r="D25" s="8">
        <v>12.28</v>
      </c>
      <c r="E25" s="12">
        <v>5</v>
      </c>
      <c r="F25" s="8">
        <v>13.16</v>
      </c>
      <c r="G25" s="12">
        <v>2</v>
      </c>
      <c r="H25" s="8">
        <v>11.76</v>
      </c>
      <c r="I25" s="12">
        <v>0</v>
      </c>
    </row>
    <row r="26" spans="2:9" ht="15" customHeight="1" x14ac:dyDescent="0.2">
      <c r="B26" t="s">
        <v>108</v>
      </c>
      <c r="C26" s="12">
        <v>6</v>
      </c>
      <c r="D26" s="8">
        <v>10.53</v>
      </c>
      <c r="E26" s="12">
        <v>3</v>
      </c>
      <c r="F26" s="8">
        <v>7.89</v>
      </c>
      <c r="G26" s="12">
        <v>3</v>
      </c>
      <c r="H26" s="8">
        <v>17.649999999999999</v>
      </c>
      <c r="I26" s="12">
        <v>0</v>
      </c>
    </row>
    <row r="27" spans="2:9" ht="15" customHeight="1" x14ac:dyDescent="0.2">
      <c r="B27" t="s">
        <v>115</v>
      </c>
      <c r="C27" s="12">
        <v>6</v>
      </c>
      <c r="D27" s="8">
        <v>10.53</v>
      </c>
      <c r="E27" s="12">
        <v>4</v>
      </c>
      <c r="F27" s="8">
        <v>10.53</v>
      </c>
      <c r="G27" s="12">
        <v>2</v>
      </c>
      <c r="H27" s="8">
        <v>11.76</v>
      </c>
      <c r="I27" s="12">
        <v>0</v>
      </c>
    </row>
    <row r="28" spans="2:9" ht="15" customHeight="1" x14ac:dyDescent="0.2">
      <c r="B28" t="s">
        <v>101</v>
      </c>
      <c r="C28" s="12">
        <v>4</v>
      </c>
      <c r="D28" s="8">
        <v>7.02</v>
      </c>
      <c r="E28" s="12">
        <v>2</v>
      </c>
      <c r="F28" s="8">
        <v>5.26</v>
      </c>
      <c r="G28" s="12">
        <v>2</v>
      </c>
      <c r="H28" s="8">
        <v>11.76</v>
      </c>
      <c r="I28" s="12">
        <v>0</v>
      </c>
    </row>
    <row r="29" spans="2:9" ht="15" customHeight="1" x14ac:dyDescent="0.2">
      <c r="B29" t="s">
        <v>103</v>
      </c>
      <c r="C29" s="12">
        <v>4</v>
      </c>
      <c r="D29" s="8">
        <v>7.02</v>
      </c>
      <c r="E29" s="12">
        <v>4</v>
      </c>
      <c r="F29" s="8">
        <v>10.53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109</v>
      </c>
      <c r="C30" s="12">
        <v>3</v>
      </c>
      <c r="D30" s="8">
        <v>5.26</v>
      </c>
      <c r="E30" s="12">
        <v>2</v>
      </c>
      <c r="F30" s="8">
        <v>5.26</v>
      </c>
      <c r="G30" s="12">
        <v>1</v>
      </c>
      <c r="H30" s="8">
        <v>5.88</v>
      </c>
      <c r="I30" s="12">
        <v>0</v>
      </c>
    </row>
    <row r="31" spans="2:9" ht="15" customHeight="1" x14ac:dyDescent="0.2">
      <c r="B31" t="s">
        <v>116</v>
      </c>
      <c r="C31" s="12">
        <v>3</v>
      </c>
      <c r="D31" s="8">
        <v>5.26</v>
      </c>
      <c r="E31" s="12">
        <v>3</v>
      </c>
      <c r="F31" s="8">
        <v>7.89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127</v>
      </c>
      <c r="C32" s="12">
        <v>2</v>
      </c>
      <c r="D32" s="8">
        <v>3.51</v>
      </c>
      <c r="E32" s="12">
        <v>0</v>
      </c>
      <c r="F32" s="8">
        <v>0</v>
      </c>
      <c r="G32" s="12">
        <v>2</v>
      </c>
      <c r="H32" s="8">
        <v>11.76</v>
      </c>
      <c r="I32" s="12">
        <v>0</v>
      </c>
    </row>
    <row r="33" spans="2:9" ht="15" customHeight="1" x14ac:dyDescent="0.2">
      <c r="B33" t="s">
        <v>107</v>
      </c>
      <c r="C33" s="12">
        <v>2</v>
      </c>
      <c r="D33" s="8">
        <v>3.51</v>
      </c>
      <c r="E33" s="12">
        <v>2</v>
      </c>
      <c r="F33" s="8">
        <v>5.26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118</v>
      </c>
      <c r="C34" s="12">
        <v>2</v>
      </c>
      <c r="D34" s="8">
        <v>3.51</v>
      </c>
      <c r="E34" s="12">
        <v>2</v>
      </c>
      <c r="F34" s="8">
        <v>5.26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149</v>
      </c>
      <c r="C35" s="12">
        <v>1</v>
      </c>
      <c r="D35" s="8">
        <v>1.75</v>
      </c>
      <c r="E35" s="12">
        <v>0</v>
      </c>
      <c r="F35" s="8">
        <v>0</v>
      </c>
      <c r="G35" s="12">
        <v>1</v>
      </c>
      <c r="H35" s="8">
        <v>5.88</v>
      </c>
      <c r="I35" s="12">
        <v>0</v>
      </c>
    </row>
    <row r="36" spans="2:9" ht="15" customHeight="1" x14ac:dyDescent="0.2">
      <c r="B36" t="s">
        <v>142</v>
      </c>
      <c r="C36" s="12">
        <v>1</v>
      </c>
      <c r="D36" s="8">
        <v>1.75</v>
      </c>
      <c r="E36" s="12">
        <v>0</v>
      </c>
      <c r="F36" s="8">
        <v>0</v>
      </c>
      <c r="G36" s="12">
        <v>1</v>
      </c>
      <c r="H36" s="8">
        <v>5.88</v>
      </c>
      <c r="I36" s="12">
        <v>0</v>
      </c>
    </row>
    <row r="37" spans="2:9" ht="15" customHeight="1" x14ac:dyDescent="0.2">
      <c r="B37" t="s">
        <v>136</v>
      </c>
      <c r="C37" s="12">
        <v>1</v>
      </c>
      <c r="D37" s="8">
        <v>1.75</v>
      </c>
      <c r="E37" s="12">
        <v>0</v>
      </c>
      <c r="F37" s="8">
        <v>0</v>
      </c>
      <c r="G37" s="12">
        <v>1</v>
      </c>
      <c r="H37" s="8">
        <v>5.88</v>
      </c>
      <c r="I37" s="12">
        <v>0</v>
      </c>
    </row>
    <row r="38" spans="2:9" ht="15" customHeight="1" x14ac:dyDescent="0.2">
      <c r="B38" t="s">
        <v>140</v>
      </c>
      <c r="C38" s="12">
        <v>1</v>
      </c>
      <c r="D38" s="8">
        <v>1.75</v>
      </c>
      <c r="E38" s="12">
        <v>0</v>
      </c>
      <c r="F38" s="8">
        <v>0</v>
      </c>
      <c r="G38" s="12">
        <v>1</v>
      </c>
      <c r="H38" s="8">
        <v>5.88</v>
      </c>
      <c r="I38" s="12">
        <v>0</v>
      </c>
    </row>
    <row r="39" spans="2:9" ht="15" customHeight="1" x14ac:dyDescent="0.2">
      <c r="B39" t="s">
        <v>121</v>
      </c>
      <c r="C39" s="12">
        <v>1</v>
      </c>
      <c r="D39" s="8">
        <v>1.75</v>
      </c>
      <c r="E39" s="12">
        <v>1</v>
      </c>
      <c r="F39" s="8">
        <v>2.63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129</v>
      </c>
      <c r="C40" s="12">
        <v>1</v>
      </c>
      <c r="D40" s="8">
        <v>1.75</v>
      </c>
      <c r="E40" s="12">
        <v>1</v>
      </c>
      <c r="F40" s="8">
        <v>2.63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131</v>
      </c>
      <c r="C41" s="12">
        <v>1</v>
      </c>
      <c r="D41" s="8">
        <v>1.75</v>
      </c>
      <c r="E41" s="12">
        <v>1</v>
      </c>
      <c r="F41" s="8">
        <v>2.63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117</v>
      </c>
      <c r="C42" s="12">
        <v>1</v>
      </c>
      <c r="D42" s="8">
        <v>1.75</v>
      </c>
      <c r="E42" s="12">
        <v>1</v>
      </c>
      <c r="F42" s="8">
        <v>2.63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119</v>
      </c>
      <c r="C43" s="12">
        <v>1</v>
      </c>
      <c r="D43" s="8">
        <v>1.75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163</v>
      </c>
      <c r="C44" s="12">
        <v>1</v>
      </c>
      <c r="D44" s="8">
        <v>1.75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365</v>
      </c>
      <c r="C47" s="10" t="s">
        <v>94</v>
      </c>
      <c r="D47" s="10" t="s">
        <v>95</v>
      </c>
      <c r="E47" s="10" t="s">
        <v>96</v>
      </c>
      <c r="F47" s="10" t="s">
        <v>97</v>
      </c>
      <c r="G47" s="10" t="s">
        <v>98</v>
      </c>
      <c r="H47" s="10" t="s">
        <v>99</v>
      </c>
      <c r="I47" s="10" t="s">
        <v>100</v>
      </c>
    </row>
    <row r="48" spans="2:9" ht="15" customHeight="1" x14ac:dyDescent="0.2">
      <c r="B48" t="s">
        <v>186</v>
      </c>
      <c r="C48" s="12">
        <v>4</v>
      </c>
      <c r="D48" s="8">
        <v>7.02</v>
      </c>
      <c r="E48" s="12">
        <v>3</v>
      </c>
      <c r="F48" s="8">
        <v>7.89</v>
      </c>
      <c r="G48" s="12">
        <v>1</v>
      </c>
      <c r="H48" s="8">
        <v>5.88</v>
      </c>
      <c r="I48" s="12">
        <v>0</v>
      </c>
    </row>
    <row r="49" spans="2:9" ht="15" customHeight="1" x14ac:dyDescent="0.2">
      <c r="B49" t="s">
        <v>216</v>
      </c>
      <c r="C49" s="12">
        <v>3</v>
      </c>
      <c r="D49" s="8">
        <v>5.26</v>
      </c>
      <c r="E49" s="12">
        <v>1</v>
      </c>
      <c r="F49" s="8">
        <v>2.63</v>
      </c>
      <c r="G49" s="12">
        <v>2</v>
      </c>
      <c r="H49" s="8">
        <v>11.76</v>
      </c>
      <c r="I49" s="12">
        <v>0</v>
      </c>
    </row>
    <row r="50" spans="2:9" ht="15" customHeight="1" x14ac:dyDescent="0.2">
      <c r="B50" t="s">
        <v>181</v>
      </c>
      <c r="C50" s="12">
        <v>3</v>
      </c>
      <c r="D50" s="8">
        <v>5.26</v>
      </c>
      <c r="E50" s="12">
        <v>3</v>
      </c>
      <c r="F50" s="8">
        <v>7.89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174</v>
      </c>
      <c r="C51" s="12">
        <v>2</v>
      </c>
      <c r="D51" s="8">
        <v>3.51</v>
      </c>
      <c r="E51" s="12">
        <v>0</v>
      </c>
      <c r="F51" s="8">
        <v>0</v>
      </c>
      <c r="G51" s="12">
        <v>2</v>
      </c>
      <c r="H51" s="8">
        <v>11.76</v>
      </c>
      <c r="I51" s="12">
        <v>0</v>
      </c>
    </row>
    <row r="52" spans="2:9" ht="15" customHeight="1" x14ac:dyDescent="0.2">
      <c r="B52" t="s">
        <v>176</v>
      </c>
      <c r="C52" s="12">
        <v>2</v>
      </c>
      <c r="D52" s="8">
        <v>3.51</v>
      </c>
      <c r="E52" s="12">
        <v>2</v>
      </c>
      <c r="F52" s="8">
        <v>5.26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286</v>
      </c>
      <c r="C53" s="12">
        <v>2</v>
      </c>
      <c r="D53" s="8">
        <v>3.51</v>
      </c>
      <c r="E53" s="12">
        <v>2</v>
      </c>
      <c r="F53" s="8">
        <v>5.26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261</v>
      </c>
      <c r="C54" s="12">
        <v>2</v>
      </c>
      <c r="D54" s="8">
        <v>3.51</v>
      </c>
      <c r="E54" s="12">
        <v>1</v>
      </c>
      <c r="F54" s="8">
        <v>2.63</v>
      </c>
      <c r="G54" s="12">
        <v>1</v>
      </c>
      <c r="H54" s="8">
        <v>5.88</v>
      </c>
      <c r="I54" s="12">
        <v>0</v>
      </c>
    </row>
    <row r="55" spans="2:9" ht="15" customHeight="1" x14ac:dyDescent="0.2">
      <c r="B55" t="s">
        <v>178</v>
      </c>
      <c r="C55" s="12">
        <v>2</v>
      </c>
      <c r="D55" s="8">
        <v>3.51</v>
      </c>
      <c r="E55" s="12">
        <v>2</v>
      </c>
      <c r="F55" s="8">
        <v>5.26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308</v>
      </c>
      <c r="C56" s="12">
        <v>2</v>
      </c>
      <c r="D56" s="8">
        <v>3.51</v>
      </c>
      <c r="E56" s="12">
        <v>0</v>
      </c>
      <c r="F56" s="8">
        <v>0</v>
      </c>
      <c r="G56" s="12">
        <v>2</v>
      </c>
      <c r="H56" s="8">
        <v>11.76</v>
      </c>
      <c r="I56" s="12">
        <v>0</v>
      </c>
    </row>
    <row r="57" spans="2:9" ht="15" customHeight="1" x14ac:dyDescent="0.2">
      <c r="B57" t="s">
        <v>179</v>
      </c>
      <c r="C57" s="12">
        <v>2</v>
      </c>
      <c r="D57" s="8">
        <v>3.51</v>
      </c>
      <c r="E57" s="12">
        <v>2</v>
      </c>
      <c r="F57" s="8">
        <v>5.26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180</v>
      </c>
      <c r="C58" s="12">
        <v>2</v>
      </c>
      <c r="D58" s="8">
        <v>3.51</v>
      </c>
      <c r="E58" s="12">
        <v>2</v>
      </c>
      <c r="F58" s="8">
        <v>5.26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252</v>
      </c>
      <c r="C59" s="12">
        <v>1</v>
      </c>
      <c r="D59" s="8">
        <v>1.75</v>
      </c>
      <c r="E59" s="12">
        <v>0</v>
      </c>
      <c r="F59" s="8">
        <v>0</v>
      </c>
      <c r="G59" s="12">
        <v>1</v>
      </c>
      <c r="H59" s="8">
        <v>5.88</v>
      </c>
      <c r="I59" s="12">
        <v>0</v>
      </c>
    </row>
    <row r="60" spans="2:9" ht="15" customHeight="1" x14ac:dyDescent="0.2">
      <c r="B60" t="s">
        <v>210</v>
      </c>
      <c r="C60" s="12">
        <v>1</v>
      </c>
      <c r="D60" s="8">
        <v>1.75</v>
      </c>
      <c r="E60" s="12">
        <v>1</v>
      </c>
      <c r="F60" s="8">
        <v>2.63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253</v>
      </c>
      <c r="C61" s="12">
        <v>1</v>
      </c>
      <c r="D61" s="8">
        <v>1.75</v>
      </c>
      <c r="E61" s="12">
        <v>1</v>
      </c>
      <c r="F61" s="8">
        <v>2.63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224</v>
      </c>
      <c r="C62" s="12">
        <v>1</v>
      </c>
      <c r="D62" s="8">
        <v>1.75</v>
      </c>
      <c r="E62" s="12">
        <v>1</v>
      </c>
      <c r="F62" s="8">
        <v>2.63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201</v>
      </c>
      <c r="C63" s="12">
        <v>1</v>
      </c>
      <c r="D63" s="8">
        <v>1.75</v>
      </c>
      <c r="E63" s="12">
        <v>1</v>
      </c>
      <c r="F63" s="8">
        <v>2.63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177</v>
      </c>
      <c r="C64" s="12">
        <v>1</v>
      </c>
      <c r="D64" s="8">
        <v>1.75</v>
      </c>
      <c r="E64" s="12">
        <v>1</v>
      </c>
      <c r="F64" s="8">
        <v>2.63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307</v>
      </c>
      <c r="C65" s="12">
        <v>1</v>
      </c>
      <c r="D65" s="8">
        <v>1.75</v>
      </c>
      <c r="E65" s="12">
        <v>1</v>
      </c>
      <c r="F65" s="8">
        <v>2.63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235</v>
      </c>
      <c r="C66" s="12">
        <v>1</v>
      </c>
      <c r="D66" s="8">
        <v>1.75</v>
      </c>
      <c r="E66" s="12">
        <v>0</v>
      </c>
      <c r="F66" s="8">
        <v>0</v>
      </c>
      <c r="G66" s="12">
        <v>1</v>
      </c>
      <c r="H66" s="8">
        <v>5.88</v>
      </c>
      <c r="I66" s="12">
        <v>0</v>
      </c>
    </row>
    <row r="67" spans="2:9" ht="15" customHeight="1" x14ac:dyDescent="0.2">
      <c r="B67" t="s">
        <v>309</v>
      </c>
      <c r="C67" s="12">
        <v>1</v>
      </c>
      <c r="D67" s="8">
        <v>1.75</v>
      </c>
      <c r="E67" s="12">
        <v>0</v>
      </c>
      <c r="F67" s="8">
        <v>0</v>
      </c>
      <c r="G67" s="12">
        <v>1</v>
      </c>
      <c r="H67" s="8">
        <v>5.88</v>
      </c>
      <c r="I67" s="12">
        <v>0</v>
      </c>
    </row>
    <row r="68" spans="2:9" ht="15" customHeight="1" x14ac:dyDescent="0.2">
      <c r="B68" t="s">
        <v>305</v>
      </c>
      <c r="C68" s="12">
        <v>1</v>
      </c>
      <c r="D68" s="8">
        <v>1.75</v>
      </c>
      <c r="E68" s="12">
        <v>0</v>
      </c>
      <c r="F68" s="8">
        <v>0</v>
      </c>
      <c r="G68" s="12">
        <v>1</v>
      </c>
      <c r="H68" s="8">
        <v>5.88</v>
      </c>
      <c r="I68" s="12">
        <v>0</v>
      </c>
    </row>
    <row r="69" spans="2:9" ht="15" customHeight="1" x14ac:dyDescent="0.2">
      <c r="B69" t="s">
        <v>310</v>
      </c>
      <c r="C69" s="12">
        <v>1</v>
      </c>
      <c r="D69" s="8">
        <v>1.75</v>
      </c>
      <c r="E69" s="12">
        <v>1</v>
      </c>
      <c r="F69" s="8">
        <v>2.63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196</v>
      </c>
      <c r="C70" s="12">
        <v>1</v>
      </c>
      <c r="D70" s="8">
        <v>1.75</v>
      </c>
      <c r="E70" s="12">
        <v>1</v>
      </c>
      <c r="F70" s="8">
        <v>2.63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226</v>
      </c>
      <c r="C71" s="12">
        <v>1</v>
      </c>
      <c r="D71" s="8">
        <v>1.75</v>
      </c>
      <c r="E71" s="12">
        <v>1</v>
      </c>
      <c r="F71" s="8">
        <v>2.63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233</v>
      </c>
      <c r="C72" s="12">
        <v>1</v>
      </c>
      <c r="D72" s="8">
        <v>1.75</v>
      </c>
      <c r="E72" s="12">
        <v>0</v>
      </c>
      <c r="F72" s="8">
        <v>0</v>
      </c>
      <c r="G72" s="12">
        <v>1</v>
      </c>
      <c r="H72" s="8">
        <v>5.88</v>
      </c>
      <c r="I72" s="12">
        <v>0</v>
      </c>
    </row>
    <row r="73" spans="2:9" ht="15" customHeight="1" x14ac:dyDescent="0.2">
      <c r="B73" t="s">
        <v>227</v>
      </c>
      <c r="C73" s="12">
        <v>1</v>
      </c>
      <c r="D73" s="8">
        <v>1.75</v>
      </c>
      <c r="E73" s="12">
        <v>1</v>
      </c>
      <c r="F73" s="8">
        <v>2.63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214</v>
      </c>
      <c r="C74" s="12">
        <v>1</v>
      </c>
      <c r="D74" s="8">
        <v>1.75</v>
      </c>
      <c r="E74" s="12">
        <v>0</v>
      </c>
      <c r="F74" s="8">
        <v>0</v>
      </c>
      <c r="G74" s="12">
        <v>1</v>
      </c>
      <c r="H74" s="8">
        <v>5.88</v>
      </c>
      <c r="I74" s="12">
        <v>0</v>
      </c>
    </row>
    <row r="75" spans="2:9" ht="15" customHeight="1" x14ac:dyDescent="0.2">
      <c r="B75" t="s">
        <v>197</v>
      </c>
      <c r="C75" s="12">
        <v>1</v>
      </c>
      <c r="D75" s="8">
        <v>1.75</v>
      </c>
      <c r="E75" s="12">
        <v>0</v>
      </c>
      <c r="F75" s="8">
        <v>0</v>
      </c>
      <c r="G75" s="12">
        <v>1</v>
      </c>
      <c r="H75" s="8">
        <v>5.88</v>
      </c>
      <c r="I75" s="12">
        <v>0</v>
      </c>
    </row>
    <row r="76" spans="2:9" ht="15" customHeight="1" x14ac:dyDescent="0.2">
      <c r="B76" t="s">
        <v>205</v>
      </c>
      <c r="C76" s="12">
        <v>1</v>
      </c>
      <c r="D76" s="8">
        <v>1.75</v>
      </c>
      <c r="E76" s="12">
        <v>0</v>
      </c>
      <c r="F76" s="8">
        <v>0</v>
      </c>
      <c r="G76" s="12">
        <v>1</v>
      </c>
      <c r="H76" s="8">
        <v>5.88</v>
      </c>
      <c r="I76" s="12">
        <v>0</v>
      </c>
    </row>
    <row r="77" spans="2:9" ht="15" customHeight="1" x14ac:dyDescent="0.2">
      <c r="B77" t="s">
        <v>222</v>
      </c>
      <c r="C77" s="12">
        <v>1</v>
      </c>
      <c r="D77" s="8">
        <v>1.75</v>
      </c>
      <c r="E77" s="12">
        <v>1</v>
      </c>
      <c r="F77" s="8">
        <v>2.63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188</v>
      </c>
      <c r="C78" s="12">
        <v>1</v>
      </c>
      <c r="D78" s="8">
        <v>1.75</v>
      </c>
      <c r="E78" s="12">
        <v>1</v>
      </c>
      <c r="F78" s="8">
        <v>2.63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189</v>
      </c>
      <c r="C79" s="12">
        <v>1</v>
      </c>
      <c r="D79" s="8">
        <v>1.75</v>
      </c>
      <c r="E79" s="12">
        <v>0</v>
      </c>
      <c r="F79" s="8">
        <v>0</v>
      </c>
      <c r="G79" s="12">
        <v>1</v>
      </c>
      <c r="H79" s="8">
        <v>5.88</v>
      </c>
      <c r="I79" s="12">
        <v>0</v>
      </c>
    </row>
    <row r="80" spans="2:9" ht="15" customHeight="1" x14ac:dyDescent="0.2">
      <c r="B80" t="s">
        <v>248</v>
      </c>
      <c r="C80" s="12">
        <v>1</v>
      </c>
      <c r="D80" s="8">
        <v>1.75</v>
      </c>
      <c r="E80" s="12">
        <v>1</v>
      </c>
      <c r="F80" s="8">
        <v>2.63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199</v>
      </c>
      <c r="C81" s="12">
        <v>1</v>
      </c>
      <c r="D81" s="8">
        <v>1.75</v>
      </c>
      <c r="E81" s="12">
        <v>1</v>
      </c>
      <c r="F81" s="8">
        <v>2.63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190</v>
      </c>
      <c r="C82" s="12">
        <v>1</v>
      </c>
      <c r="D82" s="8">
        <v>1.75</v>
      </c>
      <c r="E82" s="12">
        <v>1</v>
      </c>
      <c r="F82" s="8">
        <v>2.63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191</v>
      </c>
      <c r="C83" s="12">
        <v>1</v>
      </c>
      <c r="D83" s="8">
        <v>1.75</v>
      </c>
      <c r="E83" s="12">
        <v>1</v>
      </c>
      <c r="F83" s="8">
        <v>2.63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228</v>
      </c>
      <c r="C84" s="12">
        <v>1</v>
      </c>
      <c r="D84" s="8">
        <v>1.75</v>
      </c>
      <c r="E84" s="12">
        <v>1</v>
      </c>
      <c r="F84" s="8">
        <v>2.63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192</v>
      </c>
      <c r="C85" s="12">
        <v>1</v>
      </c>
      <c r="D85" s="8">
        <v>1.75</v>
      </c>
      <c r="E85" s="12">
        <v>1</v>
      </c>
      <c r="F85" s="8">
        <v>2.63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278</v>
      </c>
      <c r="C86" s="12">
        <v>1</v>
      </c>
      <c r="D86" s="8">
        <v>1.75</v>
      </c>
      <c r="E86" s="12">
        <v>1</v>
      </c>
      <c r="F86" s="8">
        <v>2.63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193</v>
      </c>
      <c r="C87" s="12">
        <v>1</v>
      </c>
      <c r="D87" s="8">
        <v>1.75</v>
      </c>
      <c r="E87" s="12">
        <v>1</v>
      </c>
      <c r="F87" s="8">
        <v>2.63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264</v>
      </c>
      <c r="C88" s="12">
        <v>1</v>
      </c>
      <c r="D88" s="8">
        <v>1.75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290</v>
      </c>
      <c r="C89" s="12">
        <v>1</v>
      </c>
      <c r="D89" s="8">
        <v>1.75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1" spans="2:9" ht="15" customHeight="1" x14ac:dyDescent="0.2">
      <c r="B91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DA5FA-550C-4085-903C-5124B0997E9A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416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54</v>
      </c>
      <c r="D6" s="8">
        <v>29.35</v>
      </c>
      <c r="E6" s="12">
        <v>34</v>
      </c>
      <c r="F6" s="8">
        <v>26.98</v>
      </c>
      <c r="G6" s="12">
        <v>20</v>
      </c>
      <c r="H6" s="8">
        <v>36.36</v>
      </c>
      <c r="I6" s="12">
        <v>0</v>
      </c>
    </row>
    <row r="7" spans="2:9" ht="15" customHeight="1" x14ac:dyDescent="0.2">
      <c r="B7" t="s">
        <v>80</v>
      </c>
      <c r="C7" s="12">
        <v>24</v>
      </c>
      <c r="D7" s="8">
        <v>13.04</v>
      </c>
      <c r="E7" s="12">
        <v>13</v>
      </c>
      <c r="F7" s="8">
        <v>10.32</v>
      </c>
      <c r="G7" s="12">
        <v>11</v>
      </c>
      <c r="H7" s="8">
        <v>20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0.54</v>
      </c>
      <c r="E8" s="12">
        <v>0</v>
      </c>
      <c r="F8" s="8">
        <v>0</v>
      </c>
      <c r="G8" s="12">
        <v>1</v>
      </c>
      <c r="H8" s="8">
        <v>1.82</v>
      </c>
      <c r="I8" s="12">
        <v>0</v>
      </c>
    </row>
    <row r="9" spans="2:9" ht="15" customHeight="1" x14ac:dyDescent="0.2">
      <c r="B9" t="s">
        <v>82</v>
      </c>
      <c r="C9" s="12">
        <v>1</v>
      </c>
      <c r="D9" s="8">
        <v>0.54</v>
      </c>
      <c r="E9" s="12">
        <v>1</v>
      </c>
      <c r="F9" s="8">
        <v>0.79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84</v>
      </c>
      <c r="C11" s="12">
        <v>38</v>
      </c>
      <c r="D11" s="8">
        <v>20.65</v>
      </c>
      <c r="E11" s="12">
        <v>31</v>
      </c>
      <c r="F11" s="8">
        <v>24.6</v>
      </c>
      <c r="G11" s="12">
        <v>7</v>
      </c>
      <c r="H11" s="8">
        <v>12.73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5</v>
      </c>
      <c r="D13" s="8">
        <v>2.72</v>
      </c>
      <c r="E13" s="12">
        <v>5</v>
      </c>
      <c r="F13" s="8">
        <v>3.97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87</v>
      </c>
      <c r="C14" s="12">
        <v>7</v>
      </c>
      <c r="D14" s="8">
        <v>3.8</v>
      </c>
      <c r="E14" s="12">
        <v>5</v>
      </c>
      <c r="F14" s="8">
        <v>3.97</v>
      </c>
      <c r="G14" s="12">
        <v>2</v>
      </c>
      <c r="H14" s="8">
        <v>3.64</v>
      </c>
      <c r="I14" s="12">
        <v>0</v>
      </c>
    </row>
    <row r="15" spans="2:9" ht="15" customHeight="1" x14ac:dyDescent="0.2">
      <c r="B15" t="s">
        <v>88</v>
      </c>
      <c r="C15" s="12">
        <v>14</v>
      </c>
      <c r="D15" s="8">
        <v>7.61</v>
      </c>
      <c r="E15" s="12">
        <v>12</v>
      </c>
      <c r="F15" s="8">
        <v>9.52</v>
      </c>
      <c r="G15" s="12">
        <v>2</v>
      </c>
      <c r="H15" s="8">
        <v>3.64</v>
      </c>
      <c r="I15" s="12">
        <v>0</v>
      </c>
    </row>
    <row r="16" spans="2:9" ht="15" customHeight="1" x14ac:dyDescent="0.2">
      <c r="B16" t="s">
        <v>89</v>
      </c>
      <c r="C16" s="12">
        <v>15</v>
      </c>
      <c r="D16" s="8">
        <v>8.15</v>
      </c>
      <c r="E16" s="12">
        <v>13</v>
      </c>
      <c r="F16" s="8">
        <v>10.32</v>
      </c>
      <c r="G16" s="12">
        <v>2</v>
      </c>
      <c r="H16" s="8">
        <v>3.64</v>
      </c>
      <c r="I16" s="12">
        <v>0</v>
      </c>
    </row>
    <row r="17" spans="2:9" ht="15" customHeight="1" x14ac:dyDescent="0.2">
      <c r="B17" t="s">
        <v>90</v>
      </c>
      <c r="C17" s="12">
        <v>5</v>
      </c>
      <c r="D17" s="8">
        <v>2.72</v>
      </c>
      <c r="E17" s="12">
        <v>3</v>
      </c>
      <c r="F17" s="8">
        <v>2.38</v>
      </c>
      <c r="G17" s="12">
        <v>0</v>
      </c>
      <c r="H17" s="8">
        <v>0</v>
      </c>
      <c r="I17" s="12">
        <v>1</v>
      </c>
    </row>
    <row r="18" spans="2:9" ht="15" customHeight="1" x14ac:dyDescent="0.2">
      <c r="B18" t="s">
        <v>91</v>
      </c>
      <c r="C18" s="12">
        <v>15</v>
      </c>
      <c r="D18" s="8">
        <v>8.15</v>
      </c>
      <c r="E18" s="12">
        <v>7</v>
      </c>
      <c r="F18" s="8">
        <v>5.56</v>
      </c>
      <c r="G18" s="12">
        <v>7</v>
      </c>
      <c r="H18" s="8">
        <v>12.73</v>
      </c>
      <c r="I18" s="12">
        <v>0</v>
      </c>
    </row>
    <row r="19" spans="2:9" ht="15" customHeight="1" x14ac:dyDescent="0.2">
      <c r="B19" t="s">
        <v>92</v>
      </c>
      <c r="C19" s="12">
        <v>5</v>
      </c>
      <c r="D19" s="8">
        <v>2.72</v>
      </c>
      <c r="E19" s="12">
        <v>2</v>
      </c>
      <c r="F19" s="8">
        <v>1.59</v>
      </c>
      <c r="G19" s="12">
        <v>3</v>
      </c>
      <c r="H19" s="8">
        <v>5.45</v>
      </c>
      <c r="I19" s="12">
        <v>0</v>
      </c>
    </row>
    <row r="20" spans="2:9" ht="15" customHeight="1" x14ac:dyDescent="0.2">
      <c r="B20" s="9" t="s">
        <v>363</v>
      </c>
      <c r="C20" s="12">
        <f>SUM(LTBL_20415[総数／事業所数])</f>
        <v>184</v>
      </c>
      <c r="E20" s="12">
        <f>SUBTOTAL(109,LTBL_20415[個人／事業所数])</f>
        <v>126</v>
      </c>
      <c r="G20" s="12">
        <f>SUBTOTAL(109,LTBL_20415[法人／事業所数])</f>
        <v>55</v>
      </c>
      <c r="I20" s="12">
        <f>SUBTOTAL(109,LTBL_20415[法人以外の団体／事業所数])</f>
        <v>1</v>
      </c>
    </row>
    <row r="21" spans="2:9" ht="15" customHeight="1" x14ac:dyDescent="0.2">
      <c r="E21" s="11">
        <f>LTBL_20415[[#Totals],[個人／事業所数]]/LTBL_20415[[#Totals],[総数／事業所数]]</f>
        <v>0.68478260869565222</v>
      </c>
      <c r="G21" s="11">
        <f>LTBL_20415[[#Totals],[法人／事業所数]]/LTBL_20415[[#Totals],[総数／事業所数]]</f>
        <v>0.29891304347826086</v>
      </c>
      <c r="I21" s="11">
        <f>LTBL_20415[[#Totals],[法人以外の団体／事業所数]]/LTBL_20415[[#Totals],[総数／事業所数]]</f>
        <v>5.434782608695652E-3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102</v>
      </c>
      <c r="C24" s="12">
        <v>30</v>
      </c>
      <c r="D24" s="8">
        <v>16.3</v>
      </c>
      <c r="E24" s="12">
        <v>23</v>
      </c>
      <c r="F24" s="8">
        <v>18.25</v>
      </c>
      <c r="G24" s="12">
        <v>7</v>
      </c>
      <c r="H24" s="8">
        <v>12.73</v>
      </c>
      <c r="I24" s="12">
        <v>0</v>
      </c>
    </row>
    <row r="25" spans="2:9" ht="15" customHeight="1" x14ac:dyDescent="0.2">
      <c r="B25" t="s">
        <v>101</v>
      </c>
      <c r="C25" s="12">
        <v>16</v>
      </c>
      <c r="D25" s="8">
        <v>8.6999999999999993</v>
      </c>
      <c r="E25" s="12">
        <v>7</v>
      </c>
      <c r="F25" s="8">
        <v>5.56</v>
      </c>
      <c r="G25" s="12">
        <v>9</v>
      </c>
      <c r="H25" s="8">
        <v>16.36</v>
      </c>
      <c r="I25" s="12">
        <v>0</v>
      </c>
    </row>
    <row r="26" spans="2:9" ht="15" customHeight="1" x14ac:dyDescent="0.2">
      <c r="B26" t="s">
        <v>116</v>
      </c>
      <c r="C26" s="12">
        <v>14</v>
      </c>
      <c r="D26" s="8">
        <v>7.61</v>
      </c>
      <c r="E26" s="12">
        <v>13</v>
      </c>
      <c r="F26" s="8">
        <v>10.32</v>
      </c>
      <c r="G26" s="12">
        <v>1</v>
      </c>
      <c r="H26" s="8">
        <v>1.82</v>
      </c>
      <c r="I26" s="12">
        <v>0</v>
      </c>
    </row>
    <row r="27" spans="2:9" ht="15" customHeight="1" x14ac:dyDescent="0.2">
      <c r="B27" t="s">
        <v>108</v>
      </c>
      <c r="C27" s="12">
        <v>13</v>
      </c>
      <c r="D27" s="8">
        <v>7.07</v>
      </c>
      <c r="E27" s="12">
        <v>8</v>
      </c>
      <c r="F27" s="8">
        <v>6.35</v>
      </c>
      <c r="G27" s="12">
        <v>5</v>
      </c>
      <c r="H27" s="8">
        <v>9.09</v>
      </c>
      <c r="I27" s="12">
        <v>0</v>
      </c>
    </row>
    <row r="28" spans="2:9" ht="15" customHeight="1" x14ac:dyDescent="0.2">
      <c r="B28" t="s">
        <v>115</v>
      </c>
      <c r="C28" s="12">
        <v>11</v>
      </c>
      <c r="D28" s="8">
        <v>5.98</v>
      </c>
      <c r="E28" s="12">
        <v>10</v>
      </c>
      <c r="F28" s="8">
        <v>7.94</v>
      </c>
      <c r="G28" s="12">
        <v>1</v>
      </c>
      <c r="H28" s="8">
        <v>1.82</v>
      </c>
      <c r="I28" s="12">
        <v>0</v>
      </c>
    </row>
    <row r="29" spans="2:9" ht="15" customHeight="1" x14ac:dyDescent="0.2">
      <c r="B29" t="s">
        <v>110</v>
      </c>
      <c r="C29" s="12">
        <v>9</v>
      </c>
      <c r="D29" s="8">
        <v>4.8899999999999997</v>
      </c>
      <c r="E29" s="12">
        <v>7</v>
      </c>
      <c r="F29" s="8">
        <v>5.56</v>
      </c>
      <c r="G29" s="12">
        <v>2</v>
      </c>
      <c r="H29" s="8">
        <v>3.64</v>
      </c>
      <c r="I29" s="12">
        <v>0</v>
      </c>
    </row>
    <row r="30" spans="2:9" ht="15" customHeight="1" x14ac:dyDescent="0.2">
      <c r="B30" t="s">
        <v>103</v>
      </c>
      <c r="C30" s="12">
        <v>8</v>
      </c>
      <c r="D30" s="8">
        <v>4.3499999999999996</v>
      </c>
      <c r="E30" s="12">
        <v>4</v>
      </c>
      <c r="F30" s="8">
        <v>3.17</v>
      </c>
      <c r="G30" s="12">
        <v>4</v>
      </c>
      <c r="H30" s="8">
        <v>7.27</v>
      </c>
      <c r="I30" s="12">
        <v>0</v>
      </c>
    </row>
    <row r="31" spans="2:9" ht="15" customHeight="1" x14ac:dyDescent="0.2">
      <c r="B31" t="s">
        <v>118</v>
      </c>
      <c r="C31" s="12">
        <v>8</v>
      </c>
      <c r="D31" s="8">
        <v>4.3499999999999996</v>
      </c>
      <c r="E31" s="12">
        <v>7</v>
      </c>
      <c r="F31" s="8">
        <v>5.56</v>
      </c>
      <c r="G31" s="12">
        <v>1</v>
      </c>
      <c r="H31" s="8">
        <v>1.82</v>
      </c>
      <c r="I31" s="12">
        <v>0</v>
      </c>
    </row>
    <row r="32" spans="2:9" ht="15" customHeight="1" x14ac:dyDescent="0.2">
      <c r="B32" t="s">
        <v>109</v>
      </c>
      <c r="C32" s="12">
        <v>7</v>
      </c>
      <c r="D32" s="8">
        <v>3.8</v>
      </c>
      <c r="E32" s="12">
        <v>7</v>
      </c>
      <c r="F32" s="8">
        <v>5.56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119</v>
      </c>
      <c r="C33" s="12">
        <v>7</v>
      </c>
      <c r="D33" s="8">
        <v>3.8</v>
      </c>
      <c r="E33" s="12">
        <v>0</v>
      </c>
      <c r="F33" s="8">
        <v>0</v>
      </c>
      <c r="G33" s="12">
        <v>6</v>
      </c>
      <c r="H33" s="8">
        <v>10.91</v>
      </c>
      <c r="I33" s="12">
        <v>0</v>
      </c>
    </row>
    <row r="34" spans="2:9" ht="15" customHeight="1" x14ac:dyDescent="0.2">
      <c r="B34" t="s">
        <v>111</v>
      </c>
      <c r="C34" s="12">
        <v>5</v>
      </c>
      <c r="D34" s="8">
        <v>2.72</v>
      </c>
      <c r="E34" s="12">
        <v>5</v>
      </c>
      <c r="F34" s="8">
        <v>3.97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117</v>
      </c>
      <c r="C35" s="12">
        <v>5</v>
      </c>
      <c r="D35" s="8">
        <v>2.72</v>
      </c>
      <c r="E35" s="12">
        <v>3</v>
      </c>
      <c r="F35" s="8">
        <v>2.38</v>
      </c>
      <c r="G35" s="12">
        <v>0</v>
      </c>
      <c r="H35" s="8">
        <v>0</v>
      </c>
      <c r="I35" s="12">
        <v>1</v>
      </c>
    </row>
    <row r="36" spans="2:9" ht="15" customHeight="1" x14ac:dyDescent="0.2">
      <c r="B36" t="s">
        <v>142</v>
      </c>
      <c r="C36" s="12">
        <v>4</v>
      </c>
      <c r="D36" s="8">
        <v>2.17</v>
      </c>
      <c r="E36" s="12">
        <v>0</v>
      </c>
      <c r="F36" s="8">
        <v>0</v>
      </c>
      <c r="G36" s="12">
        <v>4</v>
      </c>
      <c r="H36" s="8">
        <v>7.27</v>
      </c>
      <c r="I36" s="12">
        <v>0</v>
      </c>
    </row>
    <row r="37" spans="2:9" ht="15" customHeight="1" x14ac:dyDescent="0.2">
      <c r="B37" t="s">
        <v>112</v>
      </c>
      <c r="C37" s="12">
        <v>4</v>
      </c>
      <c r="D37" s="8">
        <v>2.17</v>
      </c>
      <c r="E37" s="12">
        <v>4</v>
      </c>
      <c r="F37" s="8">
        <v>3.17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127</v>
      </c>
      <c r="C38" s="12">
        <v>3</v>
      </c>
      <c r="D38" s="8">
        <v>1.63</v>
      </c>
      <c r="E38" s="12">
        <v>1</v>
      </c>
      <c r="F38" s="8">
        <v>0.79</v>
      </c>
      <c r="G38" s="12">
        <v>2</v>
      </c>
      <c r="H38" s="8">
        <v>3.64</v>
      </c>
      <c r="I38" s="12">
        <v>0</v>
      </c>
    </row>
    <row r="39" spans="2:9" ht="15" customHeight="1" x14ac:dyDescent="0.2">
      <c r="B39" t="s">
        <v>137</v>
      </c>
      <c r="C39" s="12">
        <v>3</v>
      </c>
      <c r="D39" s="8">
        <v>1.63</v>
      </c>
      <c r="E39" s="12">
        <v>1</v>
      </c>
      <c r="F39" s="8">
        <v>0.79</v>
      </c>
      <c r="G39" s="12">
        <v>2</v>
      </c>
      <c r="H39" s="8">
        <v>3.64</v>
      </c>
      <c r="I39" s="12">
        <v>0</v>
      </c>
    </row>
    <row r="40" spans="2:9" ht="15" customHeight="1" x14ac:dyDescent="0.2">
      <c r="B40" t="s">
        <v>133</v>
      </c>
      <c r="C40" s="12">
        <v>3</v>
      </c>
      <c r="D40" s="8">
        <v>1.63</v>
      </c>
      <c r="E40" s="12">
        <v>3</v>
      </c>
      <c r="F40" s="8">
        <v>2.38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113</v>
      </c>
      <c r="C41" s="12">
        <v>3</v>
      </c>
      <c r="D41" s="8">
        <v>1.63</v>
      </c>
      <c r="E41" s="12">
        <v>1</v>
      </c>
      <c r="F41" s="8">
        <v>0.79</v>
      </c>
      <c r="G41" s="12">
        <v>2</v>
      </c>
      <c r="H41" s="8">
        <v>3.64</v>
      </c>
      <c r="I41" s="12">
        <v>0</v>
      </c>
    </row>
    <row r="42" spans="2:9" ht="15" customHeight="1" x14ac:dyDescent="0.2">
      <c r="B42" t="s">
        <v>130</v>
      </c>
      <c r="C42" s="12">
        <v>2</v>
      </c>
      <c r="D42" s="8">
        <v>1.0900000000000001</v>
      </c>
      <c r="E42" s="12">
        <v>2</v>
      </c>
      <c r="F42" s="8">
        <v>1.59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143</v>
      </c>
      <c r="C43" s="12">
        <v>2</v>
      </c>
      <c r="D43" s="8">
        <v>1.0900000000000001</v>
      </c>
      <c r="E43" s="12">
        <v>1</v>
      </c>
      <c r="F43" s="8">
        <v>0.79</v>
      </c>
      <c r="G43" s="12">
        <v>1</v>
      </c>
      <c r="H43" s="8">
        <v>1.82</v>
      </c>
      <c r="I43" s="12">
        <v>0</v>
      </c>
    </row>
    <row r="44" spans="2:9" ht="15" customHeight="1" x14ac:dyDescent="0.2">
      <c r="B44" t="s">
        <v>152</v>
      </c>
      <c r="C44" s="12">
        <v>2</v>
      </c>
      <c r="D44" s="8">
        <v>1.0900000000000001</v>
      </c>
      <c r="E44" s="12">
        <v>2</v>
      </c>
      <c r="F44" s="8">
        <v>1.59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135</v>
      </c>
      <c r="C45" s="12">
        <v>2</v>
      </c>
      <c r="D45" s="8">
        <v>1.0900000000000001</v>
      </c>
      <c r="E45" s="12">
        <v>2</v>
      </c>
      <c r="F45" s="8">
        <v>1.59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106</v>
      </c>
      <c r="C46" s="12">
        <v>2</v>
      </c>
      <c r="D46" s="8">
        <v>1.0900000000000001</v>
      </c>
      <c r="E46" s="12">
        <v>2</v>
      </c>
      <c r="F46" s="8">
        <v>1.59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107</v>
      </c>
      <c r="C47" s="12">
        <v>2</v>
      </c>
      <c r="D47" s="8">
        <v>1.0900000000000001</v>
      </c>
      <c r="E47" s="12">
        <v>2</v>
      </c>
      <c r="F47" s="8">
        <v>1.59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129</v>
      </c>
      <c r="C48" s="12">
        <v>2</v>
      </c>
      <c r="D48" s="8">
        <v>1.0900000000000001</v>
      </c>
      <c r="E48" s="12">
        <v>1</v>
      </c>
      <c r="F48" s="8">
        <v>0.79</v>
      </c>
      <c r="G48" s="12">
        <v>1</v>
      </c>
      <c r="H48" s="8">
        <v>1.82</v>
      </c>
      <c r="I48" s="12">
        <v>0</v>
      </c>
    </row>
    <row r="49" spans="2:9" ht="15" customHeight="1" x14ac:dyDescent="0.2">
      <c r="B49" t="s">
        <v>124</v>
      </c>
      <c r="C49" s="12">
        <v>2</v>
      </c>
      <c r="D49" s="8">
        <v>1.0900000000000001</v>
      </c>
      <c r="E49" s="12">
        <v>0</v>
      </c>
      <c r="F49" s="8">
        <v>0</v>
      </c>
      <c r="G49" s="12">
        <v>2</v>
      </c>
      <c r="H49" s="8">
        <v>3.64</v>
      </c>
      <c r="I49" s="12">
        <v>0</v>
      </c>
    </row>
    <row r="52" spans="2:9" ht="33" customHeight="1" x14ac:dyDescent="0.2">
      <c r="B52" t="s">
        <v>365</v>
      </c>
      <c r="C52" s="10" t="s">
        <v>94</v>
      </c>
      <c r="D52" s="10" t="s">
        <v>95</v>
      </c>
      <c r="E52" s="10" t="s">
        <v>96</v>
      </c>
      <c r="F52" s="10" t="s">
        <v>97</v>
      </c>
      <c r="G52" s="10" t="s">
        <v>98</v>
      </c>
      <c r="H52" s="10" t="s">
        <v>99</v>
      </c>
      <c r="I52" s="10" t="s">
        <v>100</v>
      </c>
    </row>
    <row r="53" spans="2:9" ht="15" customHeight="1" x14ac:dyDescent="0.2">
      <c r="B53" t="s">
        <v>210</v>
      </c>
      <c r="C53" s="12">
        <v>11</v>
      </c>
      <c r="D53" s="8">
        <v>5.98</v>
      </c>
      <c r="E53" s="12">
        <v>10</v>
      </c>
      <c r="F53" s="8">
        <v>7.94</v>
      </c>
      <c r="G53" s="12">
        <v>1</v>
      </c>
      <c r="H53" s="8">
        <v>1.82</v>
      </c>
      <c r="I53" s="12">
        <v>0</v>
      </c>
    </row>
    <row r="54" spans="2:9" ht="15" customHeight="1" x14ac:dyDescent="0.2">
      <c r="B54" t="s">
        <v>261</v>
      </c>
      <c r="C54" s="12">
        <v>8</v>
      </c>
      <c r="D54" s="8">
        <v>4.3499999999999996</v>
      </c>
      <c r="E54" s="12">
        <v>5</v>
      </c>
      <c r="F54" s="8">
        <v>3.97</v>
      </c>
      <c r="G54" s="12">
        <v>3</v>
      </c>
      <c r="H54" s="8">
        <v>5.45</v>
      </c>
      <c r="I54" s="12">
        <v>0</v>
      </c>
    </row>
    <row r="55" spans="2:9" ht="15" customHeight="1" x14ac:dyDescent="0.2">
      <c r="B55" t="s">
        <v>178</v>
      </c>
      <c r="C55" s="12">
        <v>8</v>
      </c>
      <c r="D55" s="8">
        <v>4.3499999999999996</v>
      </c>
      <c r="E55" s="12">
        <v>4</v>
      </c>
      <c r="F55" s="8">
        <v>3.17</v>
      </c>
      <c r="G55" s="12">
        <v>4</v>
      </c>
      <c r="H55" s="8">
        <v>7.27</v>
      </c>
      <c r="I55" s="12">
        <v>0</v>
      </c>
    </row>
    <row r="56" spans="2:9" ht="15" customHeight="1" x14ac:dyDescent="0.2">
      <c r="B56" t="s">
        <v>191</v>
      </c>
      <c r="C56" s="12">
        <v>8</v>
      </c>
      <c r="D56" s="8">
        <v>4.3499999999999996</v>
      </c>
      <c r="E56" s="12">
        <v>8</v>
      </c>
      <c r="F56" s="8">
        <v>6.35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180</v>
      </c>
      <c r="C57" s="12">
        <v>7</v>
      </c>
      <c r="D57" s="8">
        <v>3.8</v>
      </c>
      <c r="E57" s="12">
        <v>7</v>
      </c>
      <c r="F57" s="8">
        <v>5.56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187</v>
      </c>
      <c r="C58" s="12">
        <v>7</v>
      </c>
      <c r="D58" s="8">
        <v>3.8</v>
      </c>
      <c r="E58" s="12">
        <v>6</v>
      </c>
      <c r="F58" s="8">
        <v>4.76</v>
      </c>
      <c r="G58" s="12">
        <v>1</v>
      </c>
      <c r="H58" s="8">
        <v>1.82</v>
      </c>
      <c r="I58" s="12">
        <v>0</v>
      </c>
    </row>
    <row r="59" spans="2:9" ht="15" customHeight="1" x14ac:dyDescent="0.2">
      <c r="B59" t="s">
        <v>174</v>
      </c>
      <c r="C59" s="12">
        <v>5</v>
      </c>
      <c r="D59" s="8">
        <v>2.72</v>
      </c>
      <c r="E59" s="12">
        <v>3</v>
      </c>
      <c r="F59" s="8">
        <v>2.38</v>
      </c>
      <c r="G59" s="12">
        <v>2</v>
      </c>
      <c r="H59" s="8">
        <v>3.64</v>
      </c>
      <c r="I59" s="12">
        <v>0</v>
      </c>
    </row>
    <row r="60" spans="2:9" ht="15" customHeight="1" x14ac:dyDescent="0.2">
      <c r="B60" t="s">
        <v>176</v>
      </c>
      <c r="C60" s="12">
        <v>5</v>
      </c>
      <c r="D60" s="8">
        <v>2.72</v>
      </c>
      <c r="E60" s="12">
        <v>1</v>
      </c>
      <c r="F60" s="8">
        <v>0.79</v>
      </c>
      <c r="G60" s="12">
        <v>4</v>
      </c>
      <c r="H60" s="8">
        <v>7.27</v>
      </c>
      <c r="I60" s="12">
        <v>0</v>
      </c>
    </row>
    <row r="61" spans="2:9" ht="15" customHeight="1" x14ac:dyDescent="0.2">
      <c r="B61" t="s">
        <v>214</v>
      </c>
      <c r="C61" s="12">
        <v>5</v>
      </c>
      <c r="D61" s="8">
        <v>2.72</v>
      </c>
      <c r="E61" s="12">
        <v>4</v>
      </c>
      <c r="F61" s="8">
        <v>3.17</v>
      </c>
      <c r="G61" s="12">
        <v>1</v>
      </c>
      <c r="H61" s="8">
        <v>1.82</v>
      </c>
      <c r="I61" s="12">
        <v>0</v>
      </c>
    </row>
    <row r="62" spans="2:9" ht="15" customHeight="1" x14ac:dyDescent="0.2">
      <c r="B62" t="s">
        <v>183</v>
      </c>
      <c r="C62" s="12">
        <v>5</v>
      </c>
      <c r="D62" s="8">
        <v>2.72</v>
      </c>
      <c r="E62" s="12">
        <v>5</v>
      </c>
      <c r="F62" s="8">
        <v>3.97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271</v>
      </c>
      <c r="C63" s="12">
        <v>5</v>
      </c>
      <c r="D63" s="8">
        <v>2.72</v>
      </c>
      <c r="E63" s="12">
        <v>0</v>
      </c>
      <c r="F63" s="8">
        <v>0</v>
      </c>
      <c r="G63" s="12">
        <v>5</v>
      </c>
      <c r="H63" s="8">
        <v>9.09</v>
      </c>
      <c r="I63" s="12">
        <v>0</v>
      </c>
    </row>
    <row r="64" spans="2:9" ht="15" customHeight="1" x14ac:dyDescent="0.2">
      <c r="B64" t="s">
        <v>179</v>
      </c>
      <c r="C64" s="12">
        <v>4</v>
      </c>
      <c r="D64" s="8">
        <v>2.17</v>
      </c>
      <c r="E64" s="12">
        <v>2</v>
      </c>
      <c r="F64" s="8">
        <v>1.59</v>
      </c>
      <c r="G64" s="12">
        <v>2</v>
      </c>
      <c r="H64" s="8">
        <v>3.64</v>
      </c>
      <c r="I64" s="12">
        <v>0</v>
      </c>
    </row>
    <row r="65" spans="2:9" ht="15" customHeight="1" x14ac:dyDescent="0.2">
      <c r="B65" t="s">
        <v>175</v>
      </c>
      <c r="C65" s="12">
        <v>3</v>
      </c>
      <c r="D65" s="8">
        <v>1.63</v>
      </c>
      <c r="E65" s="12">
        <v>1</v>
      </c>
      <c r="F65" s="8">
        <v>0.79</v>
      </c>
      <c r="G65" s="12">
        <v>2</v>
      </c>
      <c r="H65" s="8">
        <v>3.64</v>
      </c>
      <c r="I65" s="12">
        <v>0</v>
      </c>
    </row>
    <row r="66" spans="2:9" ht="15" customHeight="1" x14ac:dyDescent="0.2">
      <c r="B66" t="s">
        <v>208</v>
      </c>
      <c r="C66" s="12">
        <v>3</v>
      </c>
      <c r="D66" s="8">
        <v>1.63</v>
      </c>
      <c r="E66" s="12">
        <v>2</v>
      </c>
      <c r="F66" s="8">
        <v>1.59</v>
      </c>
      <c r="G66" s="12">
        <v>1</v>
      </c>
      <c r="H66" s="8">
        <v>1.82</v>
      </c>
      <c r="I66" s="12">
        <v>0</v>
      </c>
    </row>
    <row r="67" spans="2:9" ht="15" customHeight="1" x14ac:dyDescent="0.2">
      <c r="B67" t="s">
        <v>224</v>
      </c>
      <c r="C67" s="12">
        <v>3</v>
      </c>
      <c r="D67" s="8">
        <v>1.63</v>
      </c>
      <c r="E67" s="12">
        <v>2</v>
      </c>
      <c r="F67" s="8">
        <v>1.59</v>
      </c>
      <c r="G67" s="12">
        <v>1</v>
      </c>
      <c r="H67" s="8">
        <v>1.82</v>
      </c>
      <c r="I67" s="12">
        <v>0</v>
      </c>
    </row>
    <row r="68" spans="2:9" ht="15" customHeight="1" x14ac:dyDescent="0.2">
      <c r="B68" t="s">
        <v>201</v>
      </c>
      <c r="C68" s="12">
        <v>3</v>
      </c>
      <c r="D68" s="8">
        <v>1.63</v>
      </c>
      <c r="E68" s="12">
        <v>1</v>
      </c>
      <c r="F68" s="8">
        <v>0.79</v>
      </c>
      <c r="G68" s="12">
        <v>2</v>
      </c>
      <c r="H68" s="8">
        <v>3.64</v>
      </c>
      <c r="I68" s="12">
        <v>0</v>
      </c>
    </row>
    <row r="69" spans="2:9" ht="15" customHeight="1" x14ac:dyDescent="0.2">
      <c r="B69" t="s">
        <v>286</v>
      </c>
      <c r="C69" s="12">
        <v>3</v>
      </c>
      <c r="D69" s="8">
        <v>1.63</v>
      </c>
      <c r="E69" s="12">
        <v>3</v>
      </c>
      <c r="F69" s="8">
        <v>2.38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311</v>
      </c>
      <c r="C70" s="12">
        <v>3</v>
      </c>
      <c r="D70" s="8">
        <v>1.63</v>
      </c>
      <c r="E70" s="12">
        <v>0</v>
      </c>
      <c r="F70" s="8">
        <v>0</v>
      </c>
      <c r="G70" s="12">
        <v>3</v>
      </c>
      <c r="H70" s="8">
        <v>5.45</v>
      </c>
      <c r="I70" s="12">
        <v>0</v>
      </c>
    </row>
    <row r="71" spans="2:9" ht="15" customHeight="1" x14ac:dyDescent="0.2">
      <c r="B71" t="s">
        <v>242</v>
      </c>
      <c r="C71" s="12">
        <v>3</v>
      </c>
      <c r="D71" s="8">
        <v>1.63</v>
      </c>
      <c r="E71" s="12">
        <v>3</v>
      </c>
      <c r="F71" s="8">
        <v>2.38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245</v>
      </c>
      <c r="C72" s="12">
        <v>3</v>
      </c>
      <c r="D72" s="8">
        <v>1.63</v>
      </c>
      <c r="E72" s="12">
        <v>3</v>
      </c>
      <c r="F72" s="8">
        <v>2.38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199</v>
      </c>
      <c r="C73" s="12">
        <v>3</v>
      </c>
      <c r="D73" s="8">
        <v>1.63</v>
      </c>
      <c r="E73" s="12">
        <v>2</v>
      </c>
      <c r="F73" s="8">
        <v>1.59</v>
      </c>
      <c r="G73" s="12">
        <v>1</v>
      </c>
      <c r="H73" s="8">
        <v>1.82</v>
      </c>
      <c r="I73" s="12">
        <v>0</v>
      </c>
    </row>
    <row r="74" spans="2:9" ht="15" customHeight="1" x14ac:dyDescent="0.2">
      <c r="B74" t="s">
        <v>190</v>
      </c>
      <c r="C74" s="12">
        <v>3</v>
      </c>
      <c r="D74" s="8">
        <v>1.63</v>
      </c>
      <c r="E74" s="12">
        <v>3</v>
      </c>
      <c r="F74" s="8">
        <v>2.38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193</v>
      </c>
      <c r="C75" s="12">
        <v>3</v>
      </c>
      <c r="D75" s="8">
        <v>1.63</v>
      </c>
      <c r="E75" s="12">
        <v>3</v>
      </c>
      <c r="F75" s="8">
        <v>2.38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270</v>
      </c>
      <c r="C76" s="12">
        <v>3</v>
      </c>
      <c r="D76" s="8">
        <v>1.63</v>
      </c>
      <c r="E76" s="12">
        <v>3</v>
      </c>
      <c r="F76" s="8">
        <v>2.38</v>
      </c>
      <c r="G76" s="12">
        <v>0</v>
      </c>
      <c r="H76" s="8">
        <v>0</v>
      </c>
      <c r="I76" s="12">
        <v>0</v>
      </c>
    </row>
    <row r="78" spans="2:9" ht="15" customHeight="1" x14ac:dyDescent="0.2">
      <c r="B78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4CAE7-2046-47DD-841B-2BC21EE44321}">
  <sheetPr>
    <pageSetUpPr fitToPage="1"/>
  </sheetPr>
  <dimension ref="B2:I8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417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44</v>
      </c>
      <c r="D6" s="8">
        <v>28.95</v>
      </c>
      <c r="E6" s="12">
        <v>26</v>
      </c>
      <c r="F6" s="8">
        <v>30.23</v>
      </c>
      <c r="G6" s="12">
        <v>18</v>
      </c>
      <c r="H6" s="8">
        <v>30</v>
      </c>
      <c r="I6" s="12">
        <v>0</v>
      </c>
    </row>
    <row r="7" spans="2:9" ht="15" customHeight="1" x14ac:dyDescent="0.2">
      <c r="B7" t="s">
        <v>80</v>
      </c>
      <c r="C7" s="12">
        <v>23</v>
      </c>
      <c r="D7" s="8">
        <v>15.13</v>
      </c>
      <c r="E7" s="12">
        <v>8</v>
      </c>
      <c r="F7" s="8">
        <v>9.3000000000000007</v>
      </c>
      <c r="G7" s="12">
        <v>15</v>
      </c>
      <c r="H7" s="8">
        <v>25</v>
      </c>
      <c r="I7" s="12">
        <v>0</v>
      </c>
    </row>
    <row r="8" spans="2:9" ht="15" customHeight="1" x14ac:dyDescent="0.2">
      <c r="B8" t="s">
        <v>81</v>
      </c>
      <c r="C8" s="12">
        <v>2</v>
      </c>
      <c r="D8" s="8">
        <v>1.32</v>
      </c>
      <c r="E8" s="12">
        <v>0</v>
      </c>
      <c r="F8" s="8">
        <v>0</v>
      </c>
      <c r="G8" s="12">
        <v>1</v>
      </c>
      <c r="H8" s="8">
        <v>1.67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1</v>
      </c>
      <c r="D10" s="8">
        <v>0.66</v>
      </c>
      <c r="E10" s="12">
        <v>0</v>
      </c>
      <c r="F10" s="8">
        <v>0</v>
      </c>
      <c r="G10" s="12">
        <v>1</v>
      </c>
      <c r="H10" s="8">
        <v>1.67</v>
      </c>
      <c r="I10" s="12">
        <v>0</v>
      </c>
    </row>
    <row r="11" spans="2:9" ht="15" customHeight="1" x14ac:dyDescent="0.2">
      <c r="B11" t="s">
        <v>84</v>
      </c>
      <c r="C11" s="12">
        <v>22</v>
      </c>
      <c r="D11" s="8">
        <v>14.47</v>
      </c>
      <c r="E11" s="12">
        <v>10</v>
      </c>
      <c r="F11" s="8">
        <v>11.63</v>
      </c>
      <c r="G11" s="12">
        <v>12</v>
      </c>
      <c r="H11" s="8">
        <v>20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5</v>
      </c>
      <c r="D13" s="8">
        <v>3.29</v>
      </c>
      <c r="E13" s="12">
        <v>1</v>
      </c>
      <c r="F13" s="8">
        <v>1.1599999999999999</v>
      </c>
      <c r="G13" s="12">
        <v>4</v>
      </c>
      <c r="H13" s="8">
        <v>6.67</v>
      </c>
      <c r="I13" s="12">
        <v>0</v>
      </c>
    </row>
    <row r="14" spans="2:9" ht="15" customHeight="1" x14ac:dyDescent="0.2">
      <c r="B14" t="s">
        <v>87</v>
      </c>
      <c r="C14" s="12">
        <v>9</v>
      </c>
      <c r="D14" s="8">
        <v>5.92</v>
      </c>
      <c r="E14" s="12">
        <v>6</v>
      </c>
      <c r="F14" s="8">
        <v>6.98</v>
      </c>
      <c r="G14" s="12">
        <v>2</v>
      </c>
      <c r="H14" s="8">
        <v>3.33</v>
      </c>
      <c r="I14" s="12">
        <v>0</v>
      </c>
    </row>
    <row r="15" spans="2:9" ht="15" customHeight="1" x14ac:dyDescent="0.2">
      <c r="B15" t="s">
        <v>88</v>
      </c>
      <c r="C15" s="12">
        <v>13</v>
      </c>
      <c r="D15" s="8">
        <v>8.5500000000000007</v>
      </c>
      <c r="E15" s="12">
        <v>13</v>
      </c>
      <c r="F15" s="8">
        <v>15.12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89</v>
      </c>
      <c r="C16" s="12">
        <v>11</v>
      </c>
      <c r="D16" s="8">
        <v>7.24</v>
      </c>
      <c r="E16" s="12">
        <v>9</v>
      </c>
      <c r="F16" s="8">
        <v>10.47</v>
      </c>
      <c r="G16" s="12">
        <v>2</v>
      </c>
      <c r="H16" s="8">
        <v>3.33</v>
      </c>
      <c r="I16" s="12">
        <v>0</v>
      </c>
    </row>
    <row r="17" spans="2:9" ht="15" customHeight="1" x14ac:dyDescent="0.2">
      <c r="B17" t="s">
        <v>90</v>
      </c>
      <c r="C17" s="12">
        <v>6</v>
      </c>
      <c r="D17" s="8">
        <v>3.95</v>
      </c>
      <c r="E17" s="12">
        <v>5</v>
      </c>
      <c r="F17" s="8">
        <v>5.81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10</v>
      </c>
      <c r="D18" s="8">
        <v>6.58</v>
      </c>
      <c r="E18" s="12">
        <v>7</v>
      </c>
      <c r="F18" s="8">
        <v>8.14</v>
      </c>
      <c r="G18" s="12">
        <v>1</v>
      </c>
      <c r="H18" s="8">
        <v>1.67</v>
      </c>
      <c r="I18" s="12">
        <v>0</v>
      </c>
    </row>
    <row r="19" spans="2:9" ht="15" customHeight="1" x14ac:dyDescent="0.2">
      <c r="B19" t="s">
        <v>92</v>
      </c>
      <c r="C19" s="12">
        <v>6</v>
      </c>
      <c r="D19" s="8">
        <v>3.95</v>
      </c>
      <c r="E19" s="12">
        <v>1</v>
      </c>
      <c r="F19" s="8">
        <v>1.1599999999999999</v>
      </c>
      <c r="G19" s="12">
        <v>4</v>
      </c>
      <c r="H19" s="8">
        <v>6.67</v>
      </c>
      <c r="I19" s="12">
        <v>0</v>
      </c>
    </row>
    <row r="20" spans="2:9" ht="15" customHeight="1" x14ac:dyDescent="0.2">
      <c r="B20" s="9" t="s">
        <v>363</v>
      </c>
      <c r="C20" s="12">
        <f>SUM(LTBL_20416[総数／事業所数])</f>
        <v>152</v>
      </c>
      <c r="E20" s="12">
        <f>SUBTOTAL(109,LTBL_20416[個人／事業所数])</f>
        <v>86</v>
      </c>
      <c r="G20" s="12">
        <f>SUBTOTAL(109,LTBL_20416[法人／事業所数])</f>
        <v>60</v>
      </c>
      <c r="I20" s="12">
        <f>SUBTOTAL(109,LTBL_20416[法人以外の団体／事業所数])</f>
        <v>0</v>
      </c>
    </row>
    <row r="21" spans="2:9" ht="15" customHeight="1" x14ac:dyDescent="0.2">
      <c r="E21" s="11">
        <f>LTBL_20416[[#Totals],[個人／事業所数]]/LTBL_20416[[#Totals],[総数／事業所数]]</f>
        <v>0.56578947368421051</v>
      </c>
      <c r="G21" s="11">
        <f>LTBL_20416[[#Totals],[法人／事業所数]]/LTBL_20416[[#Totals],[総数／事業所数]]</f>
        <v>0.39473684210526316</v>
      </c>
      <c r="I21" s="11">
        <f>LTBL_20416[[#Totals],[法人以外の団体／事業所数]]/LTBL_20416[[#Totals],[総数／事業所数]]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101</v>
      </c>
      <c r="C24" s="12">
        <v>22</v>
      </c>
      <c r="D24" s="8">
        <v>14.47</v>
      </c>
      <c r="E24" s="12">
        <v>10</v>
      </c>
      <c r="F24" s="8">
        <v>11.63</v>
      </c>
      <c r="G24" s="12">
        <v>12</v>
      </c>
      <c r="H24" s="8">
        <v>20</v>
      </c>
      <c r="I24" s="12">
        <v>0</v>
      </c>
    </row>
    <row r="25" spans="2:9" ht="15" customHeight="1" x14ac:dyDescent="0.2">
      <c r="B25" t="s">
        <v>102</v>
      </c>
      <c r="C25" s="12">
        <v>19</v>
      </c>
      <c r="D25" s="8">
        <v>12.5</v>
      </c>
      <c r="E25" s="12">
        <v>14</v>
      </c>
      <c r="F25" s="8">
        <v>16.28</v>
      </c>
      <c r="G25" s="12">
        <v>5</v>
      </c>
      <c r="H25" s="8">
        <v>8.33</v>
      </c>
      <c r="I25" s="12">
        <v>0</v>
      </c>
    </row>
    <row r="26" spans="2:9" ht="15" customHeight="1" x14ac:dyDescent="0.2">
      <c r="B26" t="s">
        <v>115</v>
      </c>
      <c r="C26" s="12">
        <v>11</v>
      </c>
      <c r="D26" s="8">
        <v>7.24</v>
      </c>
      <c r="E26" s="12">
        <v>11</v>
      </c>
      <c r="F26" s="8">
        <v>12.79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116</v>
      </c>
      <c r="C27" s="12">
        <v>10</v>
      </c>
      <c r="D27" s="8">
        <v>6.58</v>
      </c>
      <c r="E27" s="12">
        <v>9</v>
      </c>
      <c r="F27" s="8">
        <v>10.47</v>
      </c>
      <c r="G27" s="12">
        <v>1</v>
      </c>
      <c r="H27" s="8">
        <v>1.67</v>
      </c>
      <c r="I27" s="12">
        <v>0</v>
      </c>
    </row>
    <row r="28" spans="2:9" ht="15" customHeight="1" x14ac:dyDescent="0.2">
      <c r="B28" t="s">
        <v>110</v>
      </c>
      <c r="C28" s="12">
        <v>9</v>
      </c>
      <c r="D28" s="8">
        <v>5.92</v>
      </c>
      <c r="E28" s="12">
        <v>6</v>
      </c>
      <c r="F28" s="8">
        <v>6.98</v>
      </c>
      <c r="G28" s="12">
        <v>3</v>
      </c>
      <c r="H28" s="8">
        <v>5</v>
      </c>
      <c r="I28" s="12">
        <v>0</v>
      </c>
    </row>
    <row r="29" spans="2:9" ht="15" customHeight="1" x14ac:dyDescent="0.2">
      <c r="B29" t="s">
        <v>118</v>
      </c>
      <c r="C29" s="12">
        <v>7</v>
      </c>
      <c r="D29" s="8">
        <v>4.6100000000000003</v>
      </c>
      <c r="E29" s="12">
        <v>7</v>
      </c>
      <c r="F29" s="8">
        <v>8.14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117</v>
      </c>
      <c r="C30" s="12">
        <v>6</v>
      </c>
      <c r="D30" s="8">
        <v>3.95</v>
      </c>
      <c r="E30" s="12">
        <v>5</v>
      </c>
      <c r="F30" s="8">
        <v>5.81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112</v>
      </c>
      <c r="C31" s="12">
        <v>5</v>
      </c>
      <c r="D31" s="8">
        <v>3.29</v>
      </c>
      <c r="E31" s="12">
        <v>4</v>
      </c>
      <c r="F31" s="8">
        <v>4.6500000000000004</v>
      </c>
      <c r="G31" s="12">
        <v>1</v>
      </c>
      <c r="H31" s="8">
        <v>1.67</v>
      </c>
      <c r="I31" s="12">
        <v>0</v>
      </c>
    </row>
    <row r="32" spans="2:9" ht="15" customHeight="1" x14ac:dyDescent="0.2">
      <c r="B32" t="s">
        <v>105</v>
      </c>
      <c r="C32" s="12">
        <v>4</v>
      </c>
      <c r="D32" s="8">
        <v>2.63</v>
      </c>
      <c r="E32" s="12">
        <v>0</v>
      </c>
      <c r="F32" s="8">
        <v>0</v>
      </c>
      <c r="G32" s="12">
        <v>4</v>
      </c>
      <c r="H32" s="8">
        <v>6.67</v>
      </c>
      <c r="I32" s="12">
        <v>0</v>
      </c>
    </row>
    <row r="33" spans="2:9" ht="15" customHeight="1" x14ac:dyDescent="0.2">
      <c r="B33" t="s">
        <v>111</v>
      </c>
      <c r="C33" s="12">
        <v>4</v>
      </c>
      <c r="D33" s="8">
        <v>2.63</v>
      </c>
      <c r="E33" s="12">
        <v>1</v>
      </c>
      <c r="F33" s="8">
        <v>1.1599999999999999</v>
      </c>
      <c r="G33" s="12">
        <v>3</v>
      </c>
      <c r="H33" s="8">
        <v>5</v>
      </c>
      <c r="I33" s="12">
        <v>0</v>
      </c>
    </row>
    <row r="34" spans="2:9" ht="15" customHeight="1" x14ac:dyDescent="0.2">
      <c r="B34" t="s">
        <v>113</v>
      </c>
      <c r="C34" s="12">
        <v>4</v>
      </c>
      <c r="D34" s="8">
        <v>2.63</v>
      </c>
      <c r="E34" s="12">
        <v>2</v>
      </c>
      <c r="F34" s="8">
        <v>2.33</v>
      </c>
      <c r="G34" s="12">
        <v>1</v>
      </c>
      <c r="H34" s="8">
        <v>1.67</v>
      </c>
      <c r="I34" s="12">
        <v>0</v>
      </c>
    </row>
    <row r="35" spans="2:9" ht="15" customHeight="1" x14ac:dyDescent="0.2">
      <c r="B35" t="s">
        <v>103</v>
      </c>
      <c r="C35" s="12">
        <v>3</v>
      </c>
      <c r="D35" s="8">
        <v>1.97</v>
      </c>
      <c r="E35" s="12">
        <v>2</v>
      </c>
      <c r="F35" s="8">
        <v>2.33</v>
      </c>
      <c r="G35" s="12">
        <v>1</v>
      </c>
      <c r="H35" s="8">
        <v>1.67</v>
      </c>
      <c r="I35" s="12">
        <v>0</v>
      </c>
    </row>
    <row r="36" spans="2:9" ht="15" customHeight="1" x14ac:dyDescent="0.2">
      <c r="B36" t="s">
        <v>127</v>
      </c>
      <c r="C36" s="12">
        <v>3</v>
      </c>
      <c r="D36" s="8">
        <v>1.97</v>
      </c>
      <c r="E36" s="12">
        <v>0</v>
      </c>
      <c r="F36" s="8">
        <v>0</v>
      </c>
      <c r="G36" s="12">
        <v>3</v>
      </c>
      <c r="H36" s="8">
        <v>5</v>
      </c>
      <c r="I36" s="12">
        <v>0</v>
      </c>
    </row>
    <row r="37" spans="2:9" ht="15" customHeight="1" x14ac:dyDescent="0.2">
      <c r="B37" t="s">
        <v>104</v>
      </c>
      <c r="C37" s="12">
        <v>3</v>
      </c>
      <c r="D37" s="8">
        <v>1.97</v>
      </c>
      <c r="E37" s="12">
        <v>1</v>
      </c>
      <c r="F37" s="8">
        <v>1.1599999999999999</v>
      </c>
      <c r="G37" s="12">
        <v>2</v>
      </c>
      <c r="H37" s="8">
        <v>3.33</v>
      </c>
      <c r="I37" s="12">
        <v>0</v>
      </c>
    </row>
    <row r="38" spans="2:9" ht="15" customHeight="1" x14ac:dyDescent="0.2">
      <c r="B38" t="s">
        <v>121</v>
      </c>
      <c r="C38" s="12">
        <v>3</v>
      </c>
      <c r="D38" s="8">
        <v>1.97</v>
      </c>
      <c r="E38" s="12">
        <v>0</v>
      </c>
      <c r="F38" s="8">
        <v>0</v>
      </c>
      <c r="G38" s="12">
        <v>3</v>
      </c>
      <c r="H38" s="8">
        <v>5</v>
      </c>
      <c r="I38" s="12">
        <v>0</v>
      </c>
    </row>
    <row r="39" spans="2:9" ht="15" customHeight="1" x14ac:dyDescent="0.2">
      <c r="B39" t="s">
        <v>107</v>
      </c>
      <c r="C39" s="12">
        <v>3</v>
      </c>
      <c r="D39" s="8">
        <v>1.97</v>
      </c>
      <c r="E39" s="12">
        <v>3</v>
      </c>
      <c r="F39" s="8">
        <v>3.49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108</v>
      </c>
      <c r="C40" s="12">
        <v>3</v>
      </c>
      <c r="D40" s="8">
        <v>1.97</v>
      </c>
      <c r="E40" s="12">
        <v>1</v>
      </c>
      <c r="F40" s="8">
        <v>1.1599999999999999</v>
      </c>
      <c r="G40" s="12">
        <v>2</v>
      </c>
      <c r="H40" s="8">
        <v>3.33</v>
      </c>
      <c r="I40" s="12">
        <v>0</v>
      </c>
    </row>
    <row r="41" spans="2:9" ht="15" customHeight="1" x14ac:dyDescent="0.2">
      <c r="B41" t="s">
        <v>119</v>
      </c>
      <c r="C41" s="12">
        <v>3</v>
      </c>
      <c r="D41" s="8">
        <v>1.97</v>
      </c>
      <c r="E41" s="12">
        <v>0</v>
      </c>
      <c r="F41" s="8">
        <v>0</v>
      </c>
      <c r="G41" s="12">
        <v>1</v>
      </c>
      <c r="H41" s="8">
        <v>1.67</v>
      </c>
      <c r="I41" s="12">
        <v>0</v>
      </c>
    </row>
    <row r="42" spans="2:9" ht="15" customHeight="1" x14ac:dyDescent="0.2">
      <c r="B42" t="s">
        <v>156</v>
      </c>
      <c r="C42" s="12">
        <v>2</v>
      </c>
      <c r="D42" s="8">
        <v>1.32</v>
      </c>
      <c r="E42" s="12">
        <v>0</v>
      </c>
      <c r="F42" s="8">
        <v>0</v>
      </c>
      <c r="G42" s="12">
        <v>2</v>
      </c>
      <c r="H42" s="8">
        <v>3.33</v>
      </c>
      <c r="I42" s="12">
        <v>0</v>
      </c>
    </row>
    <row r="43" spans="2:9" ht="15" customHeight="1" x14ac:dyDescent="0.2">
      <c r="B43" t="s">
        <v>158</v>
      </c>
      <c r="C43" s="12">
        <v>2</v>
      </c>
      <c r="D43" s="8">
        <v>1.32</v>
      </c>
      <c r="E43" s="12">
        <v>1</v>
      </c>
      <c r="F43" s="8">
        <v>1.1599999999999999</v>
      </c>
      <c r="G43" s="12">
        <v>1</v>
      </c>
      <c r="H43" s="8">
        <v>1.67</v>
      </c>
      <c r="I43" s="12">
        <v>0</v>
      </c>
    </row>
    <row r="44" spans="2:9" ht="15" customHeight="1" x14ac:dyDescent="0.2">
      <c r="B44" t="s">
        <v>154</v>
      </c>
      <c r="C44" s="12">
        <v>2</v>
      </c>
      <c r="D44" s="8">
        <v>1.32</v>
      </c>
      <c r="E44" s="12">
        <v>1</v>
      </c>
      <c r="F44" s="8">
        <v>1.1599999999999999</v>
      </c>
      <c r="G44" s="12">
        <v>1</v>
      </c>
      <c r="H44" s="8">
        <v>1.67</v>
      </c>
      <c r="I44" s="12">
        <v>0</v>
      </c>
    </row>
    <row r="45" spans="2:9" ht="15" customHeight="1" x14ac:dyDescent="0.2">
      <c r="B45" t="s">
        <v>125</v>
      </c>
      <c r="C45" s="12">
        <v>2</v>
      </c>
      <c r="D45" s="8">
        <v>1.32</v>
      </c>
      <c r="E45" s="12">
        <v>0</v>
      </c>
      <c r="F45" s="8">
        <v>0</v>
      </c>
      <c r="G45" s="12">
        <v>2</v>
      </c>
      <c r="H45" s="8">
        <v>3.33</v>
      </c>
      <c r="I45" s="12">
        <v>0</v>
      </c>
    </row>
    <row r="46" spans="2:9" ht="15" customHeight="1" x14ac:dyDescent="0.2">
      <c r="B46" t="s">
        <v>114</v>
      </c>
      <c r="C46" s="12">
        <v>2</v>
      </c>
      <c r="D46" s="8">
        <v>1.32</v>
      </c>
      <c r="E46" s="12">
        <v>2</v>
      </c>
      <c r="F46" s="8">
        <v>2.33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163</v>
      </c>
      <c r="C47" s="12">
        <v>2</v>
      </c>
      <c r="D47" s="8">
        <v>1.32</v>
      </c>
      <c r="E47" s="12">
        <v>0</v>
      </c>
      <c r="F47" s="8">
        <v>0</v>
      </c>
      <c r="G47" s="12">
        <v>2</v>
      </c>
      <c r="H47" s="8">
        <v>3.33</v>
      </c>
      <c r="I47" s="12">
        <v>0</v>
      </c>
    </row>
    <row r="48" spans="2:9" ht="15" customHeight="1" x14ac:dyDescent="0.2">
      <c r="B48" t="s">
        <v>147</v>
      </c>
      <c r="C48" s="12">
        <v>2</v>
      </c>
      <c r="D48" s="8">
        <v>1.32</v>
      </c>
      <c r="E48" s="12">
        <v>0</v>
      </c>
      <c r="F48" s="8">
        <v>0</v>
      </c>
      <c r="G48" s="12">
        <v>2</v>
      </c>
      <c r="H48" s="8">
        <v>3.33</v>
      </c>
      <c r="I48" s="12">
        <v>0</v>
      </c>
    </row>
    <row r="51" spans="2:9" ht="33" customHeight="1" x14ac:dyDescent="0.2">
      <c r="B51" t="s">
        <v>365</v>
      </c>
      <c r="C51" s="10" t="s">
        <v>94</v>
      </c>
      <c r="D51" s="10" t="s">
        <v>95</v>
      </c>
      <c r="E51" s="10" t="s">
        <v>96</v>
      </c>
      <c r="F51" s="10" t="s">
        <v>97</v>
      </c>
      <c r="G51" s="10" t="s">
        <v>98</v>
      </c>
      <c r="H51" s="10" t="s">
        <v>99</v>
      </c>
      <c r="I51" s="10" t="s">
        <v>100</v>
      </c>
    </row>
    <row r="52" spans="2:9" ht="15" customHeight="1" x14ac:dyDescent="0.2">
      <c r="B52" t="s">
        <v>174</v>
      </c>
      <c r="C52" s="12">
        <v>8</v>
      </c>
      <c r="D52" s="8">
        <v>5.26</v>
      </c>
      <c r="E52" s="12">
        <v>2</v>
      </c>
      <c r="F52" s="8">
        <v>2.33</v>
      </c>
      <c r="G52" s="12">
        <v>6</v>
      </c>
      <c r="H52" s="8">
        <v>10</v>
      </c>
      <c r="I52" s="12">
        <v>0</v>
      </c>
    </row>
    <row r="53" spans="2:9" ht="15" customHeight="1" x14ac:dyDescent="0.2">
      <c r="B53" t="s">
        <v>175</v>
      </c>
      <c r="C53" s="12">
        <v>7</v>
      </c>
      <c r="D53" s="8">
        <v>4.6100000000000003</v>
      </c>
      <c r="E53" s="12">
        <v>4</v>
      </c>
      <c r="F53" s="8">
        <v>4.6500000000000004</v>
      </c>
      <c r="G53" s="12">
        <v>3</v>
      </c>
      <c r="H53" s="8">
        <v>5</v>
      </c>
      <c r="I53" s="12">
        <v>0</v>
      </c>
    </row>
    <row r="54" spans="2:9" ht="15" customHeight="1" x14ac:dyDescent="0.2">
      <c r="B54" t="s">
        <v>191</v>
      </c>
      <c r="C54" s="12">
        <v>6</v>
      </c>
      <c r="D54" s="8">
        <v>3.95</v>
      </c>
      <c r="E54" s="12">
        <v>5</v>
      </c>
      <c r="F54" s="8">
        <v>5.81</v>
      </c>
      <c r="G54" s="12">
        <v>1</v>
      </c>
      <c r="H54" s="8">
        <v>1.67</v>
      </c>
      <c r="I54" s="12">
        <v>0</v>
      </c>
    </row>
    <row r="55" spans="2:9" ht="15" customHeight="1" x14ac:dyDescent="0.2">
      <c r="B55" t="s">
        <v>188</v>
      </c>
      <c r="C55" s="12">
        <v>5</v>
      </c>
      <c r="D55" s="8">
        <v>3.29</v>
      </c>
      <c r="E55" s="12">
        <v>5</v>
      </c>
      <c r="F55" s="8">
        <v>5.81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193</v>
      </c>
      <c r="C56" s="12">
        <v>5</v>
      </c>
      <c r="D56" s="8">
        <v>3.29</v>
      </c>
      <c r="E56" s="12">
        <v>5</v>
      </c>
      <c r="F56" s="8">
        <v>5.81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176</v>
      </c>
      <c r="C57" s="12">
        <v>4</v>
      </c>
      <c r="D57" s="8">
        <v>2.63</v>
      </c>
      <c r="E57" s="12">
        <v>2</v>
      </c>
      <c r="F57" s="8">
        <v>2.33</v>
      </c>
      <c r="G57" s="12">
        <v>2</v>
      </c>
      <c r="H57" s="8">
        <v>3.33</v>
      </c>
      <c r="I57" s="12">
        <v>0</v>
      </c>
    </row>
    <row r="58" spans="2:9" ht="15" customHeight="1" x14ac:dyDescent="0.2">
      <c r="B58" t="s">
        <v>210</v>
      </c>
      <c r="C58" s="12">
        <v>4</v>
      </c>
      <c r="D58" s="8">
        <v>2.63</v>
      </c>
      <c r="E58" s="12">
        <v>4</v>
      </c>
      <c r="F58" s="8">
        <v>4.6500000000000004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201</v>
      </c>
      <c r="C59" s="12">
        <v>4</v>
      </c>
      <c r="D59" s="8">
        <v>2.63</v>
      </c>
      <c r="E59" s="12">
        <v>3</v>
      </c>
      <c r="F59" s="8">
        <v>3.49</v>
      </c>
      <c r="G59" s="12">
        <v>1</v>
      </c>
      <c r="H59" s="8">
        <v>1.67</v>
      </c>
      <c r="I59" s="12">
        <v>0</v>
      </c>
    </row>
    <row r="60" spans="2:9" ht="15" customHeight="1" x14ac:dyDescent="0.2">
      <c r="B60" t="s">
        <v>286</v>
      </c>
      <c r="C60" s="12">
        <v>4</v>
      </c>
      <c r="D60" s="8">
        <v>2.63</v>
      </c>
      <c r="E60" s="12">
        <v>3</v>
      </c>
      <c r="F60" s="8">
        <v>3.49</v>
      </c>
      <c r="G60" s="12">
        <v>1</v>
      </c>
      <c r="H60" s="8">
        <v>1.67</v>
      </c>
      <c r="I60" s="12">
        <v>0</v>
      </c>
    </row>
    <row r="61" spans="2:9" ht="15" customHeight="1" x14ac:dyDescent="0.2">
      <c r="B61" t="s">
        <v>187</v>
      </c>
      <c r="C61" s="12">
        <v>4</v>
      </c>
      <c r="D61" s="8">
        <v>2.63</v>
      </c>
      <c r="E61" s="12">
        <v>4</v>
      </c>
      <c r="F61" s="8">
        <v>4.6500000000000004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181</v>
      </c>
      <c r="C62" s="12">
        <v>3</v>
      </c>
      <c r="D62" s="8">
        <v>1.97</v>
      </c>
      <c r="E62" s="12">
        <v>3</v>
      </c>
      <c r="F62" s="8">
        <v>3.49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183</v>
      </c>
      <c r="C63" s="12">
        <v>3</v>
      </c>
      <c r="D63" s="8">
        <v>1.97</v>
      </c>
      <c r="E63" s="12">
        <v>1</v>
      </c>
      <c r="F63" s="8">
        <v>1.1599999999999999</v>
      </c>
      <c r="G63" s="12">
        <v>2</v>
      </c>
      <c r="H63" s="8">
        <v>3.33</v>
      </c>
      <c r="I63" s="12">
        <v>0</v>
      </c>
    </row>
    <row r="64" spans="2:9" ht="15" customHeight="1" x14ac:dyDescent="0.2">
      <c r="B64" t="s">
        <v>245</v>
      </c>
      <c r="C64" s="12">
        <v>3</v>
      </c>
      <c r="D64" s="8">
        <v>1.97</v>
      </c>
      <c r="E64" s="12">
        <v>3</v>
      </c>
      <c r="F64" s="8">
        <v>3.49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190</v>
      </c>
      <c r="C65" s="12">
        <v>3</v>
      </c>
      <c r="D65" s="8">
        <v>1.97</v>
      </c>
      <c r="E65" s="12">
        <v>3</v>
      </c>
      <c r="F65" s="8">
        <v>3.49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192</v>
      </c>
      <c r="C66" s="12">
        <v>3</v>
      </c>
      <c r="D66" s="8">
        <v>1.97</v>
      </c>
      <c r="E66" s="12">
        <v>3</v>
      </c>
      <c r="F66" s="8">
        <v>3.49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208</v>
      </c>
      <c r="C67" s="12">
        <v>2</v>
      </c>
      <c r="D67" s="8">
        <v>1.32</v>
      </c>
      <c r="E67" s="12">
        <v>2</v>
      </c>
      <c r="F67" s="8">
        <v>2.33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224</v>
      </c>
      <c r="C68" s="12">
        <v>2</v>
      </c>
      <c r="D68" s="8">
        <v>1.32</v>
      </c>
      <c r="E68" s="12">
        <v>2</v>
      </c>
      <c r="F68" s="8">
        <v>2.33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218</v>
      </c>
      <c r="C69" s="12">
        <v>2</v>
      </c>
      <c r="D69" s="8">
        <v>1.32</v>
      </c>
      <c r="E69" s="12">
        <v>1</v>
      </c>
      <c r="F69" s="8">
        <v>1.1599999999999999</v>
      </c>
      <c r="G69" s="12">
        <v>1</v>
      </c>
      <c r="H69" s="8">
        <v>1.67</v>
      </c>
      <c r="I69" s="12">
        <v>0</v>
      </c>
    </row>
    <row r="70" spans="2:9" ht="15" customHeight="1" x14ac:dyDescent="0.2">
      <c r="B70" t="s">
        <v>261</v>
      </c>
      <c r="C70" s="12">
        <v>2</v>
      </c>
      <c r="D70" s="8">
        <v>1.32</v>
      </c>
      <c r="E70" s="12">
        <v>1</v>
      </c>
      <c r="F70" s="8">
        <v>1.1599999999999999</v>
      </c>
      <c r="G70" s="12">
        <v>1</v>
      </c>
      <c r="H70" s="8">
        <v>1.67</v>
      </c>
      <c r="I70" s="12">
        <v>0</v>
      </c>
    </row>
    <row r="71" spans="2:9" ht="15" customHeight="1" x14ac:dyDescent="0.2">
      <c r="B71" t="s">
        <v>177</v>
      </c>
      <c r="C71" s="12">
        <v>2</v>
      </c>
      <c r="D71" s="8">
        <v>1.32</v>
      </c>
      <c r="E71" s="12">
        <v>1</v>
      </c>
      <c r="F71" s="8">
        <v>1.1599999999999999</v>
      </c>
      <c r="G71" s="12">
        <v>1</v>
      </c>
      <c r="H71" s="8">
        <v>1.67</v>
      </c>
      <c r="I71" s="12">
        <v>0</v>
      </c>
    </row>
    <row r="72" spans="2:9" ht="15" customHeight="1" x14ac:dyDescent="0.2">
      <c r="B72" t="s">
        <v>308</v>
      </c>
      <c r="C72" s="12">
        <v>2</v>
      </c>
      <c r="D72" s="8">
        <v>1.32</v>
      </c>
      <c r="E72" s="12">
        <v>0</v>
      </c>
      <c r="F72" s="8">
        <v>0</v>
      </c>
      <c r="G72" s="12">
        <v>2</v>
      </c>
      <c r="H72" s="8">
        <v>3.33</v>
      </c>
      <c r="I72" s="12">
        <v>0</v>
      </c>
    </row>
    <row r="73" spans="2:9" ht="15" customHeight="1" x14ac:dyDescent="0.2">
      <c r="B73" t="s">
        <v>312</v>
      </c>
      <c r="C73" s="12">
        <v>2</v>
      </c>
      <c r="D73" s="8">
        <v>1.32</v>
      </c>
      <c r="E73" s="12">
        <v>0</v>
      </c>
      <c r="F73" s="8">
        <v>0</v>
      </c>
      <c r="G73" s="12">
        <v>2</v>
      </c>
      <c r="H73" s="8">
        <v>3.33</v>
      </c>
      <c r="I73" s="12">
        <v>0</v>
      </c>
    </row>
    <row r="74" spans="2:9" ht="15" customHeight="1" x14ac:dyDescent="0.2">
      <c r="B74" t="s">
        <v>203</v>
      </c>
      <c r="C74" s="12">
        <v>2</v>
      </c>
      <c r="D74" s="8">
        <v>1.32</v>
      </c>
      <c r="E74" s="12">
        <v>0</v>
      </c>
      <c r="F74" s="8">
        <v>0</v>
      </c>
      <c r="G74" s="12">
        <v>2</v>
      </c>
      <c r="H74" s="8">
        <v>3.33</v>
      </c>
      <c r="I74" s="12">
        <v>0</v>
      </c>
    </row>
    <row r="75" spans="2:9" ht="15" customHeight="1" x14ac:dyDescent="0.2">
      <c r="B75" t="s">
        <v>275</v>
      </c>
      <c r="C75" s="12">
        <v>2</v>
      </c>
      <c r="D75" s="8">
        <v>1.32</v>
      </c>
      <c r="E75" s="12">
        <v>1</v>
      </c>
      <c r="F75" s="8">
        <v>1.1599999999999999</v>
      </c>
      <c r="G75" s="12">
        <v>1</v>
      </c>
      <c r="H75" s="8">
        <v>1.67</v>
      </c>
      <c r="I75" s="12">
        <v>0</v>
      </c>
    </row>
    <row r="76" spans="2:9" ht="15" customHeight="1" x14ac:dyDescent="0.2">
      <c r="B76" t="s">
        <v>225</v>
      </c>
      <c r="C76" s="12">
        <v>2</v>
      </c>
      <c r="D76" s="8">
        <v>1.32</v>
      </c>
      <c r="E76" s="12">
        <v>0</v>
      </c>
      <c r="F76" s="8">
        <v>0</v>
      </c>
      <c r="G76" s="12">
        <v>2</v>
      </c>
      <c r="H76" s="8">
        <v>3.33</v>
      </c>
      <c r="I76" s="12">
        <v>0</v>
      </c>
    </row>
    <row r="77" spans="2:9" ht="15" customHeight="1" x14ac:dyDescent="0.2">
      <c r="B77" t="s">
        <v>310</v>
      </c>
      <c r="C77" s="12">
        <v>2</v>
      </c>
      <c r="D77" s="8">
        <v>1.32</v>
      </c>
      <c r="E77" s="12">
        <v>0</v>
      </c>
      <c r="F77" s="8">
        <v>0</v>
      </c>
      <c r="G77" s="12">
        <v>2</v>
      </c>
      <c r="H77" s="8">
        <v>3.33</v>
      </c>
      <c r="I77" s="12">
        <v>0</v>
      </c>
    </row>
    <row r="78" spans="2:9" ht="15" customHeight="1" x14ac:dyDescent="0.2">
      <c r="B78" t="s">
        <v>214</v>
      </c>
      <c r="C78" s="12">
        <v>2</v>
      </c>
      <c r="D78" s="8">
        <v>1.32</v>
      </c>
      <c r="E78" s="12">
        <v>1</v>
      </c>
      <c r="F78" s="8">
        <v>1.1599999999999999</v>
      </c>
      <c r="G78" s="12">
        <v>1</v>
      </c>
      <c r="H78" s="8">
        <v>1.67</v>
      </c>
      <c r="I78" s="12">
        <v>0</v>
      </c>
    </row>
    <row r="79" spans="2:9" ht="15" customHeight="1" x14ac:dyDescent="0.2">
      <c r="B79" t="s">
        <v>216</v>
      </c>
      <c r="C79" s="12">
        <v>2</v>
      </c>
      <c r="D79" s="8">
        <v>1.32</v>
      </c>
      <c r="E79" s="12">
        <v>0</v>
      </c>
      <c r="F79" s="8">
        <v>0</v>
      </c>
      <c r="G79" s="12">
        <v>2</v>
      </c>
      <c r="H79" s="8">
        <v>3.33</v>
      </c>
      <c r="I79" s="12">
        <v>0</v>
      </c>
    </row>
    <row r="80" spans="2:9" ht="15" customHeight="1" x14ac:dyDescent="0.2">
      <c r="B80" t="s">
        <v>184</v>
      </c>
      <c r="C80" s="12">
        <v>2</v>
      </c>
      <c r="D80" s="8">
        <v>1.32</v>
      </c>
      <c r="E80" s="12">
        <v>1</v>
      </c>
      <c r="F80" s="8">
        <v>1.1599999999999999</v>
      </c>
      <c r="G80" s="12">
        <v>1</v>
      </c>
      <c r="H80" s="8">
        <v>1.67</v>
      </c>
      <c r="I80" s="12">
        <v>0</v>
      </c>
    </row>
    <row r="81" spans="2:9" ht="15" customHeight="1" x14ac:dyDescent="0.2">
      <c r="B81" t="s">
        <v>185</v>
      </c>
      <c r="C81" s="12">
        <v>2</v>
      </c>
      <c r="D81" s="8">
        <v>1.32</v>
      </c>
      <c r="E81" s="12">
        <v>2</v>
      </c>
      <c r="F81" s="8">
        <v>2.33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209</v>
      </c>
      <c r="C82" s="12">
        <v>2</v>
      </c>
      <c r="D82" s="8">
        <v>1.32</v>
      </c>
      <c r="E82" s="12">
        <v>2</v>
      </c>
      <c r="F82" s="8">
        <v>2.33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278</v>
      </c>
      <c r="C83" s="12">
        <v>2</v>
      </c>
      <c r="D83" s="8">
        <v>1.32</v>
      </c>
      <c r="E83" s="12">
        <v>2</v>
      </c>
      <c r="F83" s="8">
        <v>2.33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264</v>
      </c>
      <c r="C84" s="12">
        <v>2</v>
      </c>
      <c r="D84" s="8">
        <v>1.32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306</v>
      </c>
      <c r="C85" s="12">
        <v>2</v>
      </c>
      <c r="D85" s="8">
        <v>1.32</v>
      </c>
      <c r="E85" s="12">
        <v>0</v>
      </c>
      <c r="F85" s="8">
        <v>0</v>
      </c>
      <c r="G85" s="12">
        <v>2</v>
      </c>
      <c r="H85" s="8">
        <v>3.33</v>
      </c>
      <c r="I85" s="12">
        <v>0</v>
      </c>
    </row>
    <row r="86" spans="2:9" ht="15" customHeight="1" x14ac:dyDescent="0.2">
      <c r="B86" t="s">
        <v>250</v>
      </c>
      <c r="C86" s="12">
        <v>2</v>
      </c>
      <c r="D86" s="8">
        <v>1.32</v>
      </c>
      <c r="E86" s="12">
        <v>0</v>
      </c>
      <c r="F86" s="8">
        <v>0</v>
      </c>
      <c r="G86" s="12">
        <v>2</v>
      </c>
      <c r="H86" s="8">
        <v>3.33</v>
      </c>
      <c r="I86" s="12">
        <v>0</v>
      </c>
    </row>
    <row r="88" spans="2:9" ht="15" customHeight="1" x14ac:dyDescent="0.2">
      <c r="B88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86616-BC76-495A-9F97-8007D6BE9B95}">
  <sheetPr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418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1</v>
      </c>
      <c r="D5" s="8">
        <v>1.82</v>
      </c>
      <c r="E5" s="12">
        <v>0</v>
      </c>
      <c r="F5" s="8">
        <v>0</v>
      </c>
      <c r="G5" s="12">
        <v>1</v>
      </c>
      <c r="H5" s="8">
        <v>10</v>
      </c>
      <c r="I5" s="12">
        <v>0</v>
      </c>
    </row>
    <row r="6" spans="2:9" ht="15" customHeight="1" x14ac:dyDescent="0.2">
      <c r="B6" t="s">
        <v>79</v>
      </c>
      <c r="C6" s="12">
        <v>1</v>
      </c>
      <c r="D6" s="8">
        <v>1.82</v>
      </c>
      <c r="E6" s="12">
        <v>0</v>
      </c>
      <c r="F6" s="8">
        <v>0</v>
      </c>
      <c r="G6" s="12">
        <v>1</v>
      </c>
      <c r="H6" s="8">
        <v>10</v>
      </c>
      <c r="I6" s="12">
        <v>0</v>
      </c>
    </row>
    <row r="7" spans="2:9" ht="15" customHeight="1" x14ac:dyDescent="0.2">
      <c r="B7" t="s">
        <v>80</v>
      </c>
      <c r="C7" s="12">
        <v>8</v>
      </c>
      <c r="D7" s="8">
        <v>14.55</v>
      </c>
      <c r="E7" s="12">
        <v>5</v>
      </c>
      <c r="F7" s="8">
        <v>13.16</v>
      </c>
      <c r="G7" s="12">
        <v>3</v>
      </c>
      <c r="H7" s="8">
        <v>30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1.82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1</v>
      </c>
      <c r="D10" s="8">
        <v>1.82</v>
      </c>
      <c r="E10" s="12">
        <v>0</v>
      </c>
      <c r="F10" s="8">
        <v>0</v>
      </c>
      <c r="G10" s="12">
        <v>0</v>
      </c>
      <c r="H10" s="8">
        <v>0</v>
      </c>
      <c r="I10" s="12">
        <v>1</v>
      </c>
    </row>
    <row r="11" spans="2:9" ht="15" customHeight="1" x14ac:dyDescent="0.2">
      <c r="B11" t="s">
        <v>84</v>
      </c>
      <c r="C11" s="12">
        <v>13</v>
      </c>
      <c r="D11" s="8">
        <v>23.64</v>
      </c>
      <c r="E11" s="12">
        <v>10</v>
      </c>
      <c r="F11" s="8">
        <v>26.32</v>
      </c>
      <c r="G11" s="12">
        <v>3</v>
      </c>
      <c r="H11" s="8">
        <v>30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87</v>
      </c>
      <c r="C14" s="12">
        <v>2</v>
      </c>
      <c r="D14" s="8">
        <v>3.64</v>
      </c>
      <c r="E14" s="12">
        <v>1</v>
      </c>
      <c r="F14" s="8">
        <v>2.63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88</v>
      </c>
      <c r="C15" s="12">
        <v>19</v>
      </c>
      <c r="D15" s="8">
        <v>34.549999999999997</v>
      </c>
      <c r="E15" s="12">
        <v>17</v>
      </c>
      <c r="F15" s="8">
        <v>44.74</v>
      </c>
      <c r="G15" s="12">
        <v>2</v>
      </c>
      <c r="H15" s="8">
        <v>20</v>
      </c>
      <c r="I15" s="12">
        <v>0</v>
      </c>
    </row>
    <row r="16" spans="2:9" ht="15" customHeight="1" x14ac:dyDescent="0.2">
      <c r="B16" t="s">
        <v>89</v>
      </c>
      <c r="C16" s="12">
        <v>3</v>
      </c>
      <c r="D16" s="8">
        <v>5.45</v>
      </c>
      <c r="E16" s="12">
        <v>2</v>
      </c>
      <c r="F16" s="8">
        <v>5.26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90</v>
      </c>
      <c r="C17" s="12">
        <v>3</v>
      </c>
      <c r="D17" s="8">
        <v>5.45</v>
      </c>
      <c r="E17" s="12">
        <v>1</v>
      </c>
      <c r="F17" s="8">
        <v>2.63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1</v>
      </c>
      <c r="D18" s="8">
        <v>1.82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92</v>
      </c>
      <c r="C19" s="12">
        <v>2</v>
      </c>
      <c r="D19" s="8">
        <v>3.64</v>
      </c>
      <c r="E19" s="12">
        <v>2</v>
      </c>
      <c r="F19" s="8">
        <v>5.26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363</v>
      </c>
      <c r="C20" s="12">
        <f>SUM(LTBL_20417[総数／事業所数])</f>
        <v>55</v>
      </c>
      <c r="E20" s="12">
        <f>SUBTOTAL(109,LTBL_20417[個人／事業所数])</f>
        <v>38</v>
      </c>
      <c r="G20" s="12">
        <f>SUBTOTAL(109,LTBL_20417[法人／事業所数])</f>
        <v>10</v>
      </c>
      <c r="I20" s="12">
        <f>SUBTOTAL(109,LTBL_20417[法人以外の団体／事業所数])</f>
        <v>1</v>
      </c>
    </row>
    <row r="21" spans="2:9" ht="15" customHeight="1" x14ac:dyDescent="0.2">
      <c r="E21" s="11">
        <f>LTBL_20417[[#Totals],[個人／事業所数]]/LTBL_20417[[#Totals],[総数／事業所数]]</f>
        <v>0.69090909090909092</v>
      </c>
      <c r="G21" s="11">
        <f>LTBL_20417[[#Totals],[法人／事業所数]]/LTBL_20417[[#Totals],[総数／事業所数]]</f>
        <v>0.18181818181818182</v>
      </c>
      <c r="I21" s="11">
        <f>LTBL_20417[[#Totals],[法人以外の団体／事業所数]]/LTBL_20417[[#Totals],[総数／事業所数]]</f>
        <v>1.8181818181818181E-2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114</v>
      </c>
      <c r="C24" s="12">
        <v>12</v>
      </c>
      <c r="D24" s="8">
        <v>21.82</v>
      </c>
      <c r="E24" s="12">
        <v>10</v>
      </c>
      <c r="F24" s="8">
        <v>26.32</v>
      </c>
      <c r="G24" s="12">
        <v>2</v>
      </c>
      <c r="H24" s="8">
        <v>20</v>
      </c>
      <c r="I24" s="12">
        <v>0</v>
      </c>
    </row>
    <row r="25" spans="2:9" ht="15" customHeight="1" x14ac:dyDescent="0.2">
      <c r="B25" t="s">
        <v>108</v>
      </c>
      <c r="C25" s="12">
        <v>7</v>
      </c>
      <c r="D25" s="8">
        <v>12.73</v>
      </c>
      <c r="E25" s="12">
        <v>6</v>
      </c>
      <c r="F25" s="8">
        <v>15.79</v>
      </c>
      <c r="G25" s="12">
        <v>1</v>
      </c>
      <c r="H25" s="8">
        <v>10</v>
      </c>
      <c r="I25" s="12">
        <v>0</v>
      </c>
    </row>
    <row r="26" spans="2:9" ht="15" customHeight="1" x14ac:dyDescent="0.2">
      <c r="B26" t="s">
        <v>115</v>
      </c>
      <c r="C26" s="12">
        <v>7</v>
      </c>
      <c r="D26" s="8">
        <v>12.73</v>
      </c>
      <c r="E26" s="12">
        <v>7</v>
      </c>
      <c r="F26" s="8">
        <v>18.420000000000002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127</v>
      </c>
      <c r="C27" s="12">
        <v>5</v>
      </c>
      <c r="D27" s="8">
        <v>9.09</v>
      </c>
      <c r="E27" s="12">
        <v>3</v>
      </c>
      <c r="F27" s="8">
        <v>7.89</v>
      </c>
      <c r="G27" s="12">
        <v>2</v>
      </c>
      <c r="H27" s="8">
        <v>20</v>
      </c>
      <c r="I27" s="12">
        <v>0</v>
      </c>
    </row>
    <row r="28" spans="2:9" ht="15" customHeight="1" x14ac:dyDescent="0.2">
      <c r="B28" t="s">
        <v>110</v>
      </c>
      <c r="C28" s="12">
        <v>3</v>
      </c>
      <c r="D28" s="8">
        <v>5.45</v>
      </c>
      <c r="E28" s="12">
        <v>2</v>
      </c>
      <c r="F28" s="8">
        <v>5.26</v>
      </c>
      <c r="G28" s="12">
        <v>1</v>
      </c>
      <c r="H28" s="8">
        <v>10</v>
      </c>
      <c r="I28" s="12">
        <v>0</v>
      </c>
    </row>
    <row r="29" spans="2:9" ht="15" customHeight="1" x14ac:dyDescent="0.2">
      <c r="B29" t="s">
        <v>117</v>
      </c>
      <c r="C29" s="12">
        <v>3</v>
      </c>
      <c r="D29" s="8">
        <v>5.45</v>
      </c>
      <c r="E29" s="12">
        <v>1</v>
      </c>
      <c r="F29" s="8">
        <v>2.63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107</v>
      </c>
      <c r="C30" s="12">
        <v>2</v>
      </c>
      <c r="D30" s="8">
        <v>3.64</v>
      </c>
      <c r="E30" s="12">
        <v>2</v>
      </c>
      <c r="F30" s="8">
        <v>5.26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113</v>
      </c>
      <c r="C31" s="12">
        <v>2</v>
      </c>
      <c r="D31" s="8">
        <v>3.64</v>
      </c>
      <c r="E31" s="12">
        <v>1</v>
      </c>
      <c r="F31" s="8">
        <v>2.63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116</v>
      </c>
      <c r="C32" s="12">
        <v>2</v>
      </c>
      <c r="D32" s="8">
        <v>3.64</v>
      </c>
      <c r="E32" s="12">
        <v>2</v>
      </c>
      <c r="F32" s="8">
        <v>5.26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163</v>
      </c>
      <c r="C33" s="12">
        <v>2</v>
      </c>
      <c r="D33" s="8">
        <v>3.64</v>
      </c>
      <c r="E33" s="12">
        <v>2</v>
      </c>
      <c r="F33" s="8">
        <v>5.26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149</v>
      </c>
      <c r="C34" s="12">
        <v>1</v>
      </c>
      <c r="D34" s="8">
        <v>1.82</v>
      </c>
      <c r="E34" s="12">
        <v>0</v>
      </c>
      <c r="F34" s="8">
        <v>0</v>
      </c>
      <c r="G34" s="12">
        <v>1</v>
      </c>
      <c r="H34" s="8">
        <v>10</v>
      </c>
      <c r="I34" s="12">
        <v>0</v>
      </c>
    </row>
    <row r="35" spans="2:9" ht="15" customHeight="1" x14ac:dyDescent="0.2">
      <c r="B35" t="s">
        <v>101</v>
      </c>
      <c r="C35" s="12">
        <v>1</v>
      </c>
      <c r="D35" s="8">
        <v>1.82</v>
      </c>
      <c r="E35" s="12">
        <v>0</v>
      </c>
      <c r="F35" s="8">
        <v>0</v>
      </c>
      <c r="G35" s="12">
        <v>1</v>
      </c>
      <c r="H35" s="8">
        <v>10</v>
      </c>
      <c r="I35" s="12">
        <v>0</v>
      </c>
    </row>
    <row r="36" spans="2:9" ht="15" customHeight="1" x14ac:dyDescent="0.2">
      <c r="B36" t="s">
        <v>157</v>
      </c>
      <c r="C36" s="12">
        <v>1</v>
      </c>
      <c r="D36" s="8">
        <v>1.82</v>
      </c>
      <c r="E36" s="12">
        <v>1</v>
      </c>
      <c r="F36" s="8">
        <v>2.63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138</v>
      </c>
      <c r="C37" s="12">
        <v>1</v>
      </c>
      <c r="D37" s="8">
        <v>1.82</v>
      </c>
      <c r="E37" s="12">
        <v>1</v>
      </c>
      <c r="F37" s="8">
        <v>2.63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143</v>
      </c>
      <c r="C38" s="12">
        <v>1</v>
      </c>
      <c r="D38" s="8">
        <v>1.82</v>
      </c>
      <c r="E38" s="12">
        <v>0</v>
      </c>
      <c r="F38" s="8">
        <v>0</v>
      </c>
      <c r="G38" s="12">
        <v>1</v>
      </c>
      <c r="H38" s="8">
        <v>10</v>
      </c>
      <c r="I38" s="12">
        <v>0</v>
      </c>
    </row>
    <row r="39" spans="2:9" ht="15" customHeight="1" x14ac:dyDescent="0.2">
      <c r="B39" t="s">
        <v>139</v>
      </c>
      <c r="C39" s="12">
        <v>1</v>
      </c>
      <c r="D39" s="8">
        <v>1.82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146</v>
      </c>
      <c r="C40" s="12">
        <v>1</v>
      </c>
      <c r="D40" s="8">
        <v>1.82</v>
      </c>
      <c r="E40" s="12">
        <v>0</v>
      </c>
      <c r="F40" s="8">
        <v>0</v>
      </c>
      <c r="G40" s="12">
        <v>0</v>
      </c>
      <c r="H40" s="8">
        <v>0</v>
      </c>
      <c r="I40" s="12">
        <v>1</v>
      </c>
    </row>
    <row r="41" spans="2:9" ht="15" customHeight="1" x14ac:dyDescent="0.2">
      <c r="B41" t="s">
        <v>109</v>
      </c>
      <c r="C41" s="12">
        <v>1</v>
      </c>
      <c r="D41" s="8">
        <v>1.82</v>
      </c>
      <c r="E41" s="12">
        <v>0</v>
      </c>
      <c r="F41" s="8">
        <v>0</v>
      </c>
      <c r="G41" s="12">
        <v>1</v>
      </c>
      <c r="H41" s="8">
        <v>10</v>
      </c>
      <c r="I41" s="12">
        <v>0</v>
      </c>
    </row>
    <row r="42" spans="2:9" ht="15" customHeight="1" x14ac:dyDescent="0.2">
      <c r="B42" t="s">
        <v>132</v>
      </c>
      <c r="C42" s="12">
        <v>1</v>
      </c>
      <c r="D42" s="8">
        <v>1.82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119</v>
      </c>
      <c r="C43" s="12">
        <v>1</v>
      </c>
      <c r="D43" s="8">
        <v>1.82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247</v>
      </c>
      <c r="C47" s="12">
        <v>7</v>
      </c>
      <c r="D47" s="8">
        <v>12.73</v>
      </c>
      <c r="E47" s="12">
        <v>6</v>
      </c>
      <c r="F47" s="8">
        <v>15.79</v>
      </c>
      <c r="G47" s="12">
        <v>1</v>
      </c>
      <c r="H47" s="8">
        <v>10</v>
      </c>
      <c r="I47" s="12">
        <v>0</v>
      </c>
    </row>
    <row r="48" spans="2:9" ht="15" customHeight="1" x14ac:dyDescent="0.2">
      <c r="B48" t="s">
        <v>185</v>
      </c>
      <c r="C48" s="12">
        <v>5</v>
      </c>
      <c r="D48" s="8">
        <v>9.09</v>
      </c>
      <c r="E48" s="12">
        <v>4</v>
      </c>
      <c r="F48" s="8">
        <v>10.53</v>
      </c>
      <c r="G48" s="12">
        <v>1</v>
      </c>
      <c r="H48" s="8">
        <v>10</v>
      </c>
      <c r="I48" s="12">
        <v>0</v>
      </c>
    </row>
    <row r="49" spans="2:9" ht="15" customHeight="1" x14ac:dyDescent="0.2">
      <c r="B49" t="s">
        <v>179</v>
      </c>
      <c r="C49" s="12">
        <v>3</v>
      </c>
      <c r="D49" s="8">
        <v>5.45</v>
      </c>
      <c r="E49" s="12">
        <v>3</v>
      </c>
      <c r="F49" s="8">
        <v>7.89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186</v>
      </c>
      <c r="C50" s="12">
        <v>3</v>
      </c>
      <c r="D50" s="8">
        <v>5.45</v>
      </c>
      <c r="E50" s="12">
        <v>3</v>
      </c>
      <c r="F50" s="8">
        <v>7.89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303</v>
      </c>
      <c r="C51" s="12">
        <v>2</v>
      </c>
      <c r="D51" s="8">
        <v>3.64</v>
      </c>
      <c r="E51" s="12">
        <v>1</v>
      </c>
      <c r="F51" s="8">
        <v>2.63</v>
      </c>
      <c r="G51" s="12">
        <v>1</v>
      </c>
      <c r="H51" s="8">
        <v>10</v>
      </c>
      <c r="I51" s="12">
        <v>0</v>
      </c>
    </row>
    <row r="52" spans="2:9" ht="15" customHeight="1" x14ac:dyDescent="0.2">
      <c r="B52" t="s">
        <v>197</v>
      </c>
      <c r="C52" s="12">
        <v>2</v>
      </c>
      <c r="D52" s="8">
        <v>3.64</v>
      </c>
      <c r="E52" s="12">
        <v>2</v>
      </c>
      <c r="F52" s="8">
        <v>5.26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216</v>
      </c>
      <c r="C53" s="12">
        <v>2</v>
      </c>
      <c r="D53" s="8">
        <v>3.64</v>
      </c>
      <c r="E53" s="12">
        <v>1</v>
      </c>
      <c r="F53" s="8">
        <v>2.63</v>
      </c>
      <c r="G53" s="12">
        <v>1</v>
      </c>
      <c r="H53" s="8">
        <v>10</v>
      </c>
      <c r="I53" s="12">
        <v>0</v>
      </c>
    </row>
    <row r="54" spans="2:9" ht="15" customHeight="1" x14ac:dyDescent="0.2">
      <c r="B54" t="s">
        <v>220</v>
      </c>
      <c r="C54" s="12">
        <v>2</v>
      </c>
      <c r="D54" s="8">
        <v>3.64</v>
      </c>
      <c r="E54" s="12">
        <v>2</v>
      </c>
      <c r="F54" s="8">
        <v>5.26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223</v>
      </c>
      <c r="C55" s="12">
        <v>2</v>
      </c>
      <c r="D55" s="8">
        <v>3.64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290</v>
      </c>
      <c r="C56" s="12">
        <v>2</v>
      </c>
      <c r="D56" s="8">
        <v>3.64</v>
      </c>
      <c r="E56" s="12">
        <v>2</v>
      </c>
      <c r="F56" s="8">
        <v>5.26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252</v>
      </c>
      <c r="C57" s="12">
        <v>1</v>
      </c>
      <c r="D57" s="8">
        <v>1.82</v>
      </c>
      <c r="E57" s="12">
        <v>0</v>
      </c>
      <c r="F57" s="8">
        <v>0</v>
      </c>
      <c r="G57" s="12">
        <v>1</v>
      </c>
      <c r="H57" s="8">
        <v>10</v>
      </c>
      <c r="I57" s="12">
        <v>0</v>
      </c>
    </row>
    <row r="58" spans="2:9" ht="15" customHeight="1" x14ac:dyDescent="0.2">
      <c r="B58" t="s">
        <v>174</v>
      </c>
      <c r="C58" s="12">
        <v>1</v>
      </c>
      <c r="D58" s="8">
        <v>1.82</v>
      </c>
      <c r="E58" s="12">
        <v>0</v>
      </c>
      <c r="F58" s="8">
        <v>0</v>
      </c>
      <c r="G58" s="12">
        <v>1</v>
      </c>
      <c r="H58" s="8">
        <v>10</v>
      </c>
      <c r="I58" s="12">
        <v>0</v>
      </c>
    </row>
    <row r="59" spans="2:9" ht="15" customHeight="1" x14ac:dyDescent="0.2">
      <c r="B59" t="s">
        <v>313</v>
      </c>
      <c r="C59" s="12">
        <v>1</v>
      </c>
      <c r="D59" s="8">
        <v>1.82</v>
      </c>
      <c r="E59" s="12">
        <v>1</v>
      </c>
      <c r="F59" s="8">
        <v>2.63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262</v>
      </c>
      <c r="C60" s="12">
        <v>1</v>
      </c>
      <c r="D60" s="8">
        <v>1.82</v>
      </c>
      <c r="E60" s="12">
        <v>0</v>
      </c>
      <c r="F60" s="8">
        <v>0</v>
      </c>
      <c r="G60" s="12">
        <v>1</v>
      </c>
      <c r="H60" s="8">
        <v>10</v>
      </c>
      <c r="I60" s="12">
        <v>0</v>
      </c>
    </row>
    <row r="61" spans="2:9" ht="15" customHeight="1" x14ac:dyDescent="0.2">
      <c r="B61" t="s">
        <v>308</v>
      </c>
      <c r="C61" s="12">
        <v>1</v>
      </c>
      <c r="D61" s="8">
        <v>1.82</v>
      </c>
      <c r="E61" s="12">
        <v>1</v>
      </c>
      <c r="F61" s="8">
        <v>2.63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314</v>
      </c>
      <c r="C62" s="12">
        <v>1</v>
      </c>
      <c r="D62" s="8">
        <v>1.82</v>
      </c>
      <c r="E62" s="12">
        <v>1</v>
      </c>
      <c r="F62" s="8">
        <v>2.63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315</v>
      </c>
      <c r="C63" s="12">
        <v>1</v>
      </c>
      <c r="D63" s="8">
        <v>1.82</v>
      </c>
      <c r="E63" s="12">
        <v>1</v>
      </c>
      <c r="F63" s="8">
        <v>2.63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272</v>
      </c>
      <c r="C64" s="12">
        <v>1</v>
      </c>
      <c r="D64" s="8">
        <v>1.82</v>
      </c>
      <c r="E64" s="12">
        <v>0</v>
      </c>
      <c r="F64" s="8">
        <v>0</v>
      </c>
      <c r="G64" s="12">
        <v>1</v>
      </c>
      <c r="H64" s="8">
        <v>10</v>
      </c>
      <c r="I64" s="12">
        <v>0</v>
      </c>
    </row>
    <row r="65" spans="2:9" ht="15" customHeight="1" x14ac:dyDescent="0.2">
      <c r="B65" t="s">
        <v>239</v>
      </c>
      <c r="C65" s="12">
        <v>1</v>
      </c>
      <c r="D65" s="8">
        <v>1.82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316</v>
      </c>
      <c r="C66" s="12">
        <v>1</v>
      </c>
      <c r="D66" s="8">
        <v>1.82</v>
      </c>
      <c r="E66" s="12">
        <v>0</v>
      </c>
      <c r="F66" s="8">
        <v>0</v>
      </c>
      <c r="G66" s="12">
        <v>0</v>
      </c>
      <c r="H66" s="8">
        <v>0</v>
      </c>
      <c r="I66" s="12">
        <v>1</v>
      </c>
    </row>
    <row r="67" spans="2:9" ht="15" customHeight="1" x14ac:dyDescent="0.2">
      <c r="B67" t="s">
        <v>196</v>
      </c>
      <c r="C67" s="12">
        <v>1</v>
      </c>
      <c r="D67" s="8">
        <v>1.82</v>
      </c>
      <c r="E67" s="12">
        <v>1</v>
      </c>
      <c r="F67" s="8">
        <v>2.63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226</v>
      </c>
      <c r="C68" s="12">
        <v>1</v>
      </c>
      <c r="D68" s="8">
        <v>1.82</v>
      </c>
      <c r="E68" s="12">
        <v>1</v>
      </c>
      <c r="F68" s="8">
        <v>2.63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233</v>
      </c>
      <c r="C69" s="12">
        <v>1</v>
      </c>
      <c r="D69" s="8">
        <v>1.82</v>
      </c>
      <c r="E69" s="12">
        <v>0</v>
      </c>
      <c r="F69" s="8">
        <v>0</v>
      </c>
      <c r="G69" s="12">
        <v>1</v>
      </c>
      <c r="H69" s="8">
        <v>10</v>
      </c>
      <c r="I69" s="12">
        <v>0</v>
      </c>
    </row>
    <row r="70" spans="2:9" ht="15" customHeight="1" x14ac:dyDescent="0.2">
      <c r="B70" t="s">
        <v>227</v>
      </c>
      <c r="C70" s="12">
        <v>1</v>
      </c>
      <c r="D70" s="8">
        <v>1.82</v>
      </c>
      <c r="E70" s="12">
        <v>1</v>
      </c>
      <c r="F70" s="8">
        <v>2.63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180</v>
      </c>
      <c r="C71" s="12">
        <v>1</v>
      </c>
      <c r="D71" s="8">
        <v>1.82</v>
      </c>
      <c r="E71" s="12">
        <v>0</v>
      </c>
      <c r="F71" s="8">
        <v>0</v>
      </c>
      <c r="G71" s="12">
        <v>1</v>
      </c>
      <c r="H71" s="8">
        <v>10</v>
      </c>
      <c r="I71" s="12">
        <v>0</v>
      </c>
    </row>
    <row r="72" spans="2:9" ht="15" customHeight="1" x14ac:dyDescent="0.2">
      <c r="B72" t="s">
        <v>181</v>
      </c>
      <c r="C72" s="12">
        <v>1</v>
      </c>
      <c r="D72" s="8">
        <v>1.82</v>
      </c>
      <c r="E72" s="12">
        <v>1</v>
      </c>
      <c r="F72" s="8">
        <v>2.63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184</v>
      </c>
      <c r="C73" s="12">
        <v>1</v>
      </c>
      <c r="D73" s="8">
        <v>1.82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317</v>
      </c>
      <c r="C74" s="12">
        <v>1</v>
      </c>
      <c r="D74" s="8">
        <v>1.82</v>
      </c>
      <c r="E74" s="12">
        <v>1</v>
      </c>
      <c r="F74" s="8">
        <v>2.63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187</v>
      </c>
      <c r="C75" s="12">
        <v>1</v>
      </c>
      <c r="D75" s="8">
        <v>1.82</v>
      </c>
      <c r="E75" s="12">
        <v>1</v>
      </c>
      <c r="F75" s="8">
        <v>2.63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198</v>
      </c>
      <c r="C76" s="12">
        <v>1</v>
      </c>
      <c r="D76" s="8">
        <v>1.82</v>
      </c>
      <c r="E76" s="12">
        <v>1</v>
      </c>
      <c r="F76" s="8">
        <v>2.63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190</v>
      </c>
      <c r="C77" s="12">
        <v>1</v>
      </c>
      <c r="D77" s="8">
        <v>1.82</v>
      </c>
      <c r="E77" s="12">
        <v>1</v>
      </c>
      <c r="F77" s="8">
        <v>2.63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191</v>
      </c>
      <c r="C78" s="12">
        <v>1</v>
      </c>
      <c r="D78" s="8">
        <v>1.82</v>
      </c>
      <c r="E78" s="12">
        <v>1</v>
      </c>
      <c r="F78" s="8">
        <v>2.63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249</v>
      </c>
      <c r="C79" s="12">
        <v>1</v>
      </c>
      <c r="D79" s="8">
        <v>1.82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192</v>
      </c>
      <c r="C80" s="12">
        <v>1</v>
      </c>
      <c r="D80" s="8">
        <v>1.82</v>
      </c>
      <c r="E80" s="12">
        <v>1</v>
      </c>
      <c r="F80" s="8">
        <v>2.63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271</v>
      </c>
      <c r="C81" s="12">
        <v>1</v>
      </c>
      <c r="D81" s="8">
        <v>1.82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3" spans="2:9" ht="15" customHeight="1" x14ac:dyDescent="0.2">
      <c r="B83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84825-4B8A-4282-8C7F-E40F7416A72D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419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1</v>
      </c>
      <c r="D5" s="8">
        <v>0.49</v>
      </c>
      <c r="E5" s="12">
        <v>1</v>
      </c>
      <c r="F5" s="8">
        <v>0.76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32</v>
      </c>
      <c r="D6" s="8">
        <v>15.61</v>
      </c>
      <c r="E6" s="12">
        <v>17</v>
      </c>
      <c r="F6" s="8">
        <v>12.88</v>
      </c>
      <c r="G6" s="12">
        <v>15</v>
      </c>
      <c r="H6" s="8">
        <v>22.39</v>
      </c>
      <c r="I6" s="12">
        <v>0</v>
      </c>
    </row>
    <row r="7" spans="2:9" ht="15" customHeight="1" x14ac:dyDescent="0.2">
      <c r="B7" t="s">
        <v>80</v>
      </c>
      <c r="C7" s="12">
        <v>24</v>
      </c>
      <c r="D7" s="8">
        <v>11.71</v>
      </c>
      <c r="E7" s="12">
        <v>11</v>
      </c>
      <c r="F7" s="8">
        <v>8.33</v>
      </c>
      <c r="G7" s="12">
        <v>13</v>
      </c>
      <c r="H7" s="8">
        <v>19.399999999999999</v>
      </c>
      <c r="I7" s="12">
        <v>0</v>
      </c>
    </row>
    <row r="8" spans="2:9" ht="15" customHeight="1" x14ac:dyDescent="0.2">
      <c r="B8" t="s">
        <v>81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3</v>
      </c>
      <c r="D10" s="8">
        <v>1.46</v>
      </c>
      <c r="E10" s="12">
        <v>1</v>
      </c>
      <c r="F10" s="8">
        <v>0.76</v>
      </c>
      <c r="G10" s="12">
        <v>1</v>
      </c>
      <c r="H10" s="8">
        <v>1.49</v>
      </c>
      <c r="I10" s="12">
        <v>0</v>
      </c>
    </row>
    <row r="11" spans="2:9" ht="15" customHeight="1" x14ac:dyDescent="0.2">
      <c r="B11" t="s">
        <v>84</v>
      </c>
      <c r="C11" s="12">
        <v>58</v>
      </c>
      <c r="D11" s="8">
        <v>28.29</v>
      </c>
      <c r="E11" s="12">
        <v>39</v>
      </c>
      <c r="F11" s="8">
        <v>29.55</v>
      </c>
      <c r="G11" s="12">
        <v>19</v>
      </c>
      <c r="H11" s="8">
        <v>28.36</v>
      </c>
      <c r="I11" s="12">
        <v>0</v>
      </c>
    </row>
    <row r="12" spans="2:9" ht="15" customHeight="1" x14ac:dyDescent="0.2">
      <c r="B12" t="s">
        <v>85</v>
      </c>
      <c r="C12" s="12">
        <v>1</v>
      </c>
      <c r="D12" s="8">
        <v>0.49</v>
      </c>
      <c r="E12" s="12">
        <v>0</v>
      </c>
      <c r="F12" s="8">
        <v>0</v>
      </c>
      <c r="G12" s="12">
        <v>1</v>
      </c>
      <c r="H12" s="8">
        <v>1.49</v>
      </c>
      <c r="I12" s="12">
        <v>0</v>
      </c>
    </row>
    <row r="13" spans="2:9" ht="15" customHeight="1" x14ac:dyDescent="0.2">
      <c r="B13" t="s">
        <v>86</v>
      </c>
      <c r="C13" s="12">
        <v>17</v>
      </c>
      <c r="D13" s="8">
        <v>8.2899999999999991</v>
      </c>
      <c r="E13" s="12">
        <v>12</v>
      </c>
      <c r="F13" s="8">
        <v>9.09</v>
      </c>
      <c r="G13" s="12">
        <v>5</v>
      </c>
      <c r="H13" s="8">
        <v>7.46</v>
      </c>
      <c r="I13" s="12">
        <v>0</v>
      </c>
    </row>
    <row r="14" spans="2:9" ht="15" customHeight="1" x14ac:dyDescent="0.2">
      <c r="B14" t="s">
        <v>87</v>
      </c>
      <c r="C14" s="12">
        <v>11</v>
      </c>
      <c r="D14" s="8">
        <v>5.37</v>
      </c>
      <c r="E14" s="12">
        <v>7</v>
      </c>
      <c r="F14" s="8">
        <v>5.3</v>
      </c>
      <c r="G14" s="12">
        <v>3</v>
      </c>
      <c r="H14" s="8">
        <v>4.4800000000000004</v>
      </c>
      <c r="I14" s="12">
        <v>0</v>
      </c>
    </row>
    <row r="15" spans="2:9" ht="15" customHeight="1" x14ac:dyDescent="0.2">
      <c r="B15" t="s">
        <v>88</v>
      </c>
      <c r="C15" s="12">
        <v>27</v>
      </c>
      <c r="D15" s="8">
        <v>13.17</v>
      </c>
      <c r="E15" s="12">
        <v>21</v>
      </c>
      <c r="F15" s="8">
        <v>15.91</v>
      </c>
      <c r="G15" s="12">
        <v>6</v>
      </c>
      <c r="H15" s="8">
        <v>8.9600000000000009</v>
      </c>
      <c r="I15" s="12">
        <v>0</v>
      </c>
    </row>
    <row r="16" spans="2:9" ht="15" customHeight="1" x14ac:dyDescent="0.2">
      <c r="B16" t="s">
        <v>89</v>
      </c>
      <c r="C16" s="12">
        <v>17</v>
      </c>
      <c r="D16" s="8">
        <v>8.2899999999999991</v>
      </c>
      <c r="E16" s="12">
        <v>13</v>
      </c>
      <c r="F16" s="8">
        <v>9.85</v>
      </c>
      <c r="G16" s="12">
        <v>3</v>
      </c>
      <c r="H16" s="8">
        <v>4.4800000000000004</v>
      </c>
      <c r="I16" s="12">
        <v>0</v>
      </c>
    </row>
    <row r="17" spans="2:9" ht="15" customHeight="1" x14ac:dyDescent="0.2">
      <c r="B17" t="s">
        <v>90</v>
      </c>
      <c r="C17" s="12">
        <v>6</v>
      </c>
      <c r="D17" s="8">
        <v>2.93</v>
      </c>
      <c r="E17" s="12">
        <v>5</v>
      </c>
      <c r="F17" s="8">
        <v>3.79</v>
      </c>
      <c r="G17" s="12">
        <v>0</v>
      </c>
      <c r="H17" s="8">
        <v>0</v>
      </c>
      <c r="I17" s="12">
        <v>1</v>
      </c>
    </row>
    <row r="18" spans="2:9" ht="15" customHeight="1" x14ac:dyDescent="0.2">
      <c r="B18" t="s">
        <v>91</v>
      </c>
      <c r="C18" s="12">
        <v>7</v>
      </c>
      <c r="D18" s="8">
        <v>3.41</v>
      </c>
      <c r="E18" s="12">
        <v>5</v>
      </c>
      <c r="F18" s="8">
        <v>3.79</v>
      </c>
      <c r="G18" s="12">
        <v>1</v>
      </c>
      <c r="H18" s="8">
        <v>1.49</v>
      </c>
      <c r="I18" s="12">
        <v>0</v>
      </c>
    </row>
    <row r="19" spans="2:9" ht="15" customHeight="1" x14ac:dyDescent="0.2">
      <c r="B19" t="s">
        <v>92</v>
      </c>
      <c r="C19" s="12">
        <v>1</v>
      </c>
      <c r="D19" s="8">
        <v>0.49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363</v>
      </c>
      <c r="C20" s="12">
        <f>SUM(LTBL_20422[総数／事業所数])</f>
        <v>205</v>
      </c>
      <c r="E20" s="12">
        <f>SUBTOTAL(109,LTBL_20422[個人／事業所数])</f>
        <v>132</v>
      </c>
      <c r="G20" s="12">
        <f>SUBTOTAL(109,LTBL_20422[法人／事業所数])</f>
        <v>67</v>
      </c>
      <c r="I20" s="12">
        <f>SUBTOTAL(109,LTBL_20422[法人以外の団体／事業所数])</f>
        <v>1</v>
      </c>
    </row>
    <row r="21" spans="2:9" ht="15" customHeight="1" x14ac:dyDescent="0.2">
      <c r="E21" s="11">
        <f>LTBL_20422[[#Totals],[個人／事業所数]]/LTBL_20422[[#Totals],[総数／事業所数]]</f>
        <v>0.64390243902439026</v>
      </c>
      <c r="G21" s="11">
        <f>LTBL_20422[[#Totals],[法人／事業所数]]/LTBL_20422[[#Totals],[総数／事業所数]]</f>
        <v>0.32682926829268294</v>
      </c>
      <c r="I21" s="11">
        <f>LTBL_20422[[#Totals],[法人以外の団体／事業所数]]/LTBL_20422[[#Totals],[総数／事業所数]]</f>
        <v>4.8780487804878049E-3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21</v>
      </c>
      <c r="D24" s="8">
        <v>10.24</v>
      </c>
      <c r="E24" s="12">
        <v>18</v>
      </c>
      <c r="F24" s="8">
        <v>13.64</v>
      </c>
      <c r="G24" s="12">
        <v>3</v>
      </c>
      <c r="H24" s="8">
        <v>4.4800000000000004</v>
      </c>
      <c r="I24" s="12">
        <v>0</v>
      </c>
    </row>
    <row r="25" spans="2:9" ht="15" customHeight="1" x14ac:dyDescent="0.2">
      <c r="B25" t="s">
        <v>110</v>
      </c>
      <c r="C25" s="12">
        <v>18</v>
      </c>
      <c r="D25" s="8">
        <v>8.7799999999999994</v>
      </c>
      <c r="E25" s="12">
        <v>13</v>
      </c>
      <c r="F25" s="8">
        <v>9.85</v>
      </c>
      <c r="G25" s="12">
        <v>5</v>
      </c>
      <c r="H25" s="8">
        <v>7.46</v>
      </c>
      <c r="I25" s="12">
        <v>0</v>
      </c>
    </row>
    <row r="26" spans="2:9" ht="15" customHeight="1" x14ac:dyDescent="0.2">
      <c r="B26" t="s">
        <v>108</v>
      </c>
      <c r="C26" s="12">
        <v>16</v>
      </c>
      <c r="D26" s="8">
        <v>7.8</v>
      </c>
      <c r="E26" s="12">
        <v>11</v>
      </c>
      <c r="F26" s="8">
        <v>8.33</v>
      </c>
      <c r="G26" s="12">
        <v>5</v>
      </c>
      <c r="H26" s="8">
        <v>7.46</v>
      </c>
      <c r="I26" s="12">
        <v>0</v>
      </c>
    </row>
    <row r="27" spans="2:9" ht="15" customHeight="1" x14ac:dyDescent="0.2">
      <c r="B27" t="s">
        <v>137</v>
      </c>
      <c r="C27" s="12">
        <v>15</v>
      </c>
      <c r="D27" s="8">
        <v>7.32</v>
      </c>
      <c r="E27" s="12">
        <v>6</v>
      </c>
      <c r="F27" s="8">
        <v>4.55</v>
      </c>
      <c r="G27" s="12">
        <v>9</v>
      </c>
      <c r="H27" s="8">
        <v>13.43</v>
      </c>
      <c r="I27" s="12">
        <v>0</v>
      </c>
    </row>
    <row r="28" spans="2:9" ht="15" customHeight="1" x14ac:dyDescent="0.2">
      <c r="B28" t="s">
        <v>111</v>
      </c>
      <c r="C28" s="12">
        <v>15</v>
      </c>
      <c r="D28" s="8">
        <v>7.32</v>
      </c>
      <c r="E28" s="12">
        <v>12</v>
      </c>
      <c r="F28" s="8">
        <v>9.09</v>
      </c>
      <c r="G28" s="12">
        <v>3</v>
      </c>
      <c r="H28" s="8">
        <v>4.4800000000000004</v>
      </c>
      <c r="I28" s="12">
        <v>0</v>
      </c>
    </row>
    <row r="29" spans="2:9" ht="15" customHeight="1" x14ac:dyDescent="0.2">
      <c r="B29" t="s">
        <v>116</v>
      </c>
      <c r="C29" s="12">
        <v>14</v>
      </c>
      <c r="D29" s="8">
        <v>6.83</v>
      </c>
      <c r="E29" s="12">
        <v>12</v>
      </c>
      <c r="F29" s="8">
        <v>9.09</v>
      </c>
      <c r="G29" s="12">
        <v>2</v>
      </c>
      <c r="H29" s="8">
        <v>2.99</v>
      </c>
      <c r="I29" s="12">
        <v>0</v>
      </c>
    </row>
    <row r="30" spans="2:9" ht="15" customHeight="1" x14ac:dyDescent="0.2">
      <c r="B30" t="s">
        <v>101</v>
      </c>
      <c r="C30" s="12">
        <v>13</v>
      </c>
      <c r="D30" s="8">
        <v>6.34</v>
      </c>
      <c r="E30" s="12">
        <v>6</v>
      </c>
      <c r="F30" s="8">
        <v>4.55</v>
      </c>
      <c r="G30" s="12">
        <v>7</v>
      </c>
      <c r="H30" s="8">
        <v>10.45</v>
      </c>
      <c r="I30" s="12">
        <v>0</v>
      </c>
    </row>
    <row r="31" spans="2:9" ht="15" customHeight="1" x14ac:dyDescent="0.2">
      <c r="B31" t="s">
        <v>102</v>
      </c>
      <c r="C31" s="12">
        <v>13</v>
      </c>
      <c r="D31" s="8">
        <v>6.34</v>
      </c>
      <c r="E31" s="12">
        <v>10</v>
      </c>
      <c r="F31" s="8">
        <v>7.58</v>
      </c>
      <c r="G31" s="12">
        <v>3</v>
      </c>
      <c r="H31" s="8">
        <v>4.4800000000000004</v>
      </c>
      <c r="I31" s="12">
        <v>0</v>
      </c>
    </row>
    <row r="32" spans="2:9" ht="15" customHeight="1" x14ac:dyDescent="0.2">
      <c r="B32" t="s">
        <v>103</v>
      </c>
      <c r="C32" s="12">
        <v>6</v>
      </c>
      <c r="D32" s="8">
        <v>2.93</v>
      </c>
      <c r="E32" s="12">
        <v>1</v>
      </c>
      <c r="F32" s="8">
        <v>0.76</v>
      </c>
      <c r="G32" s="12">
        <v>5</v>
      </c>
      <c r="H32" s="8">
        <v>7.46</v>
      </c>
      <c r="I32" s="12">
        <v>0</v>
      </c>
    </row>
    <row r="33" spans="2:9" ht="15" customHeight="1" x14ac:dyDescent="0.2">
      <c r="B33" t="s">
        <v>121</v>
      </c>
      <c r="C33" s="12">
        <v>6</v>
      </c>
      <c r="D33" s="8">
        <v>2.93</v>
      </c>
      <c r="E33" s="12">
        <v>4</v>
      </c>
      <c r="F33" s="8">
        <v>3.03</v>
      </c>
      <c r="G33" s="12">
        <v>2</v>
      </c>
      <c r="H33" s="8">
        <v>2.99</v>
      </c>
      <c r="I33" s="12">
        <v>0</v>
      </c>
    </row>
    <row r="34" spans="2:9" ht="15" customHeight="1" x14ac:dyDescent="0.2">
      <c r="B34" t="s">
        <v>107</v>
      </c>
      <c r="C34" s="12">
        <v>6</v>
      </c>
      <c r="D34" s="8">
        <v>2.93</v>
      </c>
      <c r="E34" s="12">
        <v>6</v>
      </c>
      <c r="F34" s="8">
        <v>4.55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109</v>
      </c>
      <c r="C35" s="12">
        <v>6</v>
      </c>
      <c r="D35" s="8">
        <v>2.93</v>
      </c>
      <c r="E35" s="12">
        <v>3</v>
      </c>
      <c r="F35" s="8">
        <v>2.27</v>
      </c>
      <c r="G35" s="12">
        <v>3</v>
      </c>
      <c r="H35" s="8">
        <v>4.4800000000000004</v>
      </c>
      <c r="I35" s="12">
        <v>0</v>
      </c>
    </row>
    <row r="36" spans="2:9" ht="15" customHeight="1" x14ac:dyDescent="0.2">
      <c r="B36" t="s">
        <v>114</v>
      </c>
      <c r="C36" s="12">
        <v>6</v>
      </c>
      <c r="D36" s="8">
        <v>2.93</v>
      </c>
      <c r="E36" s="12">
        <v>3</v>
      </c>
      <c r="F36" s="8">
        <v>2.27</v>
      </c>
      <c r="G36" s="12">
        <v>3</v>
      </c>
      <c r="H36" s="8">
        <v>4.4800000000000004</v>
      </c>
      <c r="I36" s="12">
        <v>0</v>
      </c>
    </row>
    <row r="37" spans="2:9" ht="15" customHeight="1" x14ac:dyDescent="0.2">
      <c r="B37" t="s">
        <v>117</v>
      </c>
      <c r="C37" s="12">
        <v>6</v>
      </c>
      <c r="D37" s="8">
        <v>2.93</v>
      </c>
      <c r="E37" s="12">
        <v>5</v>
      </c>
      <c r="F37" s="8">
        <v>3.79</v>
      </c>
      <c r="G37" s="12">
        <v>0</v>
      </c>
      <c r="H37" s="8">
        <v>0</v>
      </c>
      <c r="I37" s="12">
        <v>1</v>
      </c>
    </row>
    <row r="38" spans="2:9" ht="15" customHeight="1" x14ac:dyDescent="0.2">
      <c r="B38" t="s">
        <v>113</v>
      </c>
      <c r="C38" s="12">
        <v>5</v>
      </c>
      <c r="D38" s="8">
        <v>2.44</v>
      </c>
      <c r="E38" s="12">
        <v>2</v>
      </c>
      <c r="F38" s="8">
        <v>1.52</v>
      </c>
      <c r="G38" s="12">
        <v>2</v>
      </c>
      <c r="H38" s="8">
        <v>2.99</v>
      </c>
      <c r="I38" s="12">
        <v>0</v>
      </c>
    </row>
    <row r="39" spans="2:9" ht="15" customHeight="1" x14ac:dyDescent="0.2">
      <c r="B39" t="s">
        <v>118</v>
      </c>
      <c r="C39" s="12">
        <v>5</v>
      </c>
      <c r="D39" s="8">
        <v>2.44</v>
      </c>
      <c r="E39" s="12">
        <v>5</v>
      </c>
      <c r="F39" s="8">
        <v>3.79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112</v>
      </c>
      <c r="C40" s="12">
        <v>4</v>
      </c>
      <c r="D40" s="8">
        <v>1.95</v>
      </c>
      <c r="E40" s="12">
        <v>4</v>
      </c>
      <c r="F40" s="8">
        <v>3.03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130</v>
      </c>
      <c r="C41" s="12">
        <v>3</v>
      </c>
      <c r="D41" s="8">
        <v>1.46</v>
      </c>
      <c r="E41" s="12">
        <v>3</v>
      </c>
      <c r="F41" s="8">
        <v>2.27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106</v>
      </c>
      <c r="C42" s="12">
        <v>3</v>
      </c>
      <c r="D42" s="8">
        <v>1.46</v>
      </c>
      <c r="E42" s="12">
        <v>1</v>
      </c>
      <c r="F42" s="8">
        <v>0.76</v>
      </c>
      <c r="G42" s="12">
        <v>2</v>
      </c>
      <c r="H42" s="8">
        <v>2.99</v>
      </c>
      <c r="I42" s="12">
        <v>0</v>
      </c>
    </row>
    <row r="43" spans="2:9" ht="15" customHeight="1" x14ac:dyDescent="0.2">
      <c r="B43" t="s">
        <v>155</v>
      </c>
      <c r="C43" s="12">
        <v>2</v>
      </c>
      <c r="D43" s="8">
        <v>0.98</v>
      </c>
      <c r="E43" s="12">
        <v>0</v>
      </c>
      <c r="F43" s="8">
        <v>0</v>
      </c>
      <c r="G43" s="12">
        <v>2</v>
      </c>
      <c r="H43" s="8">
        <v>2.99</v>
      </c>
      <c r="I43" s="12">
        <v>0</v>
      </c>
    </row>
    <row r="44" spans="2:9" ht="15" customHeight="1" x14ac:dyDescent="0.2">
      <c r="B44" t="s">
        <v>135</v>
      </c>
      <c r="C44" s="12">
        <v>2</v>
      </c>
      <c r="D44" s="8">
        <v>0.98</v>
      </c>
      <c r="E44" s="12">
        <v>2</v>
      </c>
      <c r="F44" s="8">
        <v>1.52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133</v>
      </c>
      <c r="C45" s="12">
        <v>2</v>
      </c>
      <c r="D45" s="8">
        <v>0.98</v>
      </c>
      <c r="E45" s="12">
        <v>1</v>
      </c>
      <c r="F45" s="8">
        <v>0.76</v>
      </c>
      <c r="G45" s="12">
        <v>1</v>
      </c>
      <c r="H45" s="8">
        <v>1.49</v>
      </c>
      <c r="I45" s="12">
        <v>0</v>
      </c>
    </row>
    <row r="46" spans="2:9" ht="15" customHeight="1" x14ac:dyDescent="0.2">
      <c r="B46" t="s">
        <v>153</v>
      </c>
      <c r="C46" s="12">
        <v>2</v>
      </c>
      <c r="D46" s="8">
        <v>0.98</v>
      </c>
      <c r="E46" s="12">
        <v>0</v>
      </c>
      <c r="F46" s="8">
        <v>0</v>
      </c>
      <c r="G46" s="12">
        <v>2</v>
      </c>
      <c r="H46" s="8">
        <v>2.99</v>
      </c>
      <c r="I46" s="12">
        <v>0</v>
      </c>
    </row>
    <row r="47" spans="2:9" ht="15" customHeight="1" x14ac:dyDescent="0.2">
      <c r="B47" t="s">
        <v>131</v>
      </c>
      <c r="C47" s="12">
        <v>2</v>
      </c>
      <c r="D47" s="8">
        <v>0.98</v>
      </c>
      <c r="E47" s="12">
        <v>1</v>
      </c>
      <c r="F47" s="8">
        <v>0.76</v>
      </c>
      <c r="G47" s="12">
        <v>1</v>
      </c>
      <c r="H47" s="8">
        <v>1.49</v>
      </c>
      <c r="I47" s="12">
        <v>0</v>
      </c>
    </row>
    <row r="48" spans="2:9" ht="15" customHeight="1" x14ac:dyDescent="0.2">
      <c r="B48" t="s">
        <v>119</v>
      </c>
      <c r="C48" s="12">
        <v>2</v>
      </c>
      <c r="D48" s="8">
        <v>0.98</v>
      </c>
      <c r="E48" s="12">
        <v>0</v>
      </c>
      <c r="F48" s="8">
        <v>0</v>
      </c>
      <c r="G48" s="12">
        <v>1</v>
      </c>
      <c r="H48" s="8">
        <v>1.49</v>
      </c>
      <c r="I48" s="12">
        <v>0</v>
      </c>
    </row>
    <row r="51" spans="2:9" ht="33" customHeight="1" x14ac:dyDescent="0.2">
      <c r="B51" t="s">
        <v>365</v>
      </c>
      <c r="C51" s="10" t="s">
        <v>94</v>
      </c>
      <c r="D51" s="10" t="s">
        <v>95</v>
      </c>
      <c r="E51" s="10" t="s">
        <v>96</v>
      </c>
      <c r="F51" s="10" t="s">
        <v>97</v>
      </c>
      <c r="G51" s="10" t="s">
        <v>98</v>
      </c>
      <c r="H51" s="10" t="s">
        <v>99</v>
      </c>
      <c r="I51" s="10" t="s">
        <v>100</v>
      </c>
    </row>
    <row r="52" spans="2:9" ht="15" customHeight="1" x14ac:dyDescent="0.2">
      <c r="B52" t="s">
        <v>179</v>
      </c>
      <c r="C52" s="12">
        <v>8</v>
      </c>
      <c r="D52" s="8">
        <v>3.9</v>
      </c>
      <c r="E52" s="12">
        <v>8</v>
      </c>
      <c r="F52" s="8">
        <v>6.06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195</v>
      </c>
      <c r="C53" s="12">
        <v>8</v>
      </c>
      <c r="D53" s="8">
        <v>3.9</v>
      </c>
      <c r="E53" s="12">
        <v>8</v>
      </c>
      <c r="F53" s="8">
        <v>6.06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176</v>
      </c>
      <c r="C54" s="12">
        <v>7</v>
      </c>
      <c r="D54" s="8">
        <v>3.41</v>
      </c>
      <c r="E54" s="12">
        <v>6</v>
      </c>
      <c r="F54" s="8">
        <v>4.55</v>
      </c>
      <c r="G54" s="12">
        <v>1</v>
      </c>
      <c r="H54" s="8">
        <v>1.49</v>
      </c>
      <c r="I54" s="12">
        <v>0</v>
      </c>
    </row>
    <row r="55" spans="2:9" ht="15" customHeight="1" x14ac:dyDescent="0.2">
      <c r="B55" t="s">
        <v>191</v>
      </c>
      <c r="C55" s="12">
        <v>7</v>
      </c>
      <c r="D55" s="8">
        <v>3.41</v>
      </c>
      <c r="E55" s="12">
        <v>6</v>
      </c>
      <c r="F55" s="8">
        <v>4.55</v>
      </c>
      <c r="G55" s="12">
        <v>1</v>
      </c>
      <c r="H55" s="8">
        <v>1.49</v>
      </c>
      <c r="I55" s="12">
        <v>0</v>
      </c>
    </row>
    <row r="56" spans="2:9" ht="15" customHeight="1" x14ac:dyDescent="0.2">
      <c r="B56" t="s">
        <v>230</v>
      </c>
      <c r="C56" s="12">
        <v>6</v>
      </c>
      <c r="D56" s="8">
        <v>2.93</v>
      </c>
      <c r="E56" s="12">
        <v>0</v>
      </c>
      <c r="F56" s="8">
        <v>0</v>
      </c>
      <c r="G56" s="12">
        <v>6</v>
      </c>
      <c r="H56" s="8">
        <v>8.9600000000000009</v>
      </c>
      <c r="I56" s="12">
        <v>0</v>
      </c>
    </row>
    <row r="57" spans="2:9" ht="15" customHeight="1" x14ac:dyDescent="0.2">
      <c r="B57" t="s">
        <v>298</v>
      </c>
      <c r="C57" s="12">
        <v>6</v>
      </c>
      <c r="D57" s="8">
        <v>2.93</v>
      </c>
      <c r="E57" s="12">
        <v>4</v>
      </c>
      <c r="F57" s="8">
        <v>3.03</v>
      </c>
      <c r="G57" s="12">
        <v>2</v>
      </c>
      <c r="H57" s="8">
        <v>2.99</v>
      </c>
      <c r="I57" s="12">
        <v>0</v>
      </c>
    </row>
    <row r="58" spans="2:9" ht="15" customHeight="1" x14ac:dyDescent="0.2">
      <c r="B58" t="s">
        <v>186</v>
      </c>
      <c r="C58" s="12">
        <v>6</v>
      </c>
      <c r="D58" s="8">
        <v>2.93</v>
      </c>
      <c r="E58" s="12">
        <v>5</v>
      </c>
      <c r="F58" s="8">
        <v>3.79</v>
      </c>
      <c r="G58" s="12">
        <v>1</v>
      </c>
      <c r="H58" s="8">
        <v>1.49</v>
      </c>
      <c r="I58" s="12">
        <v>0</v>
      </c>
    </row>
    <row r="59" spans="2:9" ht="15" customHeight="1" x14ac:dyDescent="0.2">
      <c r="B59" t="s">
        <v>210</v>
      </c>
      <c r="C59" s="12">
        <v>5</v>
      </c>
      <c r="D59" s="8">
        <v>2.44</v>
      </c>
      <c r="E59" s="12">
        <v>3</v>
      </c>
      <c r="F59" s="8">
        <v>2.27</v>
      </c>
      <c r="G59" s="12">
        <v>2</v>
      </c>
      <c r="H59" s="8">
        <v>2.99</v>
      </c>
      <c r="I59" s="12">
        <v>0</v>
      </c>
    </row>
    <row r="60" spans="2:9" ht="15" customHeight="1" x14ac:dyDescent="0.2">
      <c r="B60" t="s">
        <v>211</v>
      </c>
      <c r="C60" s="12">
        <v>5</v>
      </c>
      <c r="D60" s="8">
        <v>2.44</v>
      </c>
      <c r="E60" s="12">
        <v>3</v>
      </c>
      <c r="F60" s="8">
        <v>2.27</v>
      </c>
      <c r="G60" s="12">
        <v>2</v>
      </c>
      <c r="H60" s="8">
        <v>2.99</v>
      </c>
      <c r="I60" s="12">
        <v>0</v>
      </c>
    </row>
    <row r="61" spans="2:9" ht="15" customHeight="1" x14ac:dyDescent="0.2">
      <c r="B61" t="s">
        <v>190</v>
      </c>
      <c r="C61" s="12">
        <v>5</v>
      </c>
      <c r="D61" s="8">
        <v>2.44</v>
      </c>
      <c r="E61" s="12">
        <v>4</v>
      </c>
      <c r="F61" s="8">
        <v>3.03</v>
      </c>
      <c r="G61" s="12">
        <v>1</v>
      </c>
      <c r="H61" s="8">
        <v>1.49</v>
      </c>
      <c r="I61" s="12">
        <v>0</v>
      </c>
    </row>
    <row r="62" spans="2:9" ht="15" customHeight="1" x14ac:dyDescent="0.2">
      <c r="B62" t="s">
        <v>177</v>
      </c>
      <c r="C62" s="12">
        <v>4</v>
      </c>
      <c r="D62" s="8">
        <v>1.95</v>
      </c>
      <c r="E62" s="12">
        <v>0</v>
      </c>
      <c r="F62" s="8">
        <v>0</v>
      </c>
      <c r="G62" s="12">
        <v>4</v>
      </c>
      <c r="H62" s="8">
        <v>5.97</v>
      </c>
      <c r="I62" s="12">
        <v>0</v>
      </c>
    </row>
    <row r="63" spans="2:9" ht="15" customHeight="1" x14ac:dyDescent="0.2">
      <c r="B63" t="s">
        <v>205</v>
      </c>
      <c r="C63" s="12">
        <v>4</v>
      </c>
      <c r="D63" s="8">
        <v>1.95</v>
      </c>
      <c r="E63" s="12">
        <v>2</v>
      </c>
      <c r="F63" s="8">
        <v>1.52</v>
      </c>
      <c r="G63" s="12">
        <v>2</v>
      </c>
      <c r="H63" s="8">
        <v>2.99</v>
      </c>
      <c r="I63" s="12">
        <v>0</v>
      </c>
    </row>
    <row r="64" spans="2:9" ht="15" customHeight="1" x14ac:dyDescent="0.2">
      <c r="B64" t="s">
        <v>215</v>
      </c>
      <c r="C64" s="12">
        <v>4</v>
      </c>
      <c r="D64" s="8">
        <v>1.95</v>
      </c>
      <c r="E64" s="12">
        <v>4</v>
      </c>
      <c r="F64" s="8">
        <v>3.03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216</v>
      </c>
      <c r="C65" s="12">
        <v>4</v>
      </c>
      <c r="D65" s="8">
        <v>1.95</v>
      </c>
      <c r="E65" s="12">
        <v>0</v>
      </c>
      <c r="F65" s="8">
        <v>0</v>
      </c>
      <c r="G65" s="12">
        <v>4</v>
      </c>
      <c r="H65" s="8">
        <v>5.97</v>
      </c>
      <c r="I65" s="12">
        <v>0</v>
      </c>
    </row>
    <row r="66" spans="2:9" ht="15" customHeight="1" x14ac:dyDescent="0.2">
      <c r="B66" t="s">
        <v>183</v>
      </c>
      <c r="C66" s="12">
        <v>4</v>
      </c>
      <c r="D66" s="8">
        <v>1.95</v>
      </c>
      <c r="E66" s="12">
        <v>3</v>
      </c>
      <c r="F66" s="8">
        <v>2.27</v>
      </c>
      <c r="G66" s="12">
        <v>1</v>
      </c>
      <c r="H66" s="8">
        <v>1.49</v>
      </c>
      <c r="I66" s="12">
        <v>0</v>
      </c>
    </row>
    <row r="67" spans="2:9" ht="15" customHeight="1" x14ac:dyDescent="0.2">
      <c r="B67" t="s">
        <v>184</v>
      </c>
      <c r="C67" s="12">
        <v>4</v>
      </c>
      <c r="D67" s="8">
        <v>1.95</v>
      </c>
      <c r="E67" s="12">
        <v>2</v>
      </c>
      <c r="F67" s="8">
        <v>1.52</v>
      </c>
      <c r="G67" s="12">
        <v>1</v>
      </c>
      <c r="H67" s="8">
        <v>1.49</v>
      </c>
      <c r="I67" s="12">
        <v>0</v>
      </c>
    </row>
    <row r="68" spans="2:9" ht="15" customHeight="1" x14ac:dyDescent="0.2">
      <c r="B68" t="s">
        <v>185</v>
      </c>
      <c r="C68" s="12">
        <v>4</v>
      </c>
      <c r="D68" s="8">
        <v>1.95</v>
      </c>
      <c r="E68" s="12">
        <v>2</v>
      </c>
      <c r="F68" s="8">
        <v>1.52</v>
      </c>
      <c r="G68" s="12">
        <v>2</v>
      </c>
      <c r="H68" s="8">
        <v>2.99</v>
      </c>
      <c r="I68" s="12">
        <v>0</v>
      </c>
    </row>
    <row r="69" spans="2:9" ht="15" customHeight="1" x14ac:dyDescent="0.2">
      <c r="B69" t="s">
        <v>189</v>
      </c>
      <c r="C69" s="12">
        <v>4</v>
      </c>
      <c r="D69" s="8">
        <v>1.95</v>
      </c>
      <c r="E69" s="12">
        <v>4</v>
      </c>
      <c r="F69" s="8">
        <v>3.03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192</v>
      </c>
      <c r="C70" s="12">
        <v>4</v>
      </c>
      <c r="D70" s="8">
        <v>1.95</v>
      </c>
      <c r="E70" s="12">
        <v>4</v>
      </c>
      <c r="F70" s="8">
        <v>3.03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193</v>
      </c>
      <c r="C71" s="12">
        <v>4</v>
      </c>
      <c r="D71" s="8">
        <v>1.95</v>
      </c>
      <c r="E71" s="12">
        <v>4</v>
      </c>
      <c r="F71" s="8">
        <v>3.03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E0CCF-0FB9-4B05-9934-918B71DD7001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420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40</v>
      </c>
      <c r="D6" s="8">
        <v>18.18</v>
      </c>
      <c r="E6" s="12">
        <v>19</v>
      </c>
      <c r="F6" s="8">
        <v>12.42</v>
      </c>
      <c r="G6" s="12">
        <v>21</v>
      </c>
      <c r="H6" s="8">
        <v>32.31</v>
      </c>
      <c r="I6" s="12">
        <v>0</v>
      </c>
    </row>
    <row r="7" spans="2:9" ht="15" customHeight="1" x14ac:dyDescent="0.2">
      <c r="B7" t="s">
        <v>80</v>
      </c>
      <c r="C7" s="12">
        <v>40</v>
      </c>
      <c r="D7" s="8">
        <v>18.18</v>
      </c>
      <c r="E7" s="12">
        <v>24</v>
      </c>
      <c r="F7" s="8">
        <v>15.69</v>
      </c>
      <c r="G7" s="12">
        <v>15</v>
      </c>
      <c r="H7" s="8">
        <v>23.08</v>
      </c>
      <c r="I7" s="12">
        <v>1</v>
      </c>
    </row>
    <row r="8" spans="2:9" ht="15" customHeight="1" x14ac:dyDescent="0.2">
      <c r="B8" t="s">
        <v>81</v>
      </c>
      <c r="C8" s="12">
        <v>1</v>
      </c>
      <c r="D8" s="8">
        <v>0.45</v>
      </c>
      <c r="E8" s="12">
        <v>0</v>
      </c>
      <c r="F8" s="8">
        <v>0</v>
      </c>
      <c r="G8" s="12">
        <v>1</v>
      </c>
      <c r="H8" s="8">
        <v>1.54</v>
      </c>
      <c r="I8" s="12">
        <v>0</v>
      </c>
    </row>
    <row r="9" spans="2:9" ht="15" customHeight="1" x14ac:dyDescent="0.2">
      <c r="B9" t="s">
        <v>82</v>
      </c>
      <c r="C9" s="12">
        <v>1</v>
      </c>
      <c r="D9" s="8">
        <v>0.45</v>
      </c>
      <c r="E9" s="12">
        <v>1</v>
      </c>
      <c r="F9" s="8">
        <v>0.65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4</v>
      </c>
      <c r="D10" s="8">
        <v>1.82</v>
      </c>
      <c r="E10" s="12">
        <v>1</v>
      </c>
      <c r="F10" s="8">
        <v>0.65</v>
      </c>
      <c r="G10" s="12">
        <v>2</v>
      </c>
      <c r="H10" s="8">
        <v>3.08</v>
      </c>
      <c r="I10" s="12">
        <v>1</v>
      </c>
    </row>
    <row r="11" spans="2:9" ht="15" customHeight="1" x14ac:dyDescent="0.2">
      <c r="B11" t="s">
        <v>84</v>
      </c>
      <c r="C11" s="12">
        <v>61</v>
      </c>
      <c r="D11" s="8">
        <v>27.73</v>
      </c>
      <c r="E11" s="12">
        <v>48</v>
      </c>
      <c r="F11" s="8">
        <v>31.37</v>
      </c>
      <c r="G11" s="12">
        <v>13</v>
      </c>
      <c r="H11" s="8">
        <v>20</v>
      </c>
      <c r="I11" s="12">
        <v>0</v>
      </c>
    </row>
    <row r="12" spans="2:9" ht="15" customHeight="1" x14ac:dyDescent="0.2">
      <c r="B12" t="s">
        <v>85</v>
      </c>
      <c r="C12" s="12">
        <v>1</v>
      </c>
      <c r="D12" s="8">
        <v>0.45</v>
      </c>
      <c r="E12" s="12">
        <v>0</v>
      </c>
      <c r="F12" s="8">
        <v>0</v>
      </c>
      <c r="G12" s="12">
        <v>1</v>
      </c>
      <c r="H12" s="8">
        <v>1.54</v>
      </c>
      <c r="I12" s="12">
        <v>0</v>
      </c>
    </row>
    <row r="13" spans="2:9" ht="15" customHeight="1" x14ac:dyDescent="0.2">
      <c r="B13" t="s">
        <v>86</v>
      </c>
      <c r="C13" s="12">
        <v>5</v>
      </c>
      <c r="D13" s="8">
        <v>2.27</v>
      </c>
      <c r="E13" s="12">
        <v>2</v>
      </c>
      <c r="F13" s="8">
        <v>1.31</v>
      </c>
      <c r="G13" s="12">
        <v>3</v>
      </c>
      <c r="H13" s="8">
        <v>4.62</v>
      </c>
      <c r="I13" s="12">
        <v>0</v>
      </c>
    </row>
    <row r="14" spans="2:9" ht="15" customHeight="1" x14ac:dyDescent="0.2">
      <c r="B14" t="s">
        <v>87</v>
      </c>
      <c r="C14" s="12">
        <v>7</v>
      </c>
      <c r="D14" s="8">
        <v>3.18</v>
      </c>
      <c r="E14" s="12">
        <v>7</v>
      </c>
      <c r="F14" s="8">
        <v>4.58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88</v>
      </c>
      <c r="C15" s="12">
        <v>35</v>
      </c>
      <c r="D15" s="8">
        <v>15.91</v>
      </c>
      <c r="E15" s="12">
        <v>27</v>
      </c>
      <c r="F15" s="8">
        <v>17.649999999999999</v>
      </c>
      <c r="G15" s="12">
        <v>8</v>
      </c>
      <c r="H15" s="8">
        <v>12.31</v>
      </c>
      <c r="I15" s="12">
        <v>0</v>
      </c>
    </row>
    <row r="16" spans="2:9" ht="15" customHeight="1" x14ac:dyDescent="0.2">
      <c r="B16" t="s">
        <v>89</v>
      </c>
      <c r="C16" s="12">
        <v>11</v>
      </c>
      <c r="D16" s="8">
        <v>5</v>
      </c>
      <c r="E16" s="12">
        <v>11</v>
      </c>
      <c r="F16" s="8">
        <v>7.19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90</v>
      </c>
      <c r="C17" s="12">
        <v>4</v>
      </c>
      <c r="D17" s="8">
        <v>1.82</v>
      </c>
      <c r="E17" s="12">
        <v>4</v>
      </c>
      <c r="F17" s="8">
        <v>2.61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3</v>
      </c>
      <c r="D18" s="8">
        <v>1.36</v>
      </c>
      <c r="E18" s="12">
        <v>3</v>
      </c>
      <c r="F18" s="8">
        <v>1.96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92</v>
      </c>
      <c r="C19" s="12">
        <v>7</v>
      </c>
      <c r="D19" s="8">
        <v>3.18</v>
      </c>
      <c r="E19" s="12">
        <v>6</v>
      </c>
      <c r="F19" s="8">
        <v>3.92</v>
      </c>
      <c r="G19" s="12">
        <v>1</v>
      </c>
      <c r="H19" s="8">
        <v>1.54</v>
      </c>
      <c r="I19" s="12">
        <v>0</v>
      </c>
    </row>
    <row r="20" spans="2:9" ht="15" customHeight="1" x14ac:dyDescent="0.2">
      <c r="B20" s="9" t="s">
        <v>363</v>
      </c>
      <c r="C20" s="12">
        <f>SUM(LTBL_20423[総数／事業所数])</f>
        <v>220</v>
      </c>
      <c r="E20" s="12">
        <f>SUBTOTAL(109,LTBL_20423[個人／事業所数])</f>
        <v>153</v>
      </c>
      <c r="G20" s="12">
        <f>SUBTOTAL(109,LTBL_20423[法人／事業所数])</f>
        <v>65</v>
      </c>
      <c r="I20" s="12">
        <f>SUBTOTAL(109,LTBL_20423[法人以外の団体／事業所数])</f>
        <v>2</v>
      </c>
    </row>
    <row r="21" spans="2:9" ht="15" customHeight="1" x14ac:dyDescent="0.2">
      <c r="E21" s="11">
        <f>LTBL_20423[[#Totals],[個人／事業所数]]/LTBL_20423[[#Totals],[総数／事業所数]]</f>
        <v>0.69545454545454544</v>
      </c>
      <c r="G21" s="11">
        <f>LTBL_20423[[#Totals],[法人／事業所数]]/LTBL_20423[[#Totals],[総数／事業所数]]</f>
        <v>0.29545454545454547</v>
      </c>
      <c r="I21" s="11">
        <f>LTBL_20423[[#Totals],[法人以外の団体／事業所数]]/LTBL_20423[[#Totals],[総数／事業所数]]</f>
        <v>9.0909090909090905E-3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110</v>
      </c>
      <c r="C24" s="12">
        <v>25</v>
      </c>
      <c r="D24" s="8">
        <v>11.36</v>
      </c>
      <c r="E24" s="12">
        <v>21</v>
      </c>
      <c r="F24" s="8">
        <v>13.73</v>
      </c>
      <c r="G24" s="12">
        <v>4</v>
      </c>
      <c r="H24" s="8">
        <v>6.15</v>
      </c>
      <c r="I24" s="12">
        <v>0</v>
      </c>
    </row>
    <row r="25" spans="2:9" ht="15" customHeight="1" x14ac:dyDescent="0.2">
      <c r="B25" t="s">
        <v>137</v>
      </c>
      <c r="C25" s="12">
        <v>24</v>
      </c>
      <c r="D25" s="8">
        <v>10.91</v>
      </c>
      <c r="E25" s="12">
        <v>14</v>
      </c>
      <c r="F25" s="8">
        <v>9.15</v>
      </c>
      <c r="G25" s="12">
        <v>10</v>
      </c>
      <c r="H25" s="8">
        <v>15.38</v>
      </c>
      <c r="I25" s="12">
        <v>0</v>
      </c>
    </row>
    <row r="26" spans="2:9" ht="15" customHeight="1" x14ac:dyDescent="0.2">
      <c r="B26" t="s">
        <v>101</v>
      </c>
      <c r="C26" s="12">
        <v>21</v>
      </c>
      <c r="D26" s="8">
        <v>9.5500000000000007</v>
      </c>
      <c r="E26" s="12">
        <v>5</v>
      </c>
      <c r="F26" s="8">
        <v>3.27</v>
      </c>
      <c r="G26" s="12">
        <v>16</v>
      </c>
      <c r="H26" s="8">
        <v>24.62</v>
      </c>
      <c r="I26" s="12">
        <v>0</v>
      </c>
    </row>
    <row r="27" spans="2:9" ht="15" customHeight="1" x14ac:dyDescent="0.2">
      <c r="B27" t="s">
        <v>115</v>
      </c>
      <c r="C27" s="12">
        <v>18</v>
      </c>
      <c r="D27" s="8">
        <v>8.18</v>
      </c>
      <c r="E27" s="12">
        <v>15</v>
      </c>
      <c r="F27" s="8">
        <v>9.8000000000000007</v>
      </c>
      <c r="G27" s="12">
        <v>3</v>
      </c>
      <c r="H27" s="8">
        <v>4.62</v>
      </c>
      <c r="I27" s="12">
        <v>0</v>
      </c>
    </row>
    <row r="28" spans="2:9" ht="15" customHeight="1" x14ac:dyDescent="0.2">
      <c r="B28" t="s">
        <v>114</v>
      </c>
      <c r="C28" s="12">
        <v>17</v>
      </c>
      <c r="D28" s="8">
        <v>7.73</v>
      </c>
      <c r="E28" s="12">
        <v>12</v>
      </c>
      <c r="F28" s="8">
        <v>7.84</v>
      </c>
      <c r="G28" s="12">
        <v>5</v>
      </c>
      <c r="H28" s="8">
        <v>7.69</v>
      </c>
      <c r="I28" s="12">
        <v>0</v>
      </c>
    </row>
    <row r="29" spans="2:9" ht="15" customHeight="1" x14ac:dyDescent="0.2">
      <c r="B29" t="s">
        <v>108</v>
      </c>
      <c r="C29" s="12">
        <v>15</v>
      </c>
      <c r="D29" s="8">
        <v>6.82</v>
      </c>
      <c r="E29" s="12">
        <v>13</v>
      </c>
      <c r="F29" s="8">
        <v>8.5</v>
      </c>
      <c r="G29" s="12">
        <v>2</v>
      </c>
      <c r="H29" s="8">
        <v>3.08</v>
      </c>
      <c r="I29" s="12">
        <v>0</v>
      </c>
    </row>
    <row r="30" spans="2:9" ht="15" customHeight="1" x14ac:dyDescent="0.2">
      <c r="B30" t="s">
        <v>102</v>
      </c>
      <c r="C30" s="12">
        <v>10</v>
      </c>
      <c r="D30" s="8">
        <v>4.55</v>
      </c>
      <c r="E30" s="12">
        <v>9</v>
      </c>
      <c r="F30" s="8">
        <v>5.88</v>
      </c>
      <c r="G30" s="12">
        <v>1</v>
      </c>
      <c r="H30" s="8">
        <v>1.54</v>
      </c>
      <c r="I30" s="12">
        <v>0</v>
      </c>
    </row>
    <row r="31" spans="2:9" ht="15" customHeight="1" x14ac:dyDescent="0.2">
      <c r="B31" t="s">
        <v>116</v>
      </c>
      <c r="C31" s="12">
        <v>10</v>
      </c>
      <c r="D31" s="8">
        <v>4.55</v>
      </c>
      <c r="E31" s="12">
        <v>10</v>
      </c>
      <c r="F31" s="8">
        <v>6.54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103</v>
      </c>
      <c r="C32" s="12">
        <v>9</v>
      </c>
      <c r="D32" s="8">
        <v>4.09</v>
      </c>
      <c r="E32" s="12">
        <v>5</v>
      </c>
      <c r="F32" s="8">
        <v>3.27</v>
      </c>
      <c r="G32" s="12">
        <v>4</v>
      </c>
      <c r="H32" s="8">
        <v>6.15</v>
      </c>
      <c r="I32" s="12">
        <v>0</v>
      </c>
    </row>
    <row r="33" spans="2:9" ht="15" customHeight="1" x14ac:dyDescent="0.2">
      <c r="B33" t="s">
        <v>121</v>
      </c>
      <c r="C33" s="12">
        <v>6</v>
      </c>
      <c r="D33" s="8">
        <v>2.73</v>
      </c>
      <c r="E33" s="12">
        <v>2</v>
      </c>
      <c r="F33" s="8">
        <v>1.31</v>
      </c>
      <c r="G33" s="12">
        <v>4</v>
      </c>
      <c r="H33" s="8">
        <v>6.15</v>
      </c>
      <c r="I33" s="12">
        <v>0</v>
      </c>
    </row>
    <row r="34" spans="2:9" ht="15" customHeight="1" x14ac:dyDescent="0.2">
      <c r="B34" t="s">
        <v>109</v>
      </c>
      <c r="C34" s="12">
        <v>6</v>
      </c>
      <c r="D34" s="8">
        <v>2.73</v>
      </c>
      <c r="E34" s="12">
        <v>5</v>
      </c>
      <c r="F34" s="8">
        <v>3.27</v>
      </c>
      <c r="G34" s="12">
        <v>1</v>
      </c>
      <c r="H34" s="8">
        <v>1.54</v>
      </c>
      <c r="I34" s="12">
        <v>0</v>
      </c>
    </row>
    <row r="35" spans="2:9" ht="15" customHeight="1" x14ac:dyDescent="0.2">
      <c r="B35" t="s">
        <v>127</v>
      </c>
      <c r="C35" s="12">
        <v>4</v>
      </c>
      <c r="D35" s="8">
        <v>1.82</v>
      </c>
      <c r="E35" s="12">
        <v>3</v>
      </c>
      <c r="F35" s="8">
        <v>1.96</v>
      </c>
      <c r="G35" s="12">
        <v>1</v>
      </c>
      <c r="H35" s="8">
        <v>1.54</v>
      </c>
      <c r="I35" s="12">
        <v>0</v>
      </c>
    </row>
    <row r="36" spans="2:9" ht="15" customHeight="1" x14ac:dyDescent="0.2">
      <c r="B36" t="s">
        <v>111</v>
      </c>
      <c r="C36" s="12">
        <v>4</v>
      </c>
      <c r="D36" s="8">
        <v>1.82</v>
      </c>
      <c r="E36" s="12">
        <v>2</v>
      </c>
      <c r="F36" s="8">
        <v>1.31</v>
      </c>
      <c r="G36" s="12">
        <v>2</v>
      </c>
      <c r="H36" s="8">
        <v>3.08</v>
      </c>
      <c r="I36" s="12">
        <v>0</v>
      </c>
    </row>
    <row r="37" spans="2:9" ht="15" customHeight="1" x14ac:dyDescent="0.2">
      <c r="B37" t="s">
        <v>112</v>
      </c>
      <c r="C37" s="12">
        <v>4</v>
      </c>
      <c r="D37" s="8">
        <v>1.82</v>
      </c>
      <c r="E37" s="12">
        <v>4</v>
      </c>
      <c r="F37" s="8">
        <v>2.61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117</v>
      </c>
      <c r="C38" s="12">
        <v>4</v>
      </c>
      <c r="D38" s="8">
        <v>1.82</v>
      </c>
      <c r="E38" s="12">
        <v>4</v>
      </c>
      <c r="F38" s="8">
        <v>2.61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130</v>
      </c>
      <c r="C39" s="12">
        <v>3</v>
      </c>
      <c r="D39" s="8">
        <v>1.36</v>
      </c>
      <c r="E39" s="12">
        <v>3</v>
      </c>
      <c r="F39" s="8">
        <v>1.96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135</v>
      </c>
      <c r="C40" s="12">
        <v>3</v>
      </c>
      <c r="D40" s="8">
        <v>1.36</v>
      </c>
      <c r="E40" s="12">
        <v>1</v>
      </c>
      <c r="F40" s="8">
        <v>0.65</v>
      </c>
      <c r="G40" s="12">
        <v>2</v>
      </c>
      <c r="H40" s="8">
        <v>3.08</v>
      </c>
      <c r="I40" s="12">
        <v>0</v>
      </c>
    </row>
    <row r="41" spans="2:9" ht="15" customHeight="1" x14ac:dyDescent="0.2">
      <c r="B41" t="s">
        <v>122</v>
      </c>
      <c r="C41" s="12">
        <v>3</v>
      </c>
      <c r="D41" s="8">
        <v>1.36</v>
      </c>
      <c r="E41" s="12">
        <v>3</v>
      </c>
      <c r="F41" s="8">
        <v>1.96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107</v>
      </c>
      <c r="C42" s="12">
        <v>3</v>
      </c>
      <c r="D42" s="8">
        <v>1.36</v>
      </c>
      <c r="E42" s="12">
        <v>2</v>
      </c>
      <c r="F42" s="8">
        <v>1.31</v>
      </c>
      <c r="G42" s="12">
        <v>1</v>
      </c>
      <c r="H42" s="8">
        <v>1.54</v>
      </c>
      <c r="I42" s="12">
        <v>0</v>
      </c>
    </row>
    <row r="43" spans="2:9" ht="15" customHeight="1" x14ac:dyDescent="0.2">
      <c r="B43" t="s">
        <v>118</v>
      </c>
      <c r="C43" s="12">
        <v>3</v>
      </c>
      <c r="D43" s="8">
        <v>1.36</v>
      </c>
      <c r="E43" s="12">
        <v>3</v>
      </c>
      <c r="F43" s="8">
        <v>1.96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120</v>
      </c>
      <c r="C44" s="12">
        <v>3</v>
      </c>
      <c r="D44" s="8">
        <v>1.36</v>
      </c>
      <c r="E44" s="12">
        <v>3</v>
      </c>
      <c r="F44" s="8">
        <v>1.96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365</v>
      </c>
      <c r="C47" s="10" t="s">
        <v>94</v>
      </c>
      <c r="D47" s="10" t="s">
        <v>95</v>
      </c>
      <c r="E47" s="10" t="s">
        <v>96</v>
      </c>
      <c r="F47" s="10" t="s">
        <v>97</v>
      </c>
      <c r="G47" s="10" t="s">
        <v>98</v>
      </c>
      <c r="H47" s="10" t="s">
        <v>99</v>
      </c>
      <c r="I47" s="10" t="s">
        <v>100</v>
      </c>
    </row>
    <row r="48" spans="2:9" ht="15" customHeight="1" x14ac:dyDescent="0.2">
      <c r="B48" t="s">
        <v>181</v>
      </c>
      <c r="C48" s="12">
        <v>16</v>
      </c>
      <c r="D48" s="8">
        <v>7.27</v>
      </c>
      <c r="E48" s="12">
        <v>16</v>
      </c>
      <c r="F48" s="8">
        <v>10.46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185</v>
      </c>
      <c r="C49" s="12">
        <v>14</v>
      </c>
      <c r="D49" s="8">
        <v>6.36</v>
      </c>
      <c r="E49" s="12">
        <v>10</v>
      </c>
      <c r="F49" s="8">
        <v>6.54</v>
      </c>
      <c r="G49" s="12">
        <v>4</v>
      </c>
      <c r="H49" s="8">
        <v>6.15</v>
      </c>
      <c r="I49" s="12">
        <v>0</v>
      </c>
    </row>
    <row r="50" spans="2:9" ht="15" customHeight="1" x14ac:dyDescent="0.2">
      <c r="B50" t="s">
        <v>298</v>
      </c>
      <c r="C50" s="12">
        <v>11</v>
      </c>
      <c r="D50" s="8">
        <v>5</v>
      </c>
      <c r="E50" s="12">
        <v>6</v>
      </c>
      <c r="F50" s="8">
        <v>3.92</v>
      </c>
      <c r="G50" s="12">
        <v>5</v>
      </c>
      <c r="H50" s="8">
        <v>7.69</v>
      </c>
      <c r="I50" s="12">
        <v>0</v>
      </c>
    </row>
    <row r="51" spans="2:9" ht="15" customHeight="1" x14ac:dyDescent="0.2">
      <c r="B51" t="s">
        <v>174</v>
      </c>
      <c r="C51" s="12">
        <v>10</v>
      </c>
      <c r="D51" s="8">
        <v>4.55</v>
      </c>
      <c r="E51" s="12">
        <v>0</v>
      </c>
      <c r="F51" s="8">
        <v>0</v>
      </c>
      <c r="G51" s="12">
        <v>10</v>
      </c>
      <c r="H51" s="8">
        <v>15.38</v>
      </c>
      <c r="I51" s="12">
        <v>0</v>
      </c>
    </row>
    <row r="52" spans="2:9" ht="15" customHeight="1" x14ac:dyDescent="0.2">
      <c r="B52" t="s">
        <v>230</v>
      </c>
      <c r="C52" s="12">
        <v>8</v>
      </c>
      <c r="D52" s="8">
        <v>3.64</v>
      </c>
      <c r="E52" s="12">
        <v>3</v>
      </c>
      <c r="F52" s="8">
        <v>1.96</v>
      </c>
      <c r="G52" s="12">
        <v>5</v>
      </c>
      <c r="H52" s="8">
        <v>7.69</v>
      </c>
      <c r="I52" s="12">
        <v>0</v>
      </c>
    </row>
    <row r="53" spans="2:9" ht="15" customHeight="1" x14ac:dyDescent="0.2">
      <c r="B53" t="s">
        <v>175</v>
      </c>
      <c r="C53" s="12">
        <v>7</v>
      </c>
      <c r="D53" s="8">
        <v>3.18</v>
      </c>
      <c r="E53" s="12">
        <v>3</v>
      </c>
      <c r="F53" s="8">
        <v>1.96</v>
      </c>
      <c r="G53" s="12">
        <v>4</v>
      </c>
      <c r="H53" s="8">
        <v>6.15</v>
      </c>
      <c r="I53" s="12">
        <v>0</v>
      </c>
    </row>
    <row r="54" spans="2:9" ht="15" customHeight="1" x14ac:dyDescent="0.2">
      <c r="B54" t="s">
        <v>177</v>
      </c>
      <c r="C54" s="12">
        <v>6</v>
      </c>
      <c r="D54" s="8">
        <v>2.73</v>
      </c>
      <c r="E54" s="12">
        <v>4</v>
      </c>
      <c r="F54" s="8">
        <v>2.61</v>
      </c>
      <c r="G54" s="12">
        <v>2</v>
      </c>
      <c r="H54" s="8">
        <v>3.08</v>
      </c>
      <c r="I54" s="12">
        <v>0</v>
      </c>
    </row>
    <row r="55" spans="2:9" ht="15" customHeight="1" x14ac:dyDescent="0.2">
      <c r="B55" t="s">
        <v>211</v>
      </c>
      <c r="C55" s="12">
        <v>6</v>
      </c>
      <c r="D55" s="8">
        <v>2.73</v>
      </c>
      <c r="E55" s="12">
        <v>2</v>
      </c>
      <c r="F55" s="8">
        <v>1.31</v>
      </c>
      <c r="G55" s="12">
        <v>4</v>
      </c>
      <c r="H55" s="8">
        <v>6.15</v>
      </c>
      <c r="I55" s="12">
        <v>0</v>
      </c>
    </row>
    <row r="56" spans="2:9" ht="15" customHeight="1" x14ac:dyDescent="0.2">
      <c r="B56" t="s">
        <v>216</v>
      </c>
      <c r="C56" s="12">
        <v>6</v>
      </c>
      <c r="D56" s="8">
        <v>2.73</v>
      </c>
      <c r="E56" s="12">
        <v>2</v>
      </c>
      <c r="F56" s="8">
        <v>1.31</v>
      </c>
      <c r="G56" s="12">
        <v>4</v>
      </c>
      <c r="H56" s="8">
        <v>6.15</v>
      </c>
      <c r="I56" s="12">
        <v>0</v>
      </c>
    </row>
    <row r="57" spans="2:9" ht="15" customHeight="1" x14ac:dyDescent="0.2">
      <c r="B57" t="s">
        <v>186</v>
      </c>
      <c r="C57" s="12">
        <v>6</v>
      </c>
      <c r="D57" s="8">
        <v>2.73</v>
      </c>
      <c r="E57" s="12">
        <v>5</v>
      </c>
      <c r="F57" s="8">
        <v>3.27</v>
      </c>
      <c r="G57" s="12">
        <v>1</v>
      </c>
      <c r="H57" s="8">
        <v>1.54</v>
      </c>
      <c r="I57" s="12">
        <v>0</v>
      </c>
    </row>
    <row r="58" spans="2:9" ht="15" customHeight="1" x14ac:dyDescent="0.2">
      <c r="B58" t="s">
        <v>198</v>
      </c>
      <c r="C58" s="12">
        <v>6</v>
      </c>
      <c r="D58" s="8">
        <v>2.73</v>
      </c>
      <c r="E58" s="12">
        <v>4</v>
      </c>
      <c r="F58" s="8">
        <v>2.61</v>
      </c>
      <c r="G58" s="12">
        <v>2</v>
      </c>
      <c r="H58" s="8">
        <v>3.08</v>
      </c>
      <c r="I58" s="12">
        <v>0</v>
      </c>
    </row>
    <row r="59" spans="2:9" ht="15" customHeight="1" x14ac:dyDescent="0.2">
      <c r="B59" t="s">
        <v>318</v>
      </c>
      <c r="C59" s="12">
        <v>5</v>
      </c>
      <c r="D59" s="8">
        <v>2.27</v>
      </c>
      <c r="E59" s="12">
        <v>5</v>
      </c>
      <c r="F59" s="8">
        <v>3.27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214</v>
      </c>
      <c r="C60" s="12">
        <v>5</v>
      </c>
      <c r="D60" s="8">
        <v>2.27</v>
      </c>
      <c r="E60" s="12">
        <v>5</v>
      </c>
      <c r="F60" s="8">
        <v>3.27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197</v>
      </c>
      <c r="C61" s="12">
        <v>5</v>
      </c>
      <c r="D61" s="8">
        <v>2.27</v>
      </c>
      <c r="E61" s="12">
        <v>3</v>
      </c>
      <c r="F61" s="8">
        <v>1.96</v>
      </c>
      <c r="G61" s="12">
        <v>2</v>
      </c>
      <c r="H61" s="8">
        <v>3.08</v>
      </c>
      <c r="I61" s="12">
        <v>0</v>
      </c>
    </row>
    <row r="62" spans="2:9" ht="15" customHeight="1" x14ac:dyDescent="0.2">
      <c r="B62" t="s">
        <v>190</v>
      </c>
      <c r="C62" s="12">
        <v>5</v>
      </c>
      <c r="D62" s="8">
        <v>2.27</v>
      </c>
      <c r="E62" s="12">
        <v>5</v>
      </c>
      <c r="F62" s="8">
        <v>3.27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210</v>
      </c>
      <c r="C63" s="12">
        <v>4</v>
      </c>
      <c r="D63" s="8">
        <v>1.82</v>
      </c>
      <c r="E63" s="12">
        <v>4</v>
      </c>
      <c r="F63" s="8">
        <v>2.61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180</v>
      </c>
      <c r="C64" s="12">
        <v>4</v>
      </c>
      <c r="D64" s="8">
        <v>1.82</v>
      </c>
      <c r="E64" s="12">
        <v>3</v>
      </c>
      <c r="F64" s="8">
        <v>1.96</v>
      </c>
      <c r="G64" s="12">
        <v>1</v>
      </c>
      <c r="H64" s="8">
        <v>1.54</v>
      </c>
      <c r="I64" s="12">
        <v>0</v>
      </c>
    </row>
    <row r="65" spans="2:9" ht="15" customHeight="1" x14ac:dyDescent="0.2">
      <c r="B65" t="s">
        <v>191</v>
      </c>
      <c r="C65" s="12">
        <v>4</v>
      </c>
      <c r="D65" s="8">
        <v>1.82</v>
      </c>
      <c r="E65" s="12">
        <v>4</v>
      </c>
      <c r="F65" s="8">
        <v>2.61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178</v>
      </c>
      <c r="C66" s="12">
        <v>3</v>
      </c>
      <c r="D66" s="8">
        <v>1.36</v>
      </c>
      <c r="E66" s="12">
        <v>1</v>
      </c>
      <c r="F66" s="8">
        <v>0.65</v>
      </c>
      <c r="G66" s="12">
        <v>2</v>
      </c>
      <c r="H66" s="8">
        <v>3.08</v>
      </c>
      <c r="I66" s="12">
        <v>0</v>
      </c>
    </row>
    <row r="67" spans="2:9" ht="15" customHeight="1" x14ac:dyDescent="0.2">
      <c r="B67" t="s">
        <v>319</v>
      </c>
      <c r="C67" s="12">
        <v>3</v>
      </c>
      <c r="D67" s="8">
        <v>1.36</v>
      </c>
      <c r="E67" s="12">
        <v>3</v>
      </c>
      <c r="F67" s="8">
        <v>1.96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179</v>
      </c>
      <c r="C68" s="12">
        <v>3</v>
      </c>
      <c r="D68" s="8">
        <v>1.36</v>
      </c>
      <c r="E68" s="12">
        <v>3</v>
      </c>
      <c r="F68" s="8">
        <v>1.96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192</v>
      </c>
      <c r="C69" s="12">
        <v>3</v>
      </c>
      <c r="D69" s="8">
        <v>1.36</v>
      </c>
      <c r="E69" s="12">
        <v>3</v>
      </c>
      <c r="F69" s="8">
        <v>1.96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200</v>
      </c>
      <c r="C70" s="12">
        <v>3</v>
      </c>
      <c r="D70" s="8">
        <v>1.36</v>
      </c>
      <c r="E70" s="12">
        <v>3</v>
      </c>
      <c r="F70" s="8">
        <v>1.96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4B44E-91E2-4D70-86F1-DE55D0A82EF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367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0.02</v>
      </c>
      <c r="I5" s="12">
        <v>0</v>
      </c>
    </row>
    <row r="6" spans="2:9" ht="15" customHeight="1" x14ac:dyDescent="0.2">
      <c r="B6" t="s">
        <v>79</v>
      </c>
      <c r="C6" s="12">
        <v>1426</v>
      </c>
      <c r="D6" s="8">
        <v>14.07</v>
      </c>
      <c r="E6" s="12">
        <v>373</v>
      </c>
      <c r="F6" s="8">
        <v>7.99</v>
      </c>
      <c r="G6" s="12">
        <v>1053</v>
      </c>
      <c r="H6" s="8">
        <v>19.59</v>
      </c>
      <c r="I6" s="12">
        <v>0</v>
      </c>
    </row>
    <row r="7" spans="2:9" ht="15" customHeight="1" x14ac:dyDescent="0.2">
      <c r="B7" t="s">
        <v>80</v>
      </c>
      <c r="C7" s="12">
        <v>595</v>
      </c>
      <c r="D7" s="8">
        <v>5.87</v>
      </c>
      <c r="E7" s="12">
        <v>173</v>
      </c>
      <c r="F7" s="8">
        <v>3.7</v>
      </c>
      <c r="G7" s="12">
        <v>421</v>
      </c>
      <c r="H7" s="8">
        <v>7.83</v>
      </c>
      <c r="I7" s="12">
        <v>0</v>
      </c>
    </row>
    <row r="8" spans="2:9" ht="15" customHeight="1" x14ac:dyDescent="0.2">
      <c r="B8" t="s">
        <v>81</v>
      </c>
      <c r="C8" s="12">
        <v>22</v>
      </c>
      <c r="D8" s="8">
        <v>0.22</v>
      </c>
      <c r="E8" s="12">
        <v>1</v>
      </c>
      <c r="F8" s="8">
        <v>0.02</v>
      </c>
      <c r="G8" s="12">
        <v>19</v>
      </c>
      <c r="H8" s="8">
        <v>0.35</v>
      </c>
      <c r="I8" s="12">
        <v>0</v>
      </c>
    </row>
    <row r="9" spans="2:9" ht="15" customHeight="1" x14ac:dyDescent="0.2">
      <c r="B9" t="s">
        <v>82</v>
      </c>
      <c r="C9" s="12">
        <v>133</v>
      </c>
      <c r="D9" s="8">
        <v>1.31</v>
      </c>
      <c r="E9" s="12">
        <v>10</v>
      </c>
      <c r="F9" s="8">
        <v>0.21</v>
      </c>
      <c r="G9" s="12">
        <v>120</v>
      </c>
      <c r="H9" s="8">
        <v>2.23</v>
      </c>
      <c r="I9" s="12">
        <v>3</v>
      </c>
    </row>
    <row r="10" spans="2:9" ht="15" customHeight="1" x14ac:dyDescent="0.2">
      <c r="B10" t="s">
        <v>83</v>
      </c>
      <c r="C10" s="12">
        <v>92</v>
      </c>
      <c r="D10" s="8">
        <v>0.91</v>
      </c>
      <c r="E10" s="12">
        <v>26</v>
      </c>
      <c r="F10" s="8">
        <v>0.56000000000000005</v>
      </c>
      <c r="G10" s="12">
        <v>65</v>
      </c>
      <c r="H10" s="8">
        <v>1.21</v>
      </c>
      <c r="I10" s="12">
        <v>1</v>
      </c>
    </row>
    <row r="11" spans="2:9" ht="15" customHeight="1" x14ac:dyDescent="0.2">
      <c r="B11" t="s">
        <v>84</v>
      </c>
      <c r="C11" s="12">
        <v>2175</v>
      </c>
      <c r="D11" s="8">
        <v>21.46</v>
      </c>
      <c r="E11" s="12">
        <v>700</v>
      </c>
      <c r="F11" s="8">
        <v>14.99</v>
      </c>
      <c r="G11" s="12">
        <v>1470</v>
      </c>
      <c r="H11" s="8">
        <v>27.35</v>
      </c>
      <c r="I11" s="12">
        <v>4</v>
      </c>
    </row>
    <row r="12" spans="2:9" ht="15" customHeight="1" x14ac:dyDescent="0.2">
      <c r="B12" t="s">
        <v>85</v>
      </c>
      <c r="C12" s="12">
        <v>94</v>
      </c>
      <c r="D12" s="8">
        <v>0.93</v>
      </c>
      <c r="E12" s="12">
        <v>4</v>
      </c>
      <c r="F12" s="8">
        <v>0.09</v>
      </c>
      <c r="G12" s="12">
        <v>88</v>
      </c>
      <c r="H12" s="8">
        <v>1.64</v>
      </c>
      <c r="I12" s="12">
        <v>1</v>
      </c>
    </row>
    <row r="13" spans="2:9" ht="15" customHeight="1" x14ac:dyDescent="0.2">
      <c r="B13" t="s">
        <v>86</v>
      </c>
      <c r="C13" s="12">
        <v>1590</v>
      </c>
      <c r="D13" s="8">
        <v>15.69</v>
      </c>
      <c r="E13" s="12">
        <v>897</v>
      </c>
      <c r="F13" s="8">
        <v>19.2</v>
      </c>
      <c r="G13" s="12">
        <v>690</v>
      </c>
      <c r="H13" s="8">
        <v>12.84</v>
      </c>
      <c r="I13" s="12">
        <v>0</v>
      </c>
    </row>
    <row r="14" spans="2:9" ht="15" customHeight="1" x14ac:dyDescent="0.2">
      <c r="B14" t="s">
        <v>87</v>
      </c>
      <c r="C14" s="12">
        <v>629</v>
      </c>
      <c r="D14" s="8">
        <v>6.21</v>
      </c>
      <c r="E14" s="12">
        <v>302</v>
      </c>
      <c r="F14" s="8">
        <v>6.47</v>
      </c>
      <c r="G14" s="12">
        <v>322</v>
      </c>
      <c r="H14" s="8">
        <v>5.99</v>
      </c>
      <c r="I14" s="12">
        <v>1</v>
      </c>
    </row>
    <row r="15" spans="2:9" ht="15" customHeight="1" x14ac:dyDescent="0.2">
      <c r="B15" t="s">
        <v>88</v>
      </c>
      <c r="C15" s="12">
        <v>1116</v>
      </c>
      <c r="D15" s="8">
        <v>11.01</v>
      </c>
      <c r="E15" s="12">
        <v>820</v>
      </c>
      <c r="F15" s="8">
        <v>17.559999999999999</v>
      </c>
      <c r="G15" s="12">
        <v>296</v>
      </c>
      <c r="H15" s="8">
        <v>5.51</v>
      </c>
      <c r="I15" s="12">
        <v>0</v>
      </c>
    </row>
    <row r="16" spans="2:9" ht="15" customHeight="1" x14ac:dyDescent="0.2">
      <c r="B16" t="s">
        <v>89</v>
      </c>
      <c r="C16" s="12">
        <v>1098</v>
      </c>
      <c r="D16" s="8">
        <v>10.83</v>
      </c>
      <c r="E16" s="12">
        <v>809</v>
      </c>
      <c r="F16" s="8">
        <v>17.32</v>
      </c>
      <c r="G16" s="12">
        <v>282</v>
      </c>
      <c r="H16" s="8">
        <v>5.25</v>
      </c>
      <c r="I16" s="12">
        <v>1</v>
      </c>
    </row>
    <row r="17" spans="2:9" ht="15" customHeight="1" x14ac:dyDescent="0.2">
      <c r="B17" t="s">
        <v>90</v>
      </c>
      <c r="C17" s="12">
        <v>348</v>
      </c>
      <c r="D17" s="8">
        <v>3.43</v>
      </c>
      <c r="E17" s="12">
        <v>202</v>
      </c>
      <c r="F17" s="8">
        <v>4.32</v>
      </c>
      <c r="G17" s="12">
        <v>118</v>
      </c>
      <c r="H17" s="8">
        <v>2.2000000000000002</v>
      </c>
      <c r="I17" s="12">
        <v>1</v>
      </c>
    </row>
    <row r="18" spans="2:9" ht="15" customHeight="1" x14ac:dyDescent="0.2">
      <c r="B18" t="s">
        <v>91</v>
      </c>
      <c r="C18" s="12">
        <v>463</v>
      </c>
      <c r="D18" s="8">
        <v>4.57</v>
      </c>
      <c r="E18" s="12">
        <v>265</v>
      </c>
      <c r="F18" s="8">
        <v>5.67</v>
      </c>
      <c r="G18" s="12">
        <v>185</v>
      </c>
      <c r="H18" s="8">
        <v>3.44</v>
      </c>
      <c r="I18" s="12">
        <v>3</v>
      </c>
    </row>
    <row r="19" spans="2:9" ht="15" customHeight="1" x14ac:dyDescent="0.2">
      <c r="B19" t="s">
        <v>92</v>
      </c>
      <c r="C19" s="12">
        <v>352</v>
      </c>
      <c r="D19" s="8">
        <v>3.47</v>
      </c>
      <c r="E19" s="12">
        <v>89</v>
      </c>
      <c r="F19" s="8">
        <v>1.91</v>
      </c>
      <c r="G19" s="12">
        <v>244</v>
      </c>
      <c r="H19" s="8">
        <v>4.54</v>
      </c>
      <c r="I19" s="12">
        <v>11</v>
      </c>
    </row>
    <row r="20" spans="2:9" ht="15" customHeight="1" x14ac:dyDescent="0.2">
      <c r="B20" s="9" t="s">
        <v>363</v>
      </c>
      <c r="C20" s="12">
        <f>SUM(LTBL_20201[総数／事業所数])</f>
        <v>10134</v>
      </c>
      <c r="E20" s="12">
        <f>SUBTOTAL(109,LTBL_20201[個人／事業所数])</f>
        <v>4671</v>
      </c>
      <c r="G20" s="12">
        <f>SUBTOTAL(109,LTBL_20201[法人／事業所数])</f>
        <v>5374</v>
      </c>
      <c r="I20" s="12">
        <f>SUBTOTAL(109,LTBL_20201[法人以外の団体／事業所数])</f>
        <v>26</v>
      </c>
    </row>
    <row r="21" spans="2:9" ht="15" customHeight="1" x14ac:dyDescent="0.2">
      <c r="E21" s="11">
        <f>LTBL_20201[[#Totals],[個人／事業所数]]/LTBL_20201[[#Totals],[総数／事業所数]]</f>
        <v>0.46092362344582594</v>
      </c>
      <c r="G21" s="11">
        <f>LTBL_20201[[#Totals],[法人／事業所数]]/LTBL_20201[[#Totals],[総数／事業所数]]</f>
        <v>0.53029405960134202</v>
      </c>
      <c r="I21" s="11">
        <f>LTBL_20201[[#Totals],[法人以外の団体／事業所数]]/LTBL_20201[[#Totals],[総数／事業所数]]</f>
        <v>2.5656206828498125E-3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111</v>
      </c>
      <c r="C24" s="12">
        <v>1416</v>
      </c>
      <c r="D24" s="8">
        <v>13.97</v>
      </c>
      <c r="E24" s="12">
        <v>885</v>
      </c>
      <c r="F24" s="8">
        <v>18.95</v>
      </c>
      <c r="G24" s="12">
        <v>528</v>
      </c>
      <c r="H24" s="8">
        <v>9.83</v>
      </c>
      <c r="I24" s="12">
        <v>0</v>
      </c>
    </row>
    <row r="25" spans="2:9" ht="15" customHeight="1" x14ac:dyDescent="0.2">
      <c r="B25" t="s">
        <v>115</v>
      </c>
      <c r="C25" s="12">
        <v>951</v>
      </c>
      <c r="D25" s="8">
        <v>9.3800000000000008</v>
      </c>
      <c r="E25" s="12">
        <v>740</v>
      </c>
      <c r="F25" s="8">
        <v>15.84</v>
      </c>
      <c r="G25" s="12">
        <v>211</v>
      </c>
      <c r="H25" s="8">
        <v>3.93</v>
      </c>
      <c r="I25" s="12">
        <v>0</v>
      </c>
    </row>
    <row r="26" spans="2:9" ht="15" customHeight="1" x14ac:dyDescent="0.2">
      <c r="B26" t="s">
        <v>116</v>
      </c>
      <c r="C26" s="12">
        <v>938</v>
      </c>
      <c r="D26" s="8">
        <v>9.26</v>
      </c>
      <c r="E26" s="12">
        <v>754</v>
      </c>
      <c r="F26" s="8">
        <v>16.14</v>
      </c>
      <c r="G26" s="12">
        <v>184</v>
      </c>
      <c r="H26" s="8">
        <v>3.42</v>
      </c>
      <c r="I26" s="12">
        <v>0</v>
      </c>
    </row>
    <row r="27" spans="2:9" ht="15" customHeight="1" x14ac:dyDescent="0.2">
      <c r="B27" t="s">
        <v>101</v>
      </c>
      <c r="C27" s="12">
        <v>608</v>
      </c>
      <c r="D27" s="8">
        <v>6</v>
      </c>
      <c r="E27" s="12">
        <v>121</v>
      </c>
      <c r="F27" s="8">
        <v>2.59</v>
      </c>
      <c r="G27" s="12">
        <v>487</v>
      </c>
      <c r="H27" s="8">
        <v>9.06</v>
      </c>
      <c r="I27" s="12">
        <v>0</v>
      </c>
    </row>
    <row r="28" spans="2:9" ht="15" customHeight="1" x14ac:dyDescent="0.2">
      <c r="B28" t="s">
        <v>110</v>
      </c>
      <c r="C28" s="12">
        <v>606</v>
      </c>
      <c r="D28" s="8">
        <v>5.98</v>
      </c>
      <c r="E28" s="12">
        <v>236</v>
      </c>
      <c r="F28" s="8">
        <v>5.05</v>
      </c>
      <c r="G28" s="12">
        <v>369</v>
      </c>
      <c r="H28" s="8">
        <v>6.87</v>
      </c>
      <c r="I28" s="12">
        <v>0</v>
      </c>
    </row>
    <row r="29" spans="2:9" ht="15" customHeight="1" x14ac:dyDescent="0.2">
      <c r="B29" t="s">
        <v>102</v>
      </c>
      <c r="C29" s="12">
        <v>490</v>
      </c>
      <c r="D29" s="8">
        <v>4.84</v>
      </c>
      <c r="E29" s="12">
        <v>198</v>
      </c>
      <c r="F29" s="8">
        <v>4.24</v>
      </c>
      <c r="G29" s="12">
        <v>292</v>
      </c>
      <c r="H29" s="8">
        <v>5.43</v>
      </c>
      <c r="I29" s="12">
        <v>0</v>
      </c>
    </row>
    <row r="30" spans="2:9" ht="15" customHeight="1" x14ac:dyDescent="0.2">
      <c r="B30" t="s">
        <v>108</v>
      </c>
      <c r="C30" s="12">
        <v>349</v>
      </c>
      <c r="D30" s="8">
        <v>3.44</v>
      </c>
      <c r="E30" s="12">
        <v>199</v>
      </c>
      <c r="F30" s="8">
        <v>4.26</v>
      </c>
      <c r="G30" s="12">
        <v>149</v>
      </c>
      <c r="H30" s="8">
        <v>2.77</v>
      </c>
      <c r="I30" s="12">
        <v>1</v>
      </c>
    </row>
    <row r="31" spans="2:9" ht="15" customHeight="1" x14ac:dyDescent="0.2">
      <c r="B31" t="s">
        <v>117</v>
      </c>
      <c r="C31" s="12">
        <v>348</v>
      </c>
      <c r="D31" s="8">
        <v>3.43</v>
      </c>
      <c r="E31" s="12">
        <v>202</v>
      </c>
      <c r="F31" s="8">
        <v>4.32</v>
      </c>
      <c r="G31" s="12">
        <v>118</v>
      </c>
      <c r="H31" s="8">
        <v>2.2000000000000002</v>
      </c>
      <c r="I31" s="12">
        <v>1</v>
      </c>
    </row>
    <row r="32" spans="2:9" ht="15" customHeight="1" x14ac:dyDescent="0.2">
      <c r="B32" t="s">
        <v>112</v>
      </c>
      <c r="C32" s="12">
        <v>336</v>
      </c>
      <c r="D32" s="8">
        <v>3.32</v>
      </c>
      <c r="E32" s="12">
        <v>223</v>
      </c>
      <c r="F32" s="8">
        <v>4.7699999999999996</v>
      </c>
      <c r="G32" s="12">
        <v>113</v>
      </c>
      <c r="H32" s="8">
        <v>2.1</v>
      </c>
      <c r="I32" s="12">
        <v>0</v>
      </c>
    </row>
    <row r="33" spans="2:9" ht="15" customHeight="1" x14ac:dyDescent="0.2">
      <c r="B33" t="s">
        <v>103</v>
      </c>
      <c r="C33" s="12">
        <v>328</v>
      </c>
      <c r="D33" s="8">
        <v>3.24</v>
      </c>
      <c r="E33" s="12">
        <v>54</v>
      </c>
      <c r="F33" s="8">
        <v>1.1599999999999999</v>
      </c>
      <c r="G33" s="12">
        <v>274</v>
      </c>
      <c r="H33" s="8">
        <v>5.0999999999999996</v>
      </c>
      <c r="I33" s="12">
        <v>0</v>
      </c>
    </row>
    <row r="34" spans="2:9" ht="15" customHeight="1" x14ac:dyDescent="0.2">
      <c r="B34" t="s">
        <v>118</v>
      </c>
      <c r="C34" s="12">
        <v>303</v>
      </c>
      <c r="D34" s="8">
        <v>2.99</v>
      </c>
      <c r="E34" s="12">
        <v>264</v>
      </c>
      <c r="F34" s="8">
        <v>5.65</v>
      </c>
      <c r="G34" s="12">
        <v>37</v>
      </c>
      <c r="H34" s="8">
        <v>0.69</v>
      </c>
      <c r="I34" s="12">
        <v>0</v>
      </c>
    </row>
    <row r="35" spans="2:9" ht="15" customHeight="1" x14ac:dyDescent="0.2">
      <c r="B35" t="s">
        <v>109</v>
      </c>
      <c r="C35" s="12">
        <v>286</v>
      </c>
      <c r="D35" s="8">
        <v>2.82</v>
      </c>
      <c r="E35" s="12">
        <v>116</v>
      </c>
      <c r="F35" s="8">
        <v>2.48</v>
      </c>
      <c r="G35" s="12">
        <v>170</v>
      </c>
      <c r="H35" s="8">
        <v>3.16</v>
      </c>
      <c r="I35" s="12">
        <v>0</v>
      </c>
    </row>
    <row r="36" spans="2:9" ht="15" customHeight="1" x14ac:dyDescent="0.2">
      <c r="B36" t="s">
        <v>113</v>
      </c>
      <c r="C36" s="12">
        <v>259</v>
      </c>
      <c r="D36" s="8">
        <v>2.56</v>
      </c>
      <c r="E36" s="12">
        <v>77</v>
      </c>
      <c r="F36" s="8">
        <v>1.65</v>
      </c>
      <c r="G36" s="12">
        <v>177</v>
      </c>
      <c r="H36" s="8">
        <v>3.29</v>
      </c>
      <c r="I36" s="12">
        <v>1</v>
      </c>
    </row>
    <row r="37" spans="2:9" ht="15" customHeight="1" x14ac:dyDescent="0.2">
      <c r="B37" t="s">
        <v>107</v>
      </c>
      <c r="C37" s="12">
        <v>229</v>
      </c>
      <c r="D37" s="8">
        <v>2.2599999999999998</v>
      </c>
      <c r="E37" s="12">
        <v>68</v>
      </c>
      <c r="F37" s="8">
        <v>1.46</v>
      </c>
      <c r="G37" s="12">
        <v>160</v>
      </c>
      <c r="H37" s="8">
        <v>2.98</v>
      </c>
      <c r="I37" s="12">
        <v>1</v>
      </c>
    </row>
    <row r="38" spans="2:9" ht="15" customHeight="1" x14ac:dyDescent="0.2">
      <c r="B38" t="s">
        <v>122</v>
      </c>
      <c r="C38" s="12">
        <v>168</v>
      </c>
      <c r="D38" s="8">
        <v>1.66</v>
      </c>
      <c r="E38" s="12">
        <v>22</v>
      </c>
      <c r="F38" s="8">
        <v>0.47</v>
      </c>
      <c r="G38" s="12">
        <v>146</v>
      </c>
      <c r="H38" s="8">
        <v>2.72</v>
      </c>
      <c r="I38" s="12">
        <v>0</v>
      </c>
    </row>
    <row r="39" spans="2:9" ht="15" customHeight="1" x14ac:dyDescent="0.2">
      <c r="B39" t="s">
        <v>106</v>
      </c>
      <c r="C39" s="12">
        <v>164</v>
      </c>
      <c r="D39" s="8">
        <v>1.62</v>
      </c>
      <c r="E39" s="12">
        <v>11</v>
      </c>
      <c r="F39" s="8">
        <v>0.24</v>
      </c>
      <c r="G39" s="12">
        <v>153</v>
      </c>
      <c r="H39" s="8">
        <v>2.85</v>
      </c>
      <c r="I39" s="12">
        <v>0</v>
      </c>
    </row>
    <row r="40" spans="2:9" ht="15" customHeight="1" x14ac:dyDescent="0.2">
      <c r="B40" t="s">
        <v>119</v>
      </c>
      <c r="C40" s="12">
        <v>160</v>
      </c>
      <c r="D40" s="8">
        <v>1.58</v>
      </c>
      <c r="E40" s="12">
        <v>1</v>
      </c>
      <c r="F40" s="8">
        <v>0.02</v>
      </c>
      <c r="G40" s="12">
        <v>148</v>
      </c>
      <c r="H40" s="8">
        <v>2.75</v>
      </c>
      <c r="I40" s="12">
        <v>3</v>
      </c>
    </row>
    <row r="41" spans="2:9" ht="15" customHeight="1" x14ac:dyDescent="0.2">
      <c r="B41" t="s">
        <v>123</v>
      </c>
      <c r="C41" s="12">
        <v>139</v>
      </c>
      <c r="D41" s="8">
        <v>1.37</v>
      </c>
      <c r="E41" s="12">
        <v>9</v>
      </c>
      <c r="F41" s="8">
        <v>0.19</v>
      </c>
      <c r="G41" s="12">
        <v>130</v>
      </c>
      <c r="H41" s="8">
        <v>2.42</v>
      </c>
      <c r="I41" s="12">
        <v>0</v>
      </c>
    </row>
    <row r="42" spans="2:9" ht="15" customHeight="1" x14ac:dyDescent="0.2">
      <c r="B42" t="s">
        <v>124</v>
      </c>
      <c r="C42" s="12">
        <v>129</v>
      </c>
      <c r="D42" s="8">
        <v>1.27</v>
      </c>
      <c r="E42" s="12">
        <v>11</v>
      </c>
      <c r="F42" s="8">
        <v>0.24</v>
      </c>
      <c r="G42" s="12">
        <v>105</v>
      </c>
      <c r="H42" s="8">
        <v>1.95</v>
      </c>
      <c r="I42" s="12">
        <v>10</v>
      </c>
    </row>
    <row r="43" spans="2:9" ht="15" customHeight="1" x14ac:dyDescent="0.2">
      <c r="B43" t="s">
        <v>121</v>
      </c>
      <c r="C43" s="12">
        <v>128</v>
      </c>
      <c r="D43" s="8">
        <v>1.26</v>
      </c>
      <c r="E43" s="12">
        <v>14</v>
      </c>
      <c r="F43" s="8">
        <v>0.3</v>
      </c>
      <c r="G43" s="12">
        <v>114</v>
      </c>
      <c r="H43" s="8">
        <v>2.12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183</v>
      </c>
      <c r="C47" s="12">
        <v>931</v>
      </c>
      <c r="D47" s="8">
        <v>9.19</v>
      </c>
      <c r="E47" s="12">
        <v>705</v>
      </c>
      <c r="F47" s="8">
        <v>15.09</v>
      </c>
      <c r="G47" s="12">
        <v>225</v>
      </c>
      <c r="H47" s="8">
        <v>4.1900000000000004</v>
      </c>
      <c r="I47" s="12">
        <v>0</v>
      </c>
    </row>
    <row r="48" spans="2:9" ht="15" customHeight="1" x14ac:dyDescent="0.2">
      <c r="B48" t="s">
        <v>191</v>
      </c>
      <c r="C48" s="12">
        <v>513</v>
      </c>
      <c r="D48" s="8">
        <v>5.0599999999999996</v>
      </c>
      <c r="E48" s="12">
        <v>444</v>
      </c>
      <c r="F48" s="8">
        <v>9.51</v>
      </c>
      <c r="G48" s="12">
        <v>69</v>
      </c>
      <c r="H48" s="8">
        <v>1.28</v>
      </c>
      <c r="I48" s="12">
        <v>0</v>
      </c>
    </row>
    <row r="49" spans="2:9" ht="15" customHeight="1" x14ac:dyDescent="0.2">
      <c r="B49" t="s">
        <v>190</v>
      </c>
      <c r="C49" s="12">
        <v>250</v>
      </c>
      <c r="D49" s="8">
        <v>2.4700000000000002</v>
      </c>
      <c r="E49" s="12">
        <v>223</v>
      </c>
      <c r="F49" s="8">
        <v>4.7699999999999996</v>
      </c>
      <c r="G49" s="12">
        <v>27</v>
      </c>
      <c r="H49" s="8">
        <v>0.5</v>
      </c>
      <c r="I49" s="12">
        <v>0</v>
      </c>
    </row>
    <row r="50" spans="2:9" ht="15" customHeight="1" x14ac:dyDescent="0.2">
      <c r="B50" t="s">
        <v>182</v>
      </c>
      <c r="C50" s="12">
        <v>245</v>
      </c>
      <c r="D50" s="8">
        <v>2.42</v>
      </c>
      <c r="E50" s="12">
        <v>79</v>
      </c>
      <c r="F50" s="8">
        <v>1.69</v>
      </c>
      <c r="G50" s="12">
        <v>166</v>
      </c>
      <c r="H50" s="8">
        <v>3.09</v>
      </c>
      <c r="I50" s="12">
        <v>0</v>
      </c>
    </row>
    <row r="51" spans="2:9" ht="15" customHeight="1" x14ac:dyDescent="0.2">
      <c r="B51" t="s">
        <v>188</v>
      </c>
      <c r="C51" s="12">
        <v>209</v>
      </c>
      <c r="D51" s="8">
        <v>2.06</v>
      </c>
      <c r="E51" s="12">
        <v>173</v>
      </c>
      <c r="F51" s="8">
        <v>3.7</v>
      </c>
      <c r="G51" s="12">
        <v>36</v>
      </c>
      <c r="H51" s="8">
        <v>0.67</v>
      </c>
      <c r="I51" s="12">
        <v>0</v>
      </c>
    </row>
    <row r="52" spans="2:9" ht="15" customHeight="1" x14ac:dyDescent="0.2">
      <c r="B52" t="s">
        <v>189</v>
      </c>
      <c r="C52" s="12">
        <v>205</v>
      </c>
      <c r="D52" s="8">
        <v>2.02</v>
      </c>
      <c r="E52" s="12">
        <v>196</v>
      </c>
      <c r="F52" s="8">
        <v>4.2</v>
      </c>
      <c r="G52" s="12">
        <v>9</v>
      </c>
      <c r="H52" s="8">
        <v>0.17</v>
      </c>
      <c r="I52" s="12">
        <v>0</v>
      </c>
    </row>
    <row r="53" spans="2:9" ht="15" customHeight="1" x14ac:dyDescent="0.2">
      <c r="B53" t="s">
        <v>193</v>
      </c>
      <c r="C53" s="12">
        <v>202</v>
      </c>
      <c r="D53" s="8">
        <v>1.99</v>
      </c>
      <c r="E53" s="12">
        <v>176</v>
      </c>
      <c r="F53" s="8">
        <v>3.77</v>
      </c>
      <c r="G53" s="12">
        <v>26</v>
      </c>
      <c r="H53" s="8">
        <v>0.48</v>
      </c>
      <c r="I53" s="12">
        <v>0</v>
      </c>
    </row>
    <row r="54" spans="2:9" ht="15" customHeight="1" x14ac:dyDescent="0.2">
      <c r="B54" t="s">
        <v>192</v>
      </c>
      <c r="C54" s="12">
        <v>201</v>
      </c>
      <c r="D54" s="8">
        <v>1.98</v>
      </c>
      <c r="E54" s="12">
        <v>143</v>
      </c>
      <c r="F54" s="8">
        <v>3.06</v>
      </c>
      <c r="G54" s="12">
        <v>58</v>
      </c>
      <c r="H54" s="8">
        <v>1.08</v>
      </c>
      <c r="I54" s="12">
        <v>0</v>
      </c>
    </row>
    <row r="55" spans="2:9" ht="15" customHeight="1" x14ac:dyDescent="0.2">
      <c r="B55" t="s">
        <v>174</v>
      </c>
      <c r="C55" s="12">
        <v>198</v>
      </c>
      <c r="D55" s="8">
        <v>1.95</v>
      </c>
      <c r="E55" s="12">
        <v>41</v>
      </c>
      <c r="F55" s="8">
        <v>0.88</v>
      </c>
      <c r="G55" s="12">
        <v>157</v>
      </c>
      <c r="H55" s="8">
        <v>2.92</v>
      </c>
      <c r="I55" s="12">
        <v>0</v>
      </c>
    </row>
    <row r="56" spans="2:9" ht="15" customHeight="1" x14ac:dyDescent="0.2">
      <c r="B56" t="s">
        <v>187</v>
      </c>
      <c r="C56" s="12">
        <v>197</v>
      </c>
      <c r="D56" s="8">
        <v>1.94</v>
      </c>
      <c r="E56" s="12">
        <v>142</v>
      </c>
      <c r="F56" s="8">
        <v>3.04</v>
      </c>
      <c r="G56" s="12">
        <v>55</v>
      </c>
      <c r="H56" s="8">
        <v>1.02</v>
      </c>
      <c r="I56" s="12">
        <v>0</v>
      </c>
    </row>
    <row r="57" spans="2:9" ht="15" customHeight="1" x14ac:dyDescent="0.2">
      <c r="B57" t="s">
        <v>181</v>
      </c>
      <c r="C57" s="12">
        <v>185</v>
      </c>
      <c r="D57" s="8">
        <v>1.83</v>
      </c>
      <c r="E57" s="12">
        <v>85</v>
      </c>
      <c r="F57" s="8">
        <v>1.82</v>
      </c>
      <c r="G57" s="12">
        <v>99</v>
      </c>
      <c r="H57" s="8">
        <v>1.84</v>
      </c>
      <c r="I57" s="12">
        <v>0</v>
      </c>
    </row>
    <row r="58" spans="2:9" ht="15" customHeight="1" x14ac:dyDescent="0.2">
      <c r="B58" t="s">
        <v>184</v>
      </c>
      <c r="C58" s="12">
        <v>185</v>
      </c>
      <c r="D58" s="8">
        <v>1.83</v>
      </c>
      <c r="E58" s="12">
        <v>56</v>
      </c>
      <c r="F58" s="8">
        <v>1.2</v>
      </c>
      <c r="G58" s="12">
        <v>124</v>
      </c>
      <c r="H58" s="8">
        <v>2.31</v>
      </c>
      <c r="I58" s="12">
        <v>1</v>
      </c>
    </row>
    <row r="59" spans="2:9" ht="15" customHeight="1" x14ac:dyDescent="0.2">
      <c r="B59" t="s">
        <v>180</v>
      </c>
      <c r="C59" s="12">
        <v>156</v>
      </c>
      <c r="D59" s="8">
        <v>1.54</v>
      </c>
      <c r="E59" s="12">
        <v>53</v>
      </c>
      <c r="F59" s="8">
        <v>1.1299999999999999</v>
      </c>
      <c r="G59" s="12">
        <v>103</v>
      </c>
      <c r="H59" s="8">
        <v>1.92</v>
      </c>
      <c r="I59" s="12">
        <v>0</v>
      </c>
    </row>
    <row r="60" spans="2:9" ht="15" customHeight="1" x14ac:dyDescent="0.2">
      <c r="B60" t="s">
        <v>176</v>
      </c>
      <c r="C60" s="12">
        <v>151</v>
      </c>
      <c r="D60" s="8">
        <v>1.49</v>
      </c>
      <c r="E60" s="12">
        <v>40</v>
      </c>
      <c r="F60" s="8">
        <v>0.86</v>
      </c>
      <c r="G60" s="12">
        <v>111</v>
      </c>
      <c r="H60" s="8">
        <v>2.0699999999999998</v>
      </c>
      <c r="I60" s="12">
        <v>0</v>
      </c>
    </row>
    <row r="61" spans="2:9" ht="15" customHeight="1" x14ac:dyDescent="0.2">
      <c r="B61" t="s">
        <v>175</v>
      </c>
      <c r="C61" s="12">
        <v>148</v>
      </c>
      <c r="D61" s="8">
        <v>1.46</v>
      </c>
      <c r="E61" s="12">
        <v>29</v>
      </c>
      <c r="F61" s="8">
        <v>0.62</v>
      </c>
      <c r="G61" s="12">
        <v>119</v>
      </c>
      <c r="H61" s="8">
        <v>2.21</v>
      </c>
      <c r="I61" s="12">
        <v>0</v>
      </c>
    </row>
    <row r="62" spans="2:9" ht="15" customHeight="1" x14ac:dyDescent="0.2">
      <c r="B62" t="s">
        <v>195</v>
      </c>
      <c r="C62" s="12">
        <v>144</v>
      </c>
      <c r="D62" s="8">
        <v>1.42</v>
      </c>
      <c r="E62" s="12">
        <v>97</v>
      </c>
      <c r="F62" s="8">
        <v>2.08</v>
      </c>
      <c r="G62" s="12">
        <v>47</v>
      </c>
      <c r="H62" s="8">
        <v>0.87</v>
      </c>
      <c r="I62" s="12">
        <v>0</v>
      </c>
    </row>
    <row r="63" spans="2:9" ht="15" customHeight="1" x14ac:dyDescent="0.2">
      <c r="B63" t="s">
        <v>194</v>
      </c>
      <c r="C63" s="12">
        <v>132</v>
      </c>
      <c r="D63" s="8">
        <v>1.3</v>
      </c>
      <c r="E63" s="12">
        <v>46</v>
      </c>
      <c r="F63" s="8">
        <v>0.98</v>
      </c>
      <c r="G63" s="12">
        <v>86</v>
      </c>
      <c r="H63" s="8">
        <v>1.6</v>
      </c>
      <c r="I63" s="12">
        <v>0</v>
      </c>
    </row>
    <row r="64" spans="2:9" ht="15" customHeight="1" x14ac:dyDescent="0.2">
      <c r="B64" t="s">
        <v>186</v>
      </c>
      <c r="C64" s="12">
        <v>129</v>
      </c>
      <c r="D64" s="8">
        <v>1.27</v>
      </c>
      <c r="E64" s="12">
        <v>79</v>
      </c>
      <c r="F64" s="8">
        <v>1.69</v>
      </c>
      <c r="G64" s="12">
        <v>50</v>
      </c>
      <c r="H64" s="8">
        <v>0.93</v>
      </c>
      <c r="I64" s="12">
        <v>0</v>
      </c>
    </row>
    <row r="65" spans="2:9" ht="15" customHeight="1" x14ac:dyDescent="0.2">
      <c r="B65" t="s">
        <v>178</v>
      </c>
      <c r="C65" s="12">
        <v>123</v>
      </c>
      <c r="D65" s="8">
        <v>1.21</v>
      </c>
      <c r="E65" s="12">
        <v>18</v>
      </c>
      <c r="F65" s="8">
        <v>0.39</v>
      </c>
      <c r="G65" s="12">
        <v>105</v>
      </c>
      <c r="H65" s="8">
        <v>1.95</v>
      </c>
      <c r="I65" s="12">
        <v>0</v>
      </c>
    </row>
    <row r="66" spans="2:9" ht="15" customHeight="1" x14ac:dyDescent="0.2">
      <c r="B66" t="s">
        <v>177</v>
      </c>
      <c r="C66" s="12">
        <v>121</v>
      </c>
      <c r="D66" s="8">
        <v>1.19</v>
      </c>
      <c r="E66" s="12">
        <v>33</v>
      </c>
      <c r="F66" s="8">
        <v>0.71</v>
      </c>
      <c r="G66" s="12">
        <v>88</v>
      </c>
      <c r="H66" s="8">
        <v>1.64</v>
      </c>
      <c r="I66" s="12">
        <v>0</v>
      </c>
    </row>
    <row r="68" spans="2:9" ht="15" customHeight="1" x14ac:dyDescent="0.2">
      <c r="B68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E755-D549-47DB-97E6-6CA2C7149610}">
  <sheetPr>
    <pageSetUpPr fitToPage="1"/>
  </sheetPr>
  <dimension ref="B2:I9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421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34</v>
      </c>
      <c r="D6" s="8">
        <v>21.38</v>
      </c>
      <c r="E6" s="12">
        <v>23</v>
      </c>
      <c r="F6" s="8">
        <v>18.25</v>
      </c>
      <c r="G6" s="12">
        <v>11</v>
      </c>
      <c r="H6" s="8">
        <v>35.479999999999997</v>
      </c>
      <c r="I6" s="12">
        <v>0</v>
      </c>
    </row>
    <row r="7" spans="2:9" ht="15" customHeight="1" x14ac:dyDescent="0.2">
      <c r="B7" t="s">
        <v>80</v>
      </c>
      <c r="C7" s="12">
        <v>24</v>
      </c>
      <c r="D7" s="8">
        <v>15.09</v>
      </c>
      <c r="E7" s="12">
        <v>18</v>
      </c>
      <c r="F7" s="8">
        <v>14.29</v>
      </c>
      <c r="G7" s="12">
        <v>6</v>
      </c>
      <c r="H7" s="8">
        <v>19.350000000000001</v>
      </c>
      <c r="I7" s="12">
        <v>0</v>
      </c>
    </row>
    <row r="8" spans="2:9" ht="15" customHeight="1" x14ac:dyDescent="0.2">
      <c r="B8" t="s">
        <v>81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3</v>
      </c>
      <c r="D10" s="8">
        <v>1.89</v>
      </c>
      <c r="E10" s="12">
        <v>0</v>
      </c>
      <c r="F10" s="8">
        <v>0</v>
      </c>
      <c r="G10" s="12">
        <v>3</v>
      </c>
      <c r="H10" s="8">
        <v>9.68</v>
      </c>
      <c r="I10" s="12">
        <v>0</v>
      </c>
    </row>
    <row r="11" spans="2:9" ht="15" customHeight="1" x14ac:dyDescent="0.2">
      <c r="B11" t="s">
        <v>84</v>
      </c>
      <c r="C11" s="12">
        <v>44</v>
      </c>
      <c r="D11" s="8">
        <v>27.67</v>
      </c>
      <c r="E11" s="12">
        <v>37</v>
      </c>
      <c r="F11" s="8">
        <v>29.37</v>
      </c>
      <c r="G11" s="12">
        <v>6</v>
      </c>
      <c r="H11" s="8">
        <v>19.350000000000001</v>
      </c>
      <c r="I11" s="12">
        <v>1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4</v>
      </c>
      <c r="D13" s="8">
        <v>2.52</v>
      </c>
      <c r="E13" s="12">
        <v>3</v>
      </c>
      <c r="F13" s="8">
        <v>2.38</v>
      </c>
      <c r="G13" s="12">
        <v>1</v>
      </c>
      <c r="H13" s="8">
        <v>3.23</v>
      </c>
      <c r="I13" s="12">
        <v>0</v>
      </c>
    </row>
    <row r="14" spans="2:9" ht="15" customHeight="1" x14ac:dyDescent="0.2">
      <c r="B14" t="s">
        <v>87</v>
      </c>
      <c r="C14" s="12">
        <v>3</v>
      </c>
      <c r="D14" s="8">
        <v>1.89</v>
      </c>
      <c r="E14" s="12">
        <v>3</v>
      </c>
      <c r="F14" s="8">
        <v>2.38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88</v>
      </c>
      <c r="C15" s="12">
        <v>21</v>
      </c>
      <c r="D15" s="8">
        <v>13.21</v>
      </c>
      <c r="E15" s="12">
        <v>19</v>
      </c>
      <c r="F15" s="8">
        <v>15.08</v>
      </c>
      <c r="G15" s="12">
        <v>2</v>
      </c>
      <c r="H15" s="8">
        <v>6.45</v>
      </c>
      <c r="I15" s="12">
        <v>0</v>
      </c>
    </row>
    <row r="16" spans="2:9" ht="15" customHeight="1" x14ac:dyDescent="0.2">
      <c r="B16" t="s">
        <v>89</v>
      </c>
      <c r="C16" s="12">
        <v>14</v>
      </c>
      <c r="D16" s="8">
        <v>8.81</v>
      </c>
      <c r="E16" s="12">
        <v>13</v>
      </c>
      <c r="F16" s="8">
        <v>10.32</v>
      </c>
      <c r="G16" s="12">
        <v>1</v>
      </c>
      <c r="H16" s="8">
        <v>3.23</v>
      </c>
      <c r="I16" s="12">
        <v>0</v>
      </c>
    </row>
    <row r="17" spans="2:9" ht="15" customHeight="1" x14ac:dyDescent="0.2">
      <c r="B17" t="s">
        <v>90</v>
      </c>
      <c r="C17" s="12">
        <v>5</v>
      </c>
      <c r="D17" s="8">
        <v>3.14</v>
      </c>
      <c r="E17" s="12">
        <v>5</v>
      </c>
      <c r="F17" s="8">
        <v>3.97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4</v>
      </c>
      <c r="D18" s="8">
        <v>2.52</v>
      </c>
      <c r="E18" s="12">
        <v>3</v>
      </c>
      <c r="F18" s="8">
        <v>2.38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92</v>
      </c>
      <c r="C19" s="12">
        <v>3</v>
      </c>
      <c r="D19" s="8">
        <v>1.89</v>
      </c>
      <c r="E19" s="12">
        <v>2</v>
      </c>
      <c r="F19" s="8">
        <v>1.59</v>
      </c>
      <c r="G19" s="12">
        <v>1</v>
      </c>
      <c r="H19" s="8">
        <v>3.23</v>
      </c>
      <c r="I19" s="12">
        <v>0</v>
      </c>
    </row>
    <row r="20" spans="2:9" ht="15" customHeight="1" x14ac:dyDescent="0.2">
      <c r="B20" s="9" t="s">
        <v>363</v>
      </c>
      <c r="C20" s="12">
        <f>SUM(LTBL_20425[総数／事業所数])</f>
        <v>159</v>
      </c>
      <c r="E20" s="12">
        <f>SUBTOTAL(109,LTBL_20425[個人／事業所数])</f>
        <v>126</v>
      </c>
      <c r="G20" s="12">
        <f>SUBTOTAL(109,LTBL_20425[法人／事業所数])</f>
        <v>31</v>
      </c>
      <c r="I20" s="12">
        <f>SUBTOTAL(109,LTBL_20425[法人以外の団体／事業所数])</f>
        <v>1</v>
      </c>
    </row>
    <row r="21" spans="2:9" ht="15" customHeight="1" x14ac:dyDescent="0.2">
      <c r="E21" s="11">
        <f>LTBL_20425[[#Totals],[個人／事業所数]]/LTBL_20425[[#Totals],[総数／事業所数]]</f>
        <v>0.79245283018867929</v>
      </c>
      <c r="G21" s="11">
        <f>LTBL_20425[[#Totals],[法人／事業所数]]/LTBL_20425[[#Totals],[総数／事業所数]]</f>
        <v>0.19496855345911951</v>
      </c>
      <c r="I21" s="11">
        <f>LTBL_20425[[#Totals],[法人以外の団体／事業所数]]/LTBL_20425[[#Totals],[総数／事業所数]]</f>
        <v>6.2893081761006293E-3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101</v>
      </c>
      <c r="C24" s="12">
        <v>15</v>
      </c>
      <c r="D24" s="8">
        <v>9.43</v>
      </c>
      <c r="E24" s="12">
        <v>6</v>
      </c>
      <c r="F24" s="8">
        <v>4.76</v>
      </c>
      <c r="G24" s="12">
        <v>9</v>
      </c>
      <c r="H24" s="8">
        <v>29.03</v>
      </c>
      <c r="I24" s="12">
        <v>0</v>
      </c>
    </row>
    <row r="25" spans="2:9" ht="15" customHeight="1" x14ac:dyDescent="0.2">
      <c r="B25" t="s">
        <v>102</v>
      </c>
      <c r="C25" s="12">
        <v>14</v>
      </c>
      <c r="D25" s="8">
        <v>8.81</v>
      </c>
      <c r="E25" s="12">
        <v>12</v>
      </c>
      <c r="F25" s="8">
        <v>9.52</v>
      </c>
      <c r="G25" s="12">
        <v>2</v>
      </c>
      <c r="H25" s="8">
        <v>6.45</v>
      </c>
      <c r="I25" s="12">
        <v>0</v>
      </c>
    </row>
    <row r="26" spans="2:9" ht="15" customHeight="1" x14ac:dyDescent="0.2">
      <c r="B26" t="s">
        <v>108</v>
      </c>
      <c r="C26" s="12">
        <v>13</v>
      </c>
      <c r="D26" s="8">
        <v>8.18</v>
      </c>
      <c r="E26" s="12">
        <v>12</v>
      </c>
      <c r="F26" s="8">
        <v>9.52</v>
      </c>
      <c r="G26" s="12">
        <v>1</v>
      </c>
      <c r="H26" s="8">
        <v>3.23</v>
      </c>
      <c r="I26" s="12">
        <v>0</v>
      </c>
    </row>
    <row r="27" spans="2:9" ht="15" customHeight="1" x14ac:dyDescent="0.2">
      <c r="B27" t="s">
        <v>115</v>
      </c>
      <c r="C27" s="12">
        <v>13</v>
      </c>
      <c r="D27" s="8">
        <v>8.18</v>
      </c>
      <c r="E27" s="12">
        <v>13</v>
      </c>
      <c r="F27" s="8">
        <v>10.32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116</v>
      </c>
      <c r="C28" s="12">
        <v>12</v>
      </c>
      <c r="D28" s="8">
        <v>7.55</v>
      </c>
      <c r="E28" s="12">
        <v>11</v>
      </c>
      <c r="F28" s="8">
        <v>8.73</v>
      </c>
      <c r="G28" s="12">
        <v>1</v>
      </c>
      <c r="H28" s="8">
        <v>3.23</v>
      </c>
      <c r="I28" s="12">
        <v>0</v>
      </c>
    </row>
    <row r="29" spans="2:9" ht="15" customHeight="1" x14ac:dyDescent="0.2">
      <c r="B29" t="s">
        <v>110</v>
      </c>
      <c r="C29" s="12">
        <v>10</v>
      </c>
      <c r="D29" s="8">
        <v>6.29</v>
      </c>
      <c r="E29" s="12">
        <v>8</v>
      </c>
      <c r="F29" s="8">
        <v>6.35</v>
      </c>
      <c r="G29" s="12">
        <v>2</v>
      </c>
      <c r="H29" s="8">
        <v>6.45</v>
      </c>
      <c r="I29" s="12">
        <v>0</v>
      </c>
    </row>
    <row r="30" spans="2:9" ht="15" customHeight="1" x14ac:dyDescent="0.2">
      <c r="B30" t="s">
        <v>114</v>
      </c>
      <c r="C30" s="12">
        <v>8</v>
      </c>
      <c r="D30" s="8">
        <v>5.03</v>
      </c>
      <c r="E30" s="12">
        <v>6</v>
      </c>
      <c r="F30" s="8">
        <v>4.76</v>
      </c>
      <c r="G30" s="12">
        <v>2</v>
      </c>
      <c r="H30" s="8">
        <v>6.45</v>
      </c>
      <c r="I30" s="12">
        <v>0</v>
      </c>
    </row>
    <row r="31" spans="2:9" ht="15" customHeight="1" x14ac:dyDescent="0.2">
      <c r="B31" t="s">
        <v>137</v>
      </c>
      <c r="C31" s="12">
        <v>7</v>
      </c>
      <c r="D31" s="8">
        <v>4.4000000000000004</v>
      </c>
      <c r="E31" s="12">
        <v>6</v>
      </c>
      <c r="F31" s="8">
        <v>4.76</v>
      </c>
      <c r="G31" s="12">
        <v>1</v>
      </c>
      <c r="H31" s="8">
        <v>3.23</v>
      </c>
      <c r="I31" s="12">
        <v>0</v>
      </c>
    </row>
    <row r="32" spans="2:9" ht="15" customHeight="1" x14ac:dyDescent="0.2">
      <c r="B32" t="s">
        <v>133</v>
      </c>
      <c r="C32" s="12">
        <v>7</v>
      </c>
      <c r="D32" s="8">
        <v>4.4000000000000004</v>
      </c>
      <c r="E32" s="12">
        <v>6</v>
      </c>
      <c r="F32" s="8">
        <v>4.76</v>
      </c>
      <c r="G32" s="12">
        <v>1</v>
      </c>
      <c r="H32" s="8">
        <v>3.23</v>
      </c>
      <c r="I32" s="12">
        <v>0</v>
      </c>
    </row>
    <row r="33" spans="2:9" ht="15" customHeight="1" x14ac:dyDescent="0.2">
      <c r="B33" t="s">
        <v>103</v>
      </c>
      <c r="C33" s="12">
        <v>5</v>
      </c>
      <c r="D33" s="8">
        <v>3.14</v>
      </c>
      <c r="E33" s="12">
        <v>5</v>
      </c>
      <c r="F33" s="8">
        <v>3.97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104</v>
      </c>
      <c r="C34" s="12">
        <v>5</v>
      </c>
      <c r="D34" s="8">
        <v>3.14</v>
      </c>
      <c r="E34" s="12">
        <v>5</v>
      </c>
      <c r="F34" s="8">
        <v>3.97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117</v>
      </c>
      <c r="C35" s="12">
        <v>5</v>
      </c>
      <c r="D35" s="8">
        <v>3.14</v>
      </c>
      <c r="E35" s="12">
        <v>5</v>
      </c>
      <c r="F35" s="8">
        <v>3.97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130</v>
      </c>
      <c r="C36" s="12">
        <v>4</v>
      </c>
      <c r="D36" s="8">
        <v>2.52</v>
      </c>
      <c r="E36" s="12">
        <v>1</v>
      </c>
      <c r="F36" s="8">
        <v>0.79</v>
      </c>
      <c r="G36" s="12">
        <v>3</v>
      </c>
      <c r="H36" s="8">
        <v>9.68</v>
      </c>
      <c r="I36" s="12">
        <v>0</v>
      </c>
    </row>
    <row r="37" spans="2:9" ht="15" customHeight="1" x14ac:dyDescent="0.2">
      <c r="B37" t="s">
        <v>109</v>
      </c>
      <c r="C37" s="12">
        <v>4</v>
      </c>
      <c r="D37" s="8">
        <v>2.52</v>
      </c>
      <c r="E37" s="12">
        <v>3</v>
      </c>
      <c r="F37" s="8">
        <v>2.38</v>
      </c>
      <c r="G37" s="12">
        <v>1</v>
      </c>
      <c r="H37" s="8">
        <v>3.23</v>
      </c>
      <c r="I37" s="12">
        <v>0</v>
      </c>
    </row>
    <row r="38" spans="2:9" ht="15" customHeight="1" x14ac:dyDescent="0.2">
      <c r="B38" t="s">
        <v>143</v>
      </c>
      <c r="C38" s="12">
        <v>3</v>
      </c>
      <c r="D38" s="8">
        <v>1.89</v>
      </c>
      <c r="E38" s="12">
        <v>2</v>
      </c>
      <c r="F38" s="8">
        <v>1.59</v>
      </c>
      <c r="G38" s="12">
        <v>1</v>
      </c>
      <c r="H38" s="8">
        <v>3.23</v>
      </c>
      <c r="I38" s="12">
        <v>0</v>
      </c>
    </row>
    <row r="39" spans="2:9" ht="15" customHeight="1" x14ac:dyDescent="0.2">
      <c r="B39" t="s">
        <v>135</v>
      </c>
      <c r="C39" s="12">
        <v>3</v>
      </c>
      <c r="D39" s="8">
        <v>1.89</v>
      </c>
      <c r="E39" s="12">
        <v>2</v>
      </c>
      <c r="F39" s="8">
        <v>1.59</v>
      </c>
      <c r="G39" s="12">
        <v>1</v>
      </c>
      <c r="H39" s="8">
        <v>3.23</v>
      </c>
      <c r="I39" s="12">
        <v>0</v>
      </c>
    </row>
    <row r="40" spans="2:9" ht="15" customHeight="1" x14ac:dyDescent="0.2">
      <c r="B40" t="s">
        <v>107</v>
      </c>
      <c r="C40" s="12">
        <v>3</v>
      </c>
      <c r="D40" s="8">
        <v>1.89</v>
      </c>
      <c r="E40" s="12">
        <v>3</v>
      </c>
      <c r="F40" s="8">
        <v>2.38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118</v>
      </c>
      <c r="C41" s="12">
        <v>3</v>
      </c>
      <c r="D41" s="8">
        <v>1.89</v>
      </c>
      <c r="E41" s="12">
        <v>3</v>
      </c>
      <c r="F41" s="8">
        <v>2.38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125</v>
      </c>
      <c r="C42" s="12">
        <v>2</v>
      </c>
      <c r="D42" s="8">
        <v>1.26</v>
      </c>
      <c r="E42" s="12">
        <v>2</v>
      </c>
      <c r="F42" s="8">
        <v>1.59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121</v>
      </c>
      <c r="C43" s="12">
        <v>2</v>
      </c>
      <c r="D43" s="8">
        <v>1.26</v>
      </c>
      <c r="E43" s="12">
        <v>0</v>
      </c>
      <c r="F43" s="8">
        <v>0</v>
      </c>
      <c r="G43" s="12">
        <v>1</v>
      </c>
      <c r="H43" s="8">
        <v>3.23</v>
      </c>
      <c r="I43" s="12">
        <v>1</v>
      </c>
    </row>
    <row r="44" spans="2:9" ht="15" customHeight="1" x14ac:dyDescent="0.2">
      <c r="B44" t="s">
        <v>122</v>
      </c>
      <c r="C44" s="12">
        <v>2</v>
      </c>
      <c r="D44" s="8">
        <v>1.26</v>
      </c>
      <c r="E44" s="12">
        <v>2</v>
      </c>
      <c r="F44" s="8">
        <v>1.59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111</v>
      </c>
      <c r="C45" s="12">
        <v>2</v>
      </c>
      <c r="D45" s="8">
        <v>1.26</v>
      </c>
      <c r="E45" s="12">
        <v>1</v>
      </c>
      <c r="F45" s="8">
        <v>0.79</v>
      </c>
      <c r="G45" s="12">
        <v>1</v>
      </c>
      <c r="H45" s="8">
        <v>3.23</v>
      </c>
      <c r="I45" s="12">
        <v>0</v>
      </c>
    </row>
    <row r="46" spans="2:9" ht="15" customHeight="1" x14ac:dyDescent="0.2">
      <c r="B46" t="s">
        <v>153</v>
      </c>
      <c r="C46" s="12">
        <v>2</v>
      </c>
      <c r="D46" s="8">
        <v>1.26</v>
      </c>
      <c r="E46" s="12">
        <v>2</v>
      </c>
      <c r="F46" s="8">
        <v>1.59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112</v>
      </c>
      <c r="C47" s="12">
        <v>2</v>
      </c>
      <c r="D47" s="8">
        <v>1.26</v>
      </c>
      <c r="E47" s="12">
        <v>2</v>
      </c>
      <c r="F47" s="8">
        <v>1.59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131</v>
      </c>
      <c r="C48" s="12">
        <v>2</v>
      </c>
      <c r="D48" s="8">
        <v>1.26</v>
      </c>
      <c r="E48" s="12">
        <v>2</v>
      </c>
      <c r="F48" s="8">
        <v>1.59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147</v>
      </c>
      <c r="C49" s="12">
        <v>2</v>
      </c>
      <c r="D49" s="8">
        <v>1.26</v>
      </c>
      <c r="E49" s="12">
        <v>2</v>
      </c>
      <c r="F49" s="8">
        <v>1.59</v>
      </c>
      <c r="G49" s="12">
        <v>0</v>
      </c>
      <c r="H49" s="8">
        <v>0</v>
      </c>
      <c r="I49" s="12">
        <v>0</v>
      </c>
    </row>
    <row r="52" spans="2:9" ht="33" customHeight="1" x14ac:dyDescent="0.2">
      <c r="B52" t="s">
        <v>365</v>
      </c>
      <c r="C52" s="10" t="s">
        <v>94</v>
      </c>
      <c r="D52" s="10" t="s">
        <v>95</v>
      </c>
      <c r="E52" s="10" t="s">
        <v>96</v>
      </c>
      <c r="F52" s="10" t="s">
        <v>97</v>
      </c>
      <c r="G52" s="10" t="s">
        <v>98</v>
      </c>
      <c r="H52" s="10" t="s">
        <v>99</v>
      </c>
      <c r="I52" s="10" t="s">
        <v>100</v>
      </c>
    </row>
    <row r="53" spans="2:9" ht="15" customHeight="1" x14ac:dyDescent="0.2">
      <c r="B53" t="s">
        <v>176</v>
      </c>
      <c r="C53" s="12">
        <v>8</v>
      </c>
      <c r="D53" s="8">
        <v>5.03</v>
      </c>
      <c r="E53" s="12">
        <v>4</v>
      </c>
      <c r="F53" s="8">
        <v>3.17</v>
      </c>
      <c r="G53" s="12">
        <v>4</v>
      </c>
      <c r="H53" s="8">
        <v>12.9</v>
      </c>
      <c r="I53" s="12">
        <v>0</v>
      </c>
    </row>
    <row r="54" spans="2:9" ht="15" customHeight="1" x14ac:dyDescent="0.2">
      <c r="B54" t="s">
        <v>185</v>
      </c>
      <c r="C54" s="12">
        <v>8</v>
      </c>
      <c r="D54" s="8">
        <v>5.03</v>
      </c>
      <c r="E54" s="12">
        <v>6</v>
      </c>
      <c r="F54" s="8">
        <v>4.76</v>
      </c>
      <c r="G54" s="12">
        <v>2</v>
      </c>
      <c r="H54" s="8">
        <v>6.45</v>
      </c>
      <c r="I54" s="12">
        <v>0</v>
      </c>
    </row>
    <row r="55" spans="2:9" ht="15" customHeight="1" x14ac:dyDescent="0.2">
      <c r="B55" t="s">
        <v>191</v>
      </c>
      <c r="C55" s="12">
        <v>8</v>
      </c>
      <c r="D55" s="8">
        <v>5.03</v>
      </c>
      <c r="E55" s="12">
        <v>8</v>
      </c>
      <c r="F55" s="8">
        <v>6.35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242</v>
      </c>
      <c r="C56" s="12">
        <v>7</v>
      </c>
      <c r="D56" s="8">
        <v>4.4000000000000004</v>
      </c>
      <c r="E56" s="12">
        <v>6</v>
      </c>
      <c r="F56" s="8">
        <v>4.76</v>
      </c>
      <c r="G56" s="12">
        <v>1</v>
      </c>
      <c r="H56" s="8">
        <v>3.23</v>
      </c>
      <c r="I56" s="12">
        <v>0</v>
      </c>
    </row>
    <row r="57" spans="2:9" ht="15" customHeight="1" x14ac:dyDescent="0.2">
      <c r="B57" t="s">
        <v>188</v>
      </c>
      <c r="C57" s="12">
        <v>6</v>
      </c>
      <c r="D57" s="8">
        <v>3.77</v>
      </c>
      <c r="E57" s="12">
        <v>6</v>
      </c>
      <c r="F57" s="8">
        <v>4.76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174</v>
      </c>
      <c r="C58" s="12">
        <v>4</v>
      </c>
      <c r="D58" s="8">
        <v>2.52</v>
      </c>
      <c r="E58" s="12">
        <v>1</v>
      </c>
      <c r="F58" s="8">
        <v>0.79</v>
      </c>
      <c r="G58" s="12">
        <v>3</v>
      </c>
      <c r="H58" s="8">
        <v>9.68</v>
      </c>
      <c r="I58" s="12">
        <v>0</v>
      </c>
    </row>
    <row r="59" spans="2:9" ht="15" customHeight="1" x14ac:dyDescent="0.2">
      <c r="B59" t="s">
        <v>177</v>
      </c>
      <c r="C59" s="12">
        <v>4</v>
      </c>
      <c r="D59" s="8">
        <v>2.52</v>
      </c>
      <c r="E59" s="12">
        <v>4</v>
      </c>
      <c r="F59" s="8">
        <v>3.17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298</v>
      </c>
      <c r="C60" s="12">
        <v>4</v>
      </c>
      <c r="D60" s="8">
        <v>2.52</v>
      </c>
      <c r="E60" s="12">
        <v>4</v>
      </c>
      <c r="F60" s="8">
        <v>3.17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214</v>
      </c>
      <c r="C61" s="12">
        <v>4</v>
      </c>
      <c r="D61" s="8">
        <v>2.52</v>
      </c>
      <c r="E61" s="12">
        <v>4</v>
      </c>
      <c r="F61" s="8">
        <v>3.17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192</v>
      </c>
      <c r="C62" s="12">
        <v>4</v>
      </c>
      <c r="D62" s="8">
        <v>2.52</v>
      </c>
      <c r="E62" s="12">
        <v>4</v>
      </c>
      <c r="F62" s="8">
        <v>3.17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224</v>
      </c>
      <c r="C63" s="12">
        <v>3</v>
      </c>
      <c r="D63" s="8">
        <v>1.89</v>
      </c>
      <c r="E63" s="12">
        <v>3</v>
      </c>
      <c r="F63" s="8">
        <v>2.38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286</v>
      </c>
      <c r="C64" s="12">
        <v>3</v>
      </c>
      <c r="D64" s="8">
        <v>1.89</v>
      </c>
      <c r="E64" s="12">
        <v>3</v>
      </c>
      <c r="F64" s="8">
        <v>2.38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197</v>
      </c>
      <c r="C65" s="12">
        <v>3</v>
      </c>
      <c r="D65" s="8">
        <v>1.89</v>
      </c>
      <c r="E65" s="12">
        <v>2</v>
      </c>
      <c r="F65" s="8">
        <v>1.59</v>
      </c>
      <c r="G65" s="12">
        <v>1</v>
      </c>
      <c r="H65" s="8">
        <v>3.23</v>
      </c>
      <c r="I65" s="12">
        <v>0</v>
      </c>
    </row>
    <row r="66" spans="2:9" ht="15" customHeight="1" x14ac:dyDescent="0.2">
      <c r="B66" t="s">
        <v>205</v>
      </c>
      <c r="C66" s="12">
        <v>3</v>
      </c>
      <c r="D66" s="8">
        <v>1.89</v>
      </c>
      <c r="E66" s="12">
        <v>3</v>
      </c>
      <c r="F66" s="8">
        <v>2.38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186</v>
      </c>
      <c r="C67" s="12">
        <v>3</v>
      </c>
      <c r="D67" s="8">
        <v>1.89</v>
      </c>
      <c r="E67" s="12">
        <v>3</v>
      </c>
      <c r="F67" s="8">
        <v>2.38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190</v>
      </c>
      <c r="C68" s="12">
        <v>3</v>
      </c>
      <c r="D68" s="8">
        <v>1.89</v>
      </c>
      <c r="E68" s="12">
        <v>3</v>
      </c>
      <c r="F68" s="8">
        <v>2.38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175</v>
      </c>
      <c r="C69" s="12">
        <v>2</v>
      </c>
      <c r="D69" s="8">
        <v>1.26</v>
      </c>
      <c r="E69" s="12">
        <v>1</v>
      </c>
      <c r="F69" s="8">
        <v>0.79</v>
      </c>
      <c r="G69" s="12">
        <v>1</v>
      </c>
      <c r="H69" s="8">
        <v>3.23</v>
      </c>
      <c r="I69" s="12">
        <v>0</v>
      </c>
    </row>
    <row r="70" spans="2:9" ht="15" customHeight="1" x14ac:dyDescent="0.2">
      <c r="B70" t="s">
        <v>210</v>
      </c>
      <c r="C70" s="12">
        <v>2</v>
      </c>
      <c r="D70" s="8">
        <v>1.26</v>
      </c>
      <c r="E70" s="12">
        <v>2</v>
      </c>
      <c r="F70" s="8">
        <v>1.59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266</v>
      </c>
      <c r="C71" s="12">
        <v>2</v>
      </c>
      <c r="D71" s="8">
        <v>1.26</v>
      </c>
      <c r="E71" s="12">
        <v>0</v>
      </c>
      <c r="F71" s="8">
        <v>0</v>
      </c>
      <c r="G71" s="12">
        <v>2</v>
      </c>
      <c r="H71" s="8">
        <v>6.45</v>
      </c>
      <c r="I71" s="12">
        <v>0</v>
      </c>
    </row>
    <row r="72" spans="2:9" ht="15" customHeight="1" x14ac:dyDescent="0.2">
      <c r="B72" t="s">
        <v>201</v>
      </c>
      <c r="C72" s="12">
        <v>2</v>
      </c>
      <c r="D72" s="8">
        <v>1.26</v>
      </c>
      <c r="E72" s="12">
        <v>2</v>
      </c>
      <c r="F72" s="8">
        <v>1.59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320</v>
      </c>
      <c r="C73" s="12">
        <v>2</v>
      </c>
      <c r="D73" s="8">
        <v>1.26</v>
      </c>
      <c r="E73" s="12">
        <v>1</v>
      </c>
      <c r="F73" s="8">
        <v>0.79</v>
      </c>
      <c r="G73" s="12">
        <v>1</v>
      </c>
      <c r="H73" s="8">
        <v>3.23</v>
      </c>
      <c r="I73" s="12">
        <v>0</v>
      </c>
    </row>
    <row r="74" spans="2:9" ht="15" customHeight="1" x14ac:dyDescent="0.2">
      <c r="B74" t="s">
        <v>236</v>
      </c>
      <c r="C74" s="12">
        <v>2</v>
      </c>
      <c r="D74" s="8">
        <v>1.26</v>
      </c>
      <c r="E74" s="12">
        <v>0</v>
      </c>
      <c r="F74" s="8">
        <v>0</v>
      </c>
      <c r="G74" s="12">
        <v>2</v>
      </c>
      <c r="H74" s="8">
        <v>6.45</v>
      </c>
      <c r="I74" s="12">
        <v>0</v>
      </c>
    </row>
    <row r="75" spans="2:9" ht="15" customHeight="1" x14ac:dyDescent="0.2">
      <c r="B75" t="s">
        <v>321</v>
      </c>
      <c r="C75" s="12">
        <v>2</v>
      </c>
      <c r="D75" s="8">
        <v>1.26</v>
      </c>
      <c r="E75" s="12">
        <v>2</v>
      </c>
      <c r="F75" s="8">
        <v>1.59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281</v>
      </c>
      <c r="C76" s="12">
        <v>2</v>
      </c>
      <c r="D76" s="8">
        <v>1.26</v>
      </c>
      <c r="E76" s="12">
        <v>2</v>
      </c>
      <c r="F76" s="8">
        <v>1.59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274</v>
      </c>
      <c r="C77" s="12">
        <v>2</v>
      </c>
      <c r="D77" s="8">
        <v>1.26</v>
      </c>
      <c r="E77" s="12">
        <v>2</v>
      </c>
      <c r="F77" s="8">
        <v>1.59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211</v>
      </c>
      <c r="C78" s="12">
        <v>2</v>
      </c>
      <c r="D78" s="8">
        <v>1.26</v>
      </c>
      <c r="E78" s="12">
        <v>0</v>
      </c>
      <c r="F78" s="8">
        <v>0</v>
      </c>
      <c r="G78" s="12">
        <v>1</v>
      </c>
      <c r="H78" s="8">
        <v>3.23</v>
      </c>
      <c r="I78" s="12">
        <v>1</v>
      </c>
    </row>
    <row r="79" spans="2:9" ht="15" customHeight="1" x14ac:dyDescent="0.2">
      <c r="B79" t="s">
        <v>227</v>
      </c>
      <c r="C79" s="12">
        <v>2</v>
      </c>
      <c r="D79" s="8">
        <v>1.26</v>
      </c>
      <c r="E79" s="12">
        <v>2</v>
      </c>
      <c r="F79" s="8">
        <v>1.59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179</v>
      </c>
      <c r="C80" s="12">
        <v>2</v>
      </c>
      <c r="D80" s="8">
        <v>1.26</v>
      </c>
      <c r="E80" s="12">
        <v>2</v>
      </c>
      <c r="F80" s="8">
        <v>1.59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219</v>
      </c>
      <c r="C81" s="12">
        <v>2</v>
      </c>
      <c r="D81" s="8">
        <v>1.26</v>
      </c>
      <c r="E81" s="12">
        <v>2</v>
      </c>
      <c r="F81" s="8">
        <v>1.59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222</v>
      </c>
      <c r="C82" s="12">
        <v>2</v>
      </c>
      <c r="D82" s="8">
        <v>1.26</v>
      </c>
      <c r="E82" s="12">
        <v>2</v>
      </c>
      <c r="F82" s="8">
        <v>1.59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194</v>
      </c>
      <c r="C83" s="12">
        <v>2</v>
      </c>
      <c r="D83" s="8">
        <v>1.26</v>
      </c>
      <c r="E83" s="12">
        <v>1</v>
      </c>
      <c r="F83" s="8">
        <v>0.79</v>
      </c>
      <c r="G83" s="12">
        <v>1</v>
      </c>
      <c r="H83" s="8">
        <v>3.23</v>
      </c>
      <c r="I83" s="12">
        <v>0</v>
      </c>
    </row>
    <row r="84" spans="2:9" ht="15" customHeight="1" x14ac:dyDescent="0.2">
      <c r="B84" t="s">
        <v>182</v>
      </c>
      <c r="C84" s="12">
        <v>2</v>
      </c>
      <c r="D84" s="8">
        <v>1.26</v>
      </c>
      <c r="E84" s="12">
        <v>1</v>
      </c>
      <c r="F84" s="8">
        <v>0.79</v>
      </c>
      <c r="G84" s="12">
        <v>1</v>
      </c>
      <c r="H84" s="8">
        <v>3.23</v>
      </c>
      <c r="I84" s="12">
        <v>0</v>
      </c>
    </row>
    <row r="85" spans="2:9" ht="15" customHeight="1" x14ac:dyDescent="0.2">
      <c r="B85" t="s">
        <v>322</v>
      </c>
      <c r="C85" s="12">
        <v>2</v>
      </c>
      <c r="D85" s="8">
        <v>1.26</v>
      </c>
      <c r="E85" s="12">
        <v>2</v>
      </c>
      <c r="F85" s="8">
        <v>1.59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220</v>
      </c>
      <c r="C86" s="12">
        <v>2</v>
      </c>
      <c r="D86" s="8">
        <v>1.26</v>
      </c>
      <c r="E86" s="12">
        <v>2</v>
      </c>
      <c r="F86" s="8">
        <v>1.59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228</v>
      </c>
      <c r="C87" s="12">
        <v>2</v>
      </c>
      <c r="D87" s="8">
        <v>1.26</v>
      </c>
      <c r="E87" s="12">
        <v>2</v>
      </c>
      <c r="F87" s="8">
        <v>1.59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193</v>
      </c>
      <c r="C88" s="12">
        <v>2</v>
      </c>
      <c r="D88" s="8">
        <v>1.26</v>
      </c>
      <c r="E88" s="12">
        <v>2</v>
      </c>
      <c r="F88" s="8">
        <v>1.59</v>
      </c>
      <c r="G88" s="12">
        <v>0</v>
      </c>
      <c r="H88" s="8">
        <v>0</v>
      </c>
      <c r="I88" s="12">
        <v>0</v>
      </c>
    </row>
    <row r="90" spans="2:9" ht="15" customHeight="1" x14ac:dyDescent="0.2">
      <c r="B90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A8C4F-3926-4E12-801A-1A11055A288D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422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1</v>
      </c>
      <c r="D5" s="8">
        <v>2.04</v>
      </c>
      <c r="E5" s="12">
        <v>0</v>
      </c>
      <c r="F5" s="8">
        <v>0</v>
      </c>
      <c r="G5" s="12">
        <v>1</v>
      </c>
      <c r="H5" s="8">
        <v>4.3499999999999996</v>
      </c>
      <c r="I5" s="12">
        <v>0</v>
      </c>
    </row>
    <row r="6" spans="2:9" ht="15" customHeight="1" x14ac:dyDescent="0.2">
      <c r="B6" t="s">
        <v>79</v>
      </c>
      <c r="C6" s="12">
        <v>6</v>
      </c>
      <c r="D6" s="8">
        <v>12.24</v>
      </c>
      <c r="E6" s="12">
        <v>1</v>
      </c>
      <c r="F6" s="8">
        <v>4.17</v>
      </c>
      <c r="G6" s="12">
        <v>5</v>
      </c>
      <c r="H6" s="8">
        <v>21.74</v>
      </c>
      <c r="I6" s="12">
        <v>0</v>
      </c>
    </row>
    <row r="7" spans="2:9" ht="15" customHeight="1" x14ac:dyDescent="0.2">
      <c r="B7" t="s">
        <v>80</v>
      </c>
      <c r="C7" s="12">
        <v>2</v>
      </c>
      <c r="D7" s="8">
        <v>4.08</v>
      </c>
      <c r="E7" s="12">
        <v>1</v>
      </c>
      <c r="F7" s="8">
        <v>4.17</v>
      </c>
      <c r="G7" s="12">
        <v>1</v>
      </c>
      <c r="H7" s="8">
        <v>4.3499999999999996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2.04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1</v>
      </c>
      <c r="D10" s="8">
        <v>2.04</v>
      </c>
      <c r="E10" s="12">
        <v>0</v>
      </c>
      <c r="F10" s="8">
        <v>0</v>
      </c>
      <c r="G10" s="12">
        <v>1</v>
      </c>
      <c r="H10" s="8">
        <v>4.3499999999999996</v>
      </c>
      <c r="I10" s="12">
        <v>0</v>
      </c>
    </row>
    <row r="11" spans="2:9" ht="15" customHeight="1" x14ac:dyDescent="0.2">
      <c r="B11" t="s">
        <v>84</v>
      </c>
      <c r="C11" s="12">
        <v>12</v>
      </c>
      <c r="D11" s="8">
        <v>24.49</v>
      </c>
      <c r="E11" s="12">
        <v>5</v>
      </c>
      <c r="F11" s="8">
        <v>20.83</v>
      </c>
      <c r="G11" s="12">
        <v>7</v>
      </c>
      <c r="H11" s="8">
        <v>30.43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87</v>
      </c>
      <c r="C14" s="12">
        <v>2</v>
      </c>
      <c r="D14" s="8">
        <v>4.08</v>
      </c>
      <c r="E14" s="12">
        <v>0</v>
      </c>
      <c r="F14" s="8">
        <v>0</v>
      </c>
      <c r="G14" s="12">
        <v>1</v>
      </c>
      <c r="H14" s="8">
        <v>4.3499999999999996</v>
      </c>
      <c r="I14" s="12">
        <v>0</v>
      </c>
    </row>
    <row r="15" spans="2:9" ht="15" customHeight="1" x14ac:dyDescent="0.2">
      <c r="B15" t="s">
        <v>88</v>
      </c>
      <c r="C15" s="12">
        <v>20</v>
      </c>
      <c r="D15" s="8">
        <v>40.82</v>
      </c>
      <c r="E15" s="12">
        <v>15</v>
      </c>
      <c r="F15" s="8">
        <v>62.5</v>
      </c>
      <c r="G15" s="12">
        <v>5</v>
      </c>
      <c r="H15" s="8">
        <v>21.74</v>
      </c>
      <c r="I15" s="12">
        <v>0</v>
      </c>
    </row>
    <row r="16" spans="2:9" ht="15" customHeight="1" x14ac:dyDescent="0.2">
      <c r="B16" t="s">
        <v>89</v>
      </c>
      <c r="C16" s="12">
        <v>4</v>
      </c>
      <c r="D16" s="8">
        <v>8.16</v>
      </c>
      <c r="E16" s="12">
        <v>2</v>
      </c>
      <c r="F16" s="8">
        <v>8.33</v>
      </c>
      <c r="G16" s="12">
        <v>2</v>
      </c>
      <c r="H16" s="8">
        <v>8.6999999999999993</v>
      </c>
      <c r="I16" s="12">
        <v>0</v>
      </c>
    </row>
    <row r="17" spans="2:9" ht="15" customHeight="1" x14ac:dyDescent="0.2">
      <c r="B17" t="s">
        <v>90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92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363</v>
      </c>
      <c r="C20" s="12">
        <f>SUM(LTBL_20429[総数／事業所数])</f>
        <v>49</v>
      </c>
      <c r="E20" s="12">
        <f>SUBTOTAL(109,LTBL_20429[個人／事業所数])</f>
        <v>24</v>
      </c>
      <c r="G20" s="12">
        <f>SUBTOTAL(109,LTBL_20429[法人／事業所数])</f>
        <v>23</v>
      </c>
      <c r="I20" s="12">
        <f>SUBTOTAL(109,LTBL_20429[法人以外の団体／事業所数])</f>
        <v>0</v>
      </c>
    </row>
    <row r="21" spans="2:9" ht="15" customHeight="1" x14ac:dyDescent="0.2">
      <c r="E21" s="11">
        <f>LTBL_20429[[#Totals],[個人／事業所数]]/LTBL_20429[[#Totals],[総数／事業所数]]</f>
        <v>0.48979591836734693</v>
      </c>
      <c r="G21" s="11">
        <f>LTBL_20429[[#Totals],[法人／事業所数]]/LTBL_20429[[#Totals],[総数／事業所数]]</f>
        <v>0.46938775510204084</v>
      </c>
      <c r="I21" s="11">
        <f>LTBL_20429[[#Totals],[法人以外の団体／事業所数]]/LTBL_20429[[#Totals],[総数／事業所数]]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114</v>
      </c>
      <c r="C24" s="12">
        <v>17</v>
      </c>
      <c r="D24" s="8">
        <v>34.69</v>
      </c>
      <c r="E24" s="12">
        <v>14</v>
      </c>
      <c r="F24" s="8">
        <v>58.33</v>
      </c>
      <c r="G24" s="12">
        <v>3</v>
      </c>
      <c r="H24" s="8">
        <v>13.04</v>
      </c>
      <c r="I24" s="12">
        <v>0</v>
      </c>
    </row>
    <row r="25" spans="2:9" ht="15" customHeight="1" x14ac:dyDescent="0.2">
      <c r="B25" t="s">
        <v>110</v>
      </c>
      <c r="C25" s="12">
        <v>7</v>
      </c>
      <c r="D25" s="8">
        <v>14.29</v>
      </c>
      <c r="E25" s="12">
        <v>4</v>
      </c>
      <c r="F25" s="8">
        <v>16.670000000000002</v>
      </c>
      <c r="G25" s="12">
        <v>3</v>
      </c>
      <c r="H25" s="8">
        <v>13.04</v>
      </c>
      <c r="I25" s="12">
        <v>0</v>
      </c>
    </row>
    <row r="26" spans="2:9" ht="15" customHeight="1" x14ac:dyDescent="0.2">
      <c r="B26" t="s">
        <v>101</v>
      </c>
      <c r="C26" s="12">
        <v>5</v>
      </c>
      <c r="D26" s="8">
        <v>10.199999999999999</v>
      </c>
      <c r="E26" s="12">
        <v>0</v>
      </c>
      <c r="F26" s="8">
        <v>0</v>
      </c>
      <c r="G26" s="12">
        <v>5</v>
      </c>
      <c r="H26" s="8">
        <v>21.74</v>
      </c>
      <c r="I26" s="12">
        <v>0</v>
      </c>
    </row>
    <row r="27" spans="2:9" ht="15" customHeight="1" x14ac:dyDescent="0.2">
      <c r="B27" t="s">
        <v>115</v>
      </c>
      <c r="C27" s="12">
        <v>3</v>
      </c>
      <c r="D27" s="8">
        <v>6.12</v>
      </c>
      <c r="E27" s="12">
        <v>1</v>
      </c>
      <c r="F27" s="8">
        <v>4.17</v>
      </c>
      <c r="G27" s="12">
        <v>2</v>
      </c>
      <c r="H27" s="8">
        <v>8.6999999999999993</v>
      </c>
      <c r="I27" s="12">
        <v>0</v>
      </c>
    </row>
    <row r="28" spans="2:9" ht="15" customHeight="1" x14ac:dyDescent="0.2">
      <c r="B28" t="s">
        <v>137</v>
      </c>
      <c r="C28" s="12">
        <v>2</v>
      </c>
      <c r="D28" s="8">
        <v>4.08</v>
      </c>
      <c r="E28" s="12">
        <v>1</v>
      </c>
      <c r="F28" s="8">
        <v>4.17</v>
      </c>
      <c r="G28" s="12">
        <v>1</v>
      </c>
      <c r="H28" s="8">
        <v>4.3499999999999996</v>
      </c>
      <c r="I28" s="12">
        <v>0</v>
      </c>
    </row>
    <row r="29" spans="2:9" ht="15" customHeight="1" x14ac:dyDescent="0.2">
      <c r="B29" t="s">
        <v>107</v>
      </c>
      <c r="C29" s="12">
        <v>2</v>
      </c>
      <c r="D29" s="8">
        <v>4.08</v>
      </c>
      <c r="E29" s="12">
        <v>1</v>
      </c>
      <c r="F29" s="8">
        <v>4.17</v>
      </c>
      <c r="G29" s="12">
        <v>1</v>
      </c>
      <c r="H29" s="8">
        <v>4.3499999999999996</v>
      </c>
      <c r="I29" s="12">
        <v>0</v>
      </c>
    </row>
    <row r="30" spans="2:9" ht="15" customHeight="1" x14ac:dyDescent="0.2">
      <c r="B30" t="s">
        <v>108</v>
      </c>
      <c r="C30" s="12">
        <v>2</v>
      </c>
      <c r="D30" s="8">
        <v>4.08</v>
      </c>
      <c r="E30" s="12">
        <v>0</v>
      </c>
      <c r="F30" s="8">
        <v>0</v>
      </c>
      <c r="G30" s="12">
        <v>2</v>
      </c>
      <c r="H30" s="8">
        <v>8.6999999999999993</v>
      </c>
      <c r="I30" s="12">
        <v>0</v>
      </c>
    </row>
    <row r="31" spans="2:9" ht="15" customHeight="1" x14ac:dyDescent="0.2">
      <c r="B31" t="s">
        <v>116</v>
      </c>
      <c r="C31" s="12">
        <v>2</v>
      </c>
      <c r="D31" s="8">
        <v>4.08</v>
      </c>
      <c r="E31" s="12">
        <v>2</v>
      </c>
      <c r="F31" s="8">
        <v>8.33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149</v>
      </c>
      <c r="C32" s="12">
        <v>1</v>
      </c>
      <c r="D32" s="8">
        <v>2.04</v>
      </c>
      <c r="E32" s="12">
        <v>0</v>
      </c>
      <c r="F32" s="8">
        <v>0</v>
      </c>
      <c r="G32" s="12">
        <v>1</v>
      </c>
      <c r="H32" s="8">
        <v>4.3499999999999996</v>
      </c>
      <c r="I32" s="12">
        <v>0</v>
      </c>
    </row>
    <row r="33" spans="2:9" ht="15" customHeight="1" x14ac:dyDescent="0.2">
      <c r="B33" t="s">
        <v>102</v>
      </c>
      <c r="C33" s="12">
        <v>1</v>
      </c>
      <c r="D33" s="8">
        <v>2.04</v>
      </c>
      <c r="E33" s="12">
        <v>1</v>
      </c>
      <c r="F33" s="8">
        <v>4.17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139</v>
      </c>
      <c r="C34" s="12">
        <v>1</v>
      </c>
      <c r="D34" s="8">
        <v>2.04</v>
      </c>
      <c r="E34" s="12">
        <v>0</v>
      </c>
      <c r="F34" s="8">
        <v>0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146</v>
      </c>
      <c r="C35" s="12">
        <v>1</v>
      </c>
      <c r="D35" s="8">
        <v>2.04</v>
      </c>
      <c r="E35" s="12">
        <v>0</v>
      </c>
      <c r="F35" s="8">
        <v>0</v>
      </c>
      <c r="G35" s="12">
        <v>1</v>
      </c>
      <c r="H35" s="8">
        <v>4.3499999999999996</v>
      </c>
      <c r="I35" s="12">
        <v>0</v>
      </c>
    </row>
    <row r="36" spans="2:9" ht="15" customHeight="1" x14ac:dyDescent="0.2">
      <c r="B36" t="s">
        <v>125</v>
      </c>
      <c r="C36" s="12">
        <v>1</v>
      </c>
      <c r="D36" s="8">
        <v>2.04</v>
      </c>
      <c r="E36" s="12">
        <v>0</v>
      </c>
      <c r="F36" s="8">
        <v>0</v>
      </c>
      <c r="G36" s="12">
        <v>1</v>
      </c>
      <c r="H36" s="8">
        <v>4.3499999999999996</v>
      </c>
      <c r="I36" s="12">
        <v>0</v>
      </c>
    </row>
    <row r="37" spans="2:9" ht="15" customHeight="1" x14ac:dyDescent="0.2">
      <c r="B37" t="s">
        <v>112</v>
      </c>
      <c r="C37" s="12">
        <v>1</v>
      </c>
      <c r="D37" s="8">
        <v>2.04</v>
      </c>
      <c r="E37" s="12">
        <v>0</v>
      </c>
      <c r="F37" s="8">
        <v>0</v>
      </c>
      <c r="G37" s="12">
        <v>1</v>
      </c>
      <c r="H37" s="8">
        <v>4.3499999999999996</v>
      </c>
      <c r="I37" s="12">
        <v>0</v>
      </c>
    </row>
    <row r="38" spans="2:9" ht="15" customHeight="1" x14ac:dyDescent="0.2">
      <c r="B38" t="s">
        <v>113</v>
      </c>
      <c r="C38" s="12">
        <v>1</v>
      </c>
      <c r="D38" s="8">
        <v>2.04</v>
      </c>
      <c r="E38" s="12">
        <v>0</v>
      </c>
      <c r="F38" s="8">
        <v>0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131</v>
      </c>
      <c r="C39" s="12">
        <v>1</v>
      </c>
      <c r="D39" s="8">
        <v>2.04</v>
      </c>
      <c r="E39" s="12">
        <v>0</v>
      </c>
      <c r="F39" s="8">
        <v>0</v>
      </c>
      <c r="G39" s="12">
        <v>1</v>
      </c>
      <c r="H39" s="8">
        <v>4.3499999999999996</v>
      </c>
      <c r="I39" s="12">
        <v>0</v>
      </c>
    </row>
    <row r="40" spans="2:9" ht="15" customHeight="1" x14ac:dyDescent="0.2">
      <c r="B40" t="s">
        <v>132</v>
      </c>
      <c r="C40" s="12">
        <v>1</v>
      </c>
      <c r="D40" s="8">
        <v>2.04</v>
      </c>
      <c r="E40" s="12">
        <v>0</v>
      </c>
      <c r="F40" s="8">
        <v>0</v>
      </c>
      <c r="G40" s="12">
        <v>1</v>
      </c>
      <c r="H40" s="8">
        <v>4.3499999999999996</v>
      </c>
      <c r="I40" s="12">
        <v>0</v>
      </c>
    </row>
    <row r="43" spans="2:9" ht="33" customHeight="1" x14ac:dyDescent="0.2">
      <c r="B43" t="s">
        <v>365</v>
      </c>
      <c r="C43" s="10" t="s">
        <v>94</v>
      </c>
      <c r="D43" s="10" t="s">
        <v>95</v>
      </c>
      <c r="E43" s="10" t="s">
        <v>96</v>
      </c>
      <c r="F43" s="10" t="s">
        <v>97</v>
      </c>
      <c r="G43" s="10" t="s">
        <v>98</v>
      </c>
      <c r="H43" s="10" t="s">
        <v>99</v>
      </c>
      <c r="I43" s="10" t="s">
        <v>100</v>
      </c>
    </row>
    <row r="44" spans="2:9" ht="15" customHeight="1" x14ac:dyDescent="0.2">
      <c r="B44" t="s">
        <v>185</v>
      </c>
      <c r="C44" s="12">
        <v>16</v>
      </c>
      <c r="D44" s="8">
        <v>32.65</v>
      </c>
      <c r="E44" s="12">
        <v>13</v>
      </c>
      <c r="F44" s="8">
        <v>54.17</v>
      </c>
      <c r="G44" s="12">
        <v>3</v>
      </c>
      <c r="H44" s="8">
        <v>13.04</v>
      </c>
      <c r="I44" s="12">
        <v>0</v>
      </c>
    </row>
    <row r="45" spans="2:9" ht="15" customHeight="1" x14ac:dyDescent="0.2">
      <c r="B45" t="s">
        <v>194</v>
      </c>
      <c r="C45" s="12">
        <v>4</v>
      </c>
      <c r="D45" s="8">
        <v>8.16</v>
      </c>
      <c r="E45" s="12">
        <v>3</v>
      </c>
      <c r="F45" s="8">
        <v>12.5</v>
      </c>
      <c r="G45" s="12">
        <v>1</v>
      </c>
      <c r="H45" s="8">
        <v>4.3499999999999996</v>
      </c>
      <c r="I45" s="12">
        <v>0</v>
      </c>
    </row>
    <row r="46" spans="2:9" ht="15" customHeight="1" x14ac:dyDescent="0.2">
      <c r="B46" t="s">
        <v>174</v>
      </c>
      <c r="C46" s="12">
        <v>3</v>
      </c>
      <c r="D46" s="8">
        <v>6.12</v>
      </c>
      <c r="E46" s="12">
        <v>0</v>
      </c>
      <c r="F46" s="8">
        <v>0</v>
      </c>
      <c r="G46" s="12">
        <v>3</v>
      </c>
      <c r="H46" s="8">
        <v>13.04</v>
      </c>
      <c r="I46" s="12">
        <v>0</v>
      </c>
    </row>
    <row r="47" spans="2:9" ht="15" customHeight="1" x14ac:dyDescent="0.2">
      <c r="B47" t="s">
        <v>230</v>
      </c>
      <c r="C47" s="12">
        <v>2</v>
      </c>
      <c r="D47" s="8">
        <v>4.08</v>
      </c>
      <c r="E47" s="12">
        <v>1</v>
      </c>
      <c r="F47" s="8">
        <v>4.17</v>
      </c>
      <c r="G47" s="12">
        <v>1</v>
      </c>
      <c r="H47" s="8">
        <v>4.3499999999999996</v>
      </c>
      <c r="I47" s="12">
        <v>0</v>
      </c>
    </row>
    <row r="48" spans="2:9" ht="15" customHeight="1" x14ac:dyDescent="0.2">
      <c r="B48" t="s">
        <v>226</v>
      </c>
      <c r="C48" s="12">
        <v>2</v>
      </c>
      <c r="D48" s="8">
        <v>4.08</v>
      </c>
      <c r="E48" s="12">
        <v>1</v>
      </c>
      <c r="F48" s="8">
        <v>4.17</v>
      </c>
      <c r="G48" s="12">
        <v>1</v>
      </c>
      <c r="H48" s="8">
        <v>4.3499999999999996</v>
      </c>
      <c r="I48" s="12">
        <v>0</v>
      </c>
    </row>
    <row r="49" spans="2:9" ht="15" customHeight="1" x14ac:dyDescent="0.2">
      <c r="B49" t="s">
        <v>181</v>
      </c>
      <c r="C49" s="12">
        <v>2</v>
      </c>
      <c r="D49" s="8">
        <v>4.08</v>
      </c>
      <c r="E49" s="12">
        <v>1</v>
      </c>
      <c r="F49" s="8">
        <v>4.17</v>
      </c>
      <c r="G49" s="12">
        <v>1</v>
      </c>
      <c r="H49" s="8">
        <v>4.3499999999999996</v>
      </c>
      <c r="I49" s="12">
        <v>0</v>
      </c>
    </row>
    <row r="50" spans="2:9" ht="15" customHeight="1" x14ac:dyDescent="0.2">
      <c r="B50" t="s">
        <v>220</v>
      </c>
      <c r="C50" s="12">
        <v>2</v>
      </c>
      <c r="D50" s="8">
        <v>4.08</v>
      </c>
      <c r="E50" s="12">
        <v>0</v>
      </c>
      <c r="F50" s="8">
        <v>0</v>
      </c>
      <c r="G50" s="12">
        <v>2</v>
      </c>
      <c r="H50" s="8">
        <v>8.6999999999999993</v>
      </c>
      <c r="I50" s="12">
        <v>0</v>
      </c>
    </row>
    <row r="51" spans="2:9" ht="15" customHeight="1" x14ac:dyDescent="0.2">
      <c r="B51" t="s">
        <v>252</v>
      </c>
      <c r="C51" s="12">
        <v>1</v>
      </c>
      <c r="D51" s="8">
        <v>2.04</v>
      </c>
      <c r="E51" s="12">
        <v>0</v>
      </c>
      <c r="F51" s="8">
        <v>0</v>
      </c>
      <c r="G51" s="12">
        <v>1</v>
      </c>
      <c r="H51" s="8">
        <v>4.3499999999999996</v>
      </c>
      <c r="I51" s="12">
        <v>0</v>
      </c>
    </row>
    <row r="52" spans="2:9" ht="15" customHeight="1" x14ac:dyDescent="0.2">
      <c r="B52" t="s">
        <v>176</v>
      </c>
      <c r="C52" s="12">
        <v>1</v>
      </c>
      <c r="D52" s="8">
        <v>2.04</v>
      </c>
      <c r="E52" s="12">
        <v>0</v>
      </c>
      <c r="F52" s="8">
        <v>0</v>
      </c>
      <c r="G52" s="12">
        <v>1</v>
      </c>
      <c r="H52" s="8">
        <v>4.3499999999999996</v>
      </c>
      <c r="I52" s="12">
        <v>0</v>
      </c>
    </row>
    <row r="53" spans="2:9" ht="15" customHeight="1" x14ac:dyDescent="0.2">
      <c r="B53" t="s">
        <v>208</v>
      </c>
      <c r="C53" s="12">
        <v>1</v>
      </c>
      <c r="D53" s="8">
        <v>2.04</v>
      </c>
      <c r="E53" s="12">
        <v>0</v>
      </c>
      <c r="F53" s="8">
        <v>0</v>
      </c>
      <c r="G53" s="12">
        <v>1</v>
      </c>
      <c r="H53" s="8">
        <v>4.3499999999999996</v>
      </c>
      <c r="I53" s="12">
        <v>0</v>
      </c>
    </row>
    <row r="54" spans="2:9" ht="15" customHeight="1" x14ac:dyDescent="0.2">
      <c r="B54" t="s">
        <v>323</v>
      </c>
      <c r="C54" s="12">
        <v>1</v>
      </c>
      <c r="D54" s="8">
        <v>2.04</v>
      </c>
      <c r="E54" s="12">
        <v>1</v>
      </c>
      <c r="F54" s="8">
        <v>4.17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239</v>
      </c>
      <c r="C55" s="12">
        <v>1</v>
      </c>
      <c r="D55" s="8">
        <v>2.04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316</v>
      </c>
      <c r="C56" s="12">
        <v>1</v>
      </c>
      <c r="D56" s="8">
        <v>2.04</v>
      </c>
      <c r="E56" s="12">
        <v>0</v>
      </c>
      <c r="F56" s="8">
        <v>0</v>
      </c>
      <c r="G56" s="12">
        <v>1</v>
      </c>
      <c r="H56" s="8">
        <v>4.3499999999999996</v>
      </c>
      <c r="I56" s="12">
        <v>0</v>
      </c>
    </row>
    <row r="57" spans="2:9" ht="15" customHeight="1" x14ac:dyDescent="0.2">
      <c r="B57" t="s">
        <v>225</v>
      </c>
      <c r="C57" s="12">
        <v>1</v>
      </c>
      <c r="D57" s="8">
        <v>2.04</v>
      </c>
      <c r="E57" s="12">
        <v>0</v>
      </c>
      <c r="F57" s="8">
        <v>0</v>
      </c>
      <c r="G57" s="12">
        <v>1</v>
      </c>
      <c r="H57" s="8">
        <v>4.3499999999999996</v>
      </c>
      <c r="I57" s="12">
        <v>0</v>
      </c>
    </row>
    <row r="58" spans="2:9" ht="15" customHeight="1" x14ac:dyDescent="0.2">
      <c r="B58" t="s">
        <v>214</v>
      </c>
      <c r="C58" s="12">
        <v>1</v>
      </c>
      <c r="D58" s="8">
        <v>2.04</v>
      </c>
      <c r="E58" s="12">
        <v>0</v>
      </c>
      <c r="F58" s="8">
        <v>0</v>
      </c>
      <c r="G58" s="12">
        <v>1</v>
      </c>
      <c r="H58" s="8">
        <v>4.3499999999999996</v>
      </c>
      <c r="I58" s="12">
        <v>0</v>
      </c>
    </row>
    <row r="59" spans="2:9" ht="15" customHeight="1" x14ac:dyDescent="0.2">
      <c r="B59" t="s">
        <v>179</v>
      </c>
      <c r="C59" s="12">
        <v>1</v>
      </c>
      <c r="D59" s="8">
        <v>2.04</v>
      </c>
      <c r="E59" s="12">
        <v>0</v>
      </c>
      <c r="F59" s="8">
        <v>0</v>
      </c>
      <c r="G59" s="12">
        <v>1</v>
      </c>
      <c r="H59" s="8">
        <v>4.3499999999999996</v>
      </c>
      <c r="I59" s="12">
        <v>0</v>
      </c>
    </row>
    <row r="60" spans="2:9" ht="15" customHeight="1" x14ac:dyDescent="0.2">
      <c r="B60" t="s">
        <v>216</v>
      </c>
      <c r="C60" s="12">
        <v>1</v>
      </c>
      <c r="D60" s="8">
        <v>2.04</v>
      </c>
      <c r="E60" s="12">
        <v>0</v>
      </c>
      <c r="F60" s="8">
        <v>0</v>
      </c>
      <c r="G60" s="12">
        <v>1</v>
      </c>
      <c r="H60" s="8">
        <v>4.3499999999999996</v>
      </c>
      <c r="I60" s="12">
        <v>0</v>
      </c>
    </row>
    <row r="61" spans="2:9" ht="15" customHeight="1" x14ac:dyDescent="0.2">
      <c r="B61" t="s">
        <v>324</v>
      </c>
      <c r="C61" s="12">
        <v>1</v>
      </c>
      <c r="D61" s="8">
        <v>2.04</v>
      </c>
      <c r="E61" s="12">
        <v>0</v>
      </c>
      <c r="F61" s="8">
        <v>0</v>
      </c>
      <c r="G61" s="12">
        <v>1</v>
      </c>
      <c r="H61" s="8">
        <v>4.3499999999999996</v>
      </c>
      <c r="I61" s="12">
        <v>0</v>
      </c>
    </row>
    <row r="62" spans="2:9" ht="15" customHeight="1" x14ac:dyDescent="0.2">
      <c r="B62" t="s">
        <v>184</v>
      </c>
      <c r="C62" s="12">
        <v>1</v>
      </c>
      <c r="D62" s="8">
        <v>2.04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247</v>
      </c>
      <c r="C63" s="12">
        <v>1</v>
      </c>
      <c r="D63" s="8">
        <v>2.04</v>
      </c>
      <c r="E63" s="12">
        <v>1</v>
      </c>
      <c r="F63" s="8">
        <v>4.17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187</v>
      </c>
      <c r="C64" s="12">
        <v>1</v>
      </c>
      <c r="D64" s="8">
        <v>2.04</v>
      </c>
      <c r="E64" s="12">
        <v>1</v>
      </c>
      <c r="F64" s="8">
        <v>4.17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190</v>
      </c>
      <c r="C65" s="12">
        <v>1</v>
      </c>
      <c r="D65" s="8">
        <v>2.04</v>
      </c>
      <c r="E65" s="12">
        <v>1</v>
      </c>
      <c r="F65" s="8">
        <v>4.17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191</v>
      </c>
      <c r="C66" s="12">
        <v>1</v>
      </c>
      <c r="D66" s="8">
        <v>2.04</v>
      </c>
      <c r="E66" s="12">
        <v>1</v>
      </c>
      <c r="F66" s="8">
        <v>4.17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228</v>
      </c>
      <c r="C67" s="12">
        <v>1</v>
      </c>
      <c r="D67" s="8">
        <v>2.04</v>
      </c>
      <c r="E67" s="12">
        <v>0</v>
      </c>
      <c r="F67" s="8">
        <v>0</v>
      </c>
      <c r="G67" s="12">
        <v>1</v>
      </c>
      <c r="H67" s="8">
        <v>4.3499999999999996</v>
      </c>
      <c r="I67" s="12">
        <v>0</v>
      </c>
    </row>
    <row r="68" spans="2:9" ht="15" customHeight="1" x14ac:dyDescent="0.2">
      <c r="B68" t="s">
        <v>229</v>
      </c>
      <c r="C68" s="12">
        <v>1</v>
      </c>
      <c r="D68" s="8">
        <v>2.04</v>
      </c>
      <c r="E68" s="12">
        <v>0</v>
      </c>
      <c r="F68" s="8">
        <v>0</v>
      </c>
      <c r="G68" s="12">
        <v>1</v>
      </c>
      <c r="H68" s="8">
        <v>4.3499999999999996</v>
      </c>
      <c r="I68" s="12">
        <v>0</v>
      </c>
    </row>
    <row r="70" spans="2:9" ht="15" customHeight="1" x14ac:dyDescent="0.2">
      <c r="B70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8380B-3001-4A51-B5BD-2D8C96D29CE0}">
  <sheetPr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423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1</v>
      </c>
      <c r="D5" s="8">
        <v>0.64</v>
      </c>
      <c r="E5" s="12">
        <v>0</v>
      </c>
      <c r="F5" s="8">
        <v>0</v>
      </c>
      <c r="G5" s="12">
        <v>1</v>
      </c>
      <c r="H5" s="8">
        <v>1.79</v>
      </c>
      <c r="I5" s="12">
        <v>0</v>
      </c>
    </row>
    <row r="6" spans="2:9" ht="15" customHeight="1" x14ac:dyDescent="0.2">
      <c r="B6" t="s">
        <v>79</v>
      </c>
      <c r="C6" s="12">
        <v>38</v>
      </c>
      <c r="D6" s="8">
        <v>24.36</v>
      </c>
      <c r="E6" s="12">
        <v>17</v>
      </c>
      <c r="F6" s="8">
        <v>18.09</v>
      </c>
      <c r="G6" s="12">
        <v>21</v>
      </c>
      <c r="H6" s="8">
        <v>37.5</v>
      </c>
      <c r="I6" s="12">
        <v>0</v>
      </c>
    </row>
    <row r="7" spans="2:9" ht="15" customHeight="1" x14ac:dyDescent="0.2">
      <c r="B7" t="s">
        <v>80</v>
      </c>
      <c r="C7" s="12">
        <v>22</v>
      </c>
      <c r="D7" s="8">
        <v>14.1</v>
      </c>
      <c r="E7" s="12">
        <v>7</v>
      </c>
      <c r="F7" s="8">
        <v>7.45</v>
      </c>
      <c r="G7" s="12">
        <v>15</v>
      </c>
      <c r="H7" s="8">
        <v>26.79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0.64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1</v>
      </c>
      <c r="D10" s="8">
        <v>0.64</v>
      </c>
      <c r="E10" s="12">
        <v>0</v>
      </c>
      <c r="F10" s="8">
        <v>0</v>
      </c>
      <c r="G10" s="12">
        <v>1</v>
      </c>
      <c r="H10" s="8">
        <v>1.79</v>
      </c>
      <c r="I10" s="12">
        <v>0</v>
      </c>
    </row>
    <row r="11" spans="2:9" ht="15" customHeight="1" x14ac:dyDescent="0.2">
      <c r="B11" t="s">
        <v>84</v>
      </c>
      <c r="C11" s="12">
        <v>33</v>
      </c>
      <c r="D11" s="8">
        <v>21.15</v>
      </c>
      <c r="E11" s="12">
        <v>26</v>
      </c>
      <c r="F11" s="8">
        <v>27.66</v>
      </c>
      <c r="G11" s="12">
        <v>5</v>
      </c>
      <c r="H11" s="8">
        <v>8.93</v>
      </c>
      <c r="I11" s="12">
        <v>2</v>
      </c>
    </row>
    <row r="12" spans="2:9" ht="15" customHeight="1" x14ac:dyDescent="0.2">
      <c r="B12" t="s">
        <v>85</v>
      </c>
      <c r="C12" s="12">
        <v>4</v>
      </c>
      <c r="D12" s="8">
        <v>2.56</v>
      </c>
      <c r="E12" s="12">
        <v>2</v>
      </c>
      <c r="F12" s="8">
        <v>2.13</v>
      </c>
      <c r="G12" s="12">
        <v>2</v>
      </c>
      <c r="H12" s="8">
        <v>3.57</v>
      </c>
      <c r="I12" s="12">
        <v>0</v>
      </c>
    </row>
    <row r="13" spans="2:9" ht="15" customHeight="1" x14ac:dyDescent="0.2">
      <c r="B13" t="s">
        <v>86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87</v>
      </c>
      <c r="C14" s="12">
        <v>5</v>
      </c>
      <c r="D14" s="8">
        <v>3.21</v>
      </c>
      <c r="E14" s="12">
        <v>3</v>
      </c>
      <c r="F14" s="8">
        <v>3.19</v>
      </c>
      <c r="G14" s="12">
        <v>2</v>
      </c>
      <c r="H14" s="8">
        <v>3.57</v>
      </c>
      <c r="I14" s="12">
        <v>0</v>
      </c>
    </row>
    <row r="15" spans="2:9" ht="15" customHeight="1" x14ac:dyDescent="0.2">
      <c r="B15" t="s">
        <v>88</v>
      </c>
      <c r="C15" s="12">
        <v>13</v>
      </c>
      <c r="D15" s="8">
        <v>8.33</v>
      </c>
      <c r="E15" s="12">
        <v>9</v>
      </c>
      <c r="F15" s="8">
        <v>9.57</v>
      </c>
      <c r="G15" s="12">
        <v>4</v>
      </c>
      <c r="H15" s="8">
        <v>7.14</v>
      </c>
      <c r="I15" s="12">
        <v>0</v>
      </c>
    </row>
    <row r="16" spans="2:9" ht="15" customHeight="1" x14ac:dyDescent="0.2">
      <c r="B16" t="s">
        <v>89</v>
      </c>
      <c r="C16" s="12">
        <v>18</v>
      </c>
      <c r="D16" s="8">
        <v>11.54</v>
      </c>
      <c r="E16" s="12">
        <v>18</v>
      </c>
      <c r="F16" s="8">
        <v>19.149999999999999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90</v>
      </c>
      <c r="C17" s="12">
        <v>7</v>
      </c>
      <c r="D17" s="8">
        <v>4.49</v>
      </c>
      <c r="E17" s="12">
        <v>6</v>
      </c>
      <c r="F17" s="8">
        <v>6.38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9</v>
      </c>
      <c r="D18" s="8">
        <v>5.77</v>
      </c>
      <c r="E18" s="12">
        <v>6</v>
      </c>
      <c r="F18" s="8">
        <v>6.38</v>
      </c>
      <c r="G18" s="12">
        <v>1</v>
      </c>
      <c r="H18" s="8">
        <v>1.79</v>
      </c>
      <c r="I18" s="12">
        <v>0</v>
      </c>
    </row>
    <row r="19" spans="2:9" ht="15" customHeight="1" x14ac:dyDescent="0.2">
      <c r="B19" t="s">
        <v>92</v>
      </c>
      <c r="C19" s="12">
        <v>4</v>
      </c>
      <c r="D19" s="8">
        <v>2.56</v>
      </c>
      <c r="E19" s="12">
        <v>0</v>
      </c>
      <c r="F19" s="8">
        <v>0</v>
      </c>
      <c r="G19" s="12">
        <v>4</v>
      </c>
      <c r="H19" s="8">
        <v>7.14</v>
      </c>
      <c r="I19" s="12">
        <v>0</v>
      </c>
    </row>
    <row r="20" spans="2:9" ht="15" customHeight="1" x14ac:dyDescent="0.2">
      <c r="B20" s="9" t="s">
        <v>363</v>
      </c>
      <c r="C20" s="12">
        <f>SUM(LTBL_20430[総数／事業所数])</f>
        <v>156</v>
      </c>
      <c r="E20" s="12">
        <f>SUBTOTAL(109,LTBL_20430[個人／事業所数])</f>
        <v>94</v>
      </c>
      <c r="G20" s="12">
        <f>SUBTOTAL(109,LTBL_20430[法人／事業所数])</f>
        <v>56</v>
      </c>
      <c r="I20" s="12">
        <f>SUBTOTAL(109,LTBL_20430[法人以外の団体／事業所数])</f>
        <v>2</v>
      </c>
    </row>
    <row r="21" spans="2:9" ht="15" customHeight="1" x14ac:dyDescent="0.2">
      <c r="E21" s="11">
        <f>LTBL_20430[[#Totals],[個人／事業所数]]/LTBL_20430[[#Totals],[総数／事業所数]]</f>
        <v>0.60256410256410253</v>
      </c>
      <c r="G21" s="11">
        <f>LTBL_20430[[#Totals],[法人／事業所数]]/LTBL_20430[[#Totals],[総数／事業所数]]</f>
        <v>0.35897435897435898</v>
      </c>
      <c r="I21" s="11">
        <f>LTBL_20430[[#Totals],[法人以外の団体／事業所数]]/LTBL_20430[[#Totals],[総数／事業所数]]</f>
        <v>1.282051282051282E-2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101</v>
      </c>
      <c r="C24" s="12">
        <v>21</v>
      </c>
      <c r="D24" s="8">
        <v>13.46</v>
      </c>
      <c r="E24" s="12">
        <v>7</v>
      </c>
      <c r="F24" s="8">
        <v>7.45</v>
      </c>
      <c r="G24" s="12">
        <v>14</v>
      </c>
      <c r="H24" s="8">
        <v>25</v>
      </c>
      <c r="I24" s="12">
        <v>0</v>
      </c>
    </row>
    <row r="25" spans="2:9" ht="15" customHeight="1" x14ac:dyDescent="0.2">
      <c r="B25" t="s">
        <v>116</v>
      </c>
      <c r="C25" s="12">
        <v>16</v>
      </c>
      <c r="D25" s="8">
        <v>10.26</v>
      </c>
      <c r="E25" s="12">
        <v>16</v>
      </c>
      <c r="F25" s="8">
        <v>17.02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137</v>
      </c>
      <c r="C26" s="12">
        <v>11</v>
      </c>
      <c r="D26" s="8">
        <v>7.05</v>
      </c>
      <c r="E26" s="12">
        <v>4</v>
      </c>
      <c r="F26" s="8">
        <v>4.26</v>
      </c>
      <c r="G26" s="12">
        <v>7</v>
      </c>
      <c r="H26" s="8">
        <v>12.5</v>
      </c>
      <c r="I26" s="12">
        <v>0</v>
      </c>
    </row>
    <row r="27" spans="2:9" ht="15" customHeight="1" x14ac:dyDescent="0.2">
      <c r="B27" t="s">
        <v>108</v>
      </c>
      <c r="C27" s="12">
        <v>11</v>
      </c>
      <c r="D27" s="8">
        <v>7.05</v>
      </c>
      <c r="E27" s="12">
        <v>9</v>
      </c>
      <c r="F27" s="8">
        <v>9.57</v>
      </c>
      <c r="G27" s="12">
        <v>0</v>
      </c>
      <c r="H27" s="8">
        <v>0</v>
      </c>
      <c r="I27" s="12">
        <v>2</v>
      </c>
    </row>
    <row r="28" spans="2:9" ht="15" customHeight="1" x14ac:dyDescent="0.2">
      <c r="B28" t="s">
        <v>115</v>
      </c>
      <c r="C28" s="12">
        <v>11</v>
      </c>
      <c r="D28" s="8">
        <v>7.05</v>
      </c>
      <c r="E28" s="12">
        <v>7</v>
      </c>
      <c r="F28" s="8">
        <v>7.45</v>
      </c>
      <c r="G28" s="12">
        <v>4</v>
      </c>
      <c r="H28" s="8">
        <v>7.14</v>
      </c>
      <c r="I28" s="12">
        <v>0</v>
      </c>
    </row>
    <row r="29" spans="2:9" ht="15" customHeight="1" x14ac:dyDescent="0.2">
      <c r="B29" t="s">
        <v>110</v>
      </c>
      <c r="C29" s="12">
        <v>10</v>
      </c>
      <c r="D29" s="8">
        <v>6.41</v>
      </c>
      <c r="E29" s="12">
        <v>8</v>
      </c>
      <c r="F29" s="8">
        <v>8.51</v>
      </c>
      <c r="G29" s="12">
        <v>2</v>
      </c>
      <c r="H29" s="8">
        <v>3.57</v>
      </c>
      <c r="I29" s="12">
        <v>0</v>
      </c>
    </row>
    <row r="30" spans="2:9" ht="15" customHeight="1" x14ac:dyDescent="0.2">
      <c r="B30" t="s">
        <v>103</v>
      </c>
      <c r="C30" s="12">
        <v>9</v>
      </c>
      <c r="D30" s="8">
        <v>5.77</v>
      </c>
      <c r="E30" s="12">
        <v>5</v>
      </c>
      <c r="F30" s="8">
        <v>5.32</v>
      </c>
      <c r="G30" s="12">
        <v>4</v>
      </c>
      <c r="H30" s="8">
        <v>7.14</v>
      </c>
      <c r="I30" s="12">
        <v>0</v>
      </c>
    </row>
    <row r="31" spans="2:9" ht="15" customHeight="1" x14ac:dyDescent="0.2">
      <c r="B31" t="s">
        <v>102</v>
      </c>
      <c r="C31" s="12">
        <v>8</v>
      </c>
      <c r="D31" s="8">
        <v>5.13</v>
      </c>
      <c r="E31" s="12">
        <v>5</v>
      </c>
      <c r="F31" s="8">
        <v>5.32</v>
      </c>
      <c r="G31" s="12">
        <v>3</v>
      </c>
      <c r="H31" s="8">
        <v>5.36</v>
      </c>
      <c r="I31" s="12">
        <v>0</v>
      </c>
    </row>
    <row r="32" spans="2:9" ht="15" customHeight="1" x14ac:dyDescent="0.2">
      <c r="B32" t="s">
        <v>117</v>
      </c>
      <c r="C32" s="12">
        <v>7</v>
      </c>
      <c r="D32" s="8">
        <v>4.49</v>
      </c>
      <c r="E32" s="12">
        <v>6</v>
      </c>
      <c r="F32" s="8">
        <v>6.38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107</v>
      </c>
      <c r="C33" s="12">
        <v>6</v>
      </c>
      <c r="D33" s="8">
        <v>3.85</v>
      </c>
      <c r="E33" s="12">
        <v>6</v>
      </c>
      <c r="F33" s="8">
        <v>6.38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118</v>
      </c>
      <c r="C34" s="12">
        <v>6</v>
      </c>
      <c r="D34" s="8">
        <v>3.85</v>
      </c>
      <c r="E34" s="12">
        <v>6</v>
      </c>
      <c r="F34" s="8">
        <v>6.38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134</v>
      </c>
      <c r="C35" s="12">
        <v>4</v>
      </c>
      <c r="D35" s="8">
        <v>2.56</v>
      </c>
      <c r="E35" s="12">
        <v>2</v>
      </c>
      <c r="F35" s="8">
        <v>2.13</v>
      </c>
      <c r="G35" s="12">
        <v>2</v>
      </c>
      <c r="H35" s="8">
        <v>3.57</v>
      </c>
      <c r="I35" s="12">
        <v>0</v>
      </c>
    </row>
    <row r="36" spans="2:9" ht="15" customHeight="1" x14ac:dyDescent="0.2">
      <c r="B36" t="s">
        <v>143</v>
      </c>
      <c r="C36" s="12">
        <v>3</v>
      </c>
      <c r="D36" s="8">
        <v>1.92</v>
      </c>
      <c r="E36" s="12">
        <v>0</v>
      </c>
      <c r="F36" s="8">
        <v>0</v>
      </c>
      <c r="G36" s="12">
        <v>3</v>
      </c>
      <c r="H36" s="8">
        <v>5.36</v>
      </c>
      <c r="I36" s="12">
        <v>0</v>
      </c>
    </row>
    <row r="37" spans="2:9" ht="15" customHeight="1" x14ac:dyDescent="0.2">
      <c r="B37" t="s">
        <v>154</v>
      </c>
      <c r="C37" s="12">
        <v>3</v>
      </c>
      <c r="D37" s="8">
        <v>1.92</v>
      </c>
      <c r="E37" s="12">
        <v>2</v>
      </c>
      <c r="F37" s="8">
        <v>2.13</v>
      </c>
      <c r="G37" s="12">
        <v>1</v>
      </c>
      <c r="H37" s="8">
        <v>1.79</v>
      </c>
      <c r="I37" s="12">
        <v>0</v>
      </c>
    </row>
    <row r="38" spans="2:9" ht="15" customHeight="1" x14ac:dyDescent="0.2">
      <c r="B38" t="s">
        <v>109</v>
      </c>
      <c r="C38" s="12">
        <v>3</v>
      </c>
      <c r="D38" s="8">
        <v>1.92</v>
      </c>
      <c r="E38" s="12">
        <v>2</v>
      </c>
      <c r="F38" s="8">
        <v>2.13</v>
      </c>
      <c r="G38" s="12">
        <v>1</v>
      </c>
      <c r="H38" s="8">
        <v>1.79</v>
      </c>
      <c r="I38" s="12">
        <v>0</v>
      </c>
    </row>
    <row r="39" spans="2:9" ht="15" customHeight="1" x14ac:dyDescent="0.2">
      <c r="B39" t="s">
        <v>112</v>
      </c>
      <c r="C39" s="12">
        <v>3</v>
      </c>
      <c r="D39" s="8">
        <v>1.92</v>
      </c>
      <c r="E39" s="12">
        <v>1</v>
      </c>
      <c r="F39" s="8">
        <v>1.06</v>
      </c>
      <c r="G39" s="12">
        <v>2</v>
      </c>
      <c r="H39" s="8">
        <v>3.57</v>
      </c>
      <c r="I39" s="12">
        <v>0</v>
      </c>
    </row>
    <row r="40" spans="2:9" ht="15" customHeight="1" x14ac:dyDescent="0.2">
      <c r="B40" t="s">
        <v>119</v>
      </c>
      <c r="C40" s="12">
        <v>3</v>
      </c>
      <c r="D40" s="8">
        <v>1.92</v>
      </c>
      <c r="E40" s="12">
        <v>0</v>
      </c>
      <c r="F40" s="8">
        <v>0</v>
      </c>
      <c r="G40" s="12">
        <v>1</v>
      </c>
      <c r="H40" s="8">
        <v>1.79</v>
      </c>
      <c r="I40" s="12">
        <v>0</v>
      </c>
    </row>
    <row r="41" spans="2:9" ht="15" customHeight="1" x14ac:dyDescent="0.2">
      <c r="B41" t="s">
        <v>163</v>
      </c>
      <c r="C41" s="12">
        <v>3</v>
      </c>
      <c r="D41" s="8">
        <v>1.92</v>
      </c>
      <c r="E41" s="12">
        <v>0</v>
      </c>
      <c r="F41" s="8">
        <v>0</v>
      </c>
      <c r="G41" s="12">
        <v>3</v>
      </c>
      <c r="H41" s="8">
        <v>5.36</v>
      </c>
      <c r="I41" s="12">
        <v>0</v>
      </c>
    </row>
    <row r="42" spans="2:9" ht="15" customHeight="1" x14ac:dyDescent="0.2">
      <c r="B42" t="s">
        <v>121</v>
      </c>
      <c r="C42" s="12">
        <v>2</v>
      </c>
      <c r="D42" s="8">
        <v>1.28</v>
      </c>
      <c r="E42" s="12">
        <v>1</v>
      </c>
      <c r="F42" s="8">
        <v>1.06</v>
      </c>
      <c r="G42" s="12">
        <v>1</v>
      </c>
      <c r="H42" s="8">
        <v>1.79</v>
      </c>
      <c r="I42" s="12">
        <v>0</v>
      </c>
    </row>
    <row r="43" spans="2:9" ht="15" customHeight="1" x14ac:dyDescent="0.2">
      <c r="B43" t="s">
        <v>113</v>
      </c>
      <c r="C43" s="12">
        <v>2</v>
      </c>
      <c r="D43" s="8">
        <v>1.28</v>
      </c>
      <c r="E43" s="12">
        <v>2</v>
      </c>
      <c r="F43" s="8">
        <v>2.13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114</v>
      </c>
      <c r="C44" s="12">
        <v>2</v>
      </c>
      <c r="D44" s="8">
        <v>1.28</v>
      </c>
      <c r="E44" s="12">
        <v>2</v>
      </c>
      <c r="F44" s="8">
        <v>2.13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365</v>
      </c>
      <c r="C47" s="10" t="s">
        <v>94</v>
      </c>
      <c r="D47" s="10" t="s">
        <v>95</v>
      </c>
      <c r="E47" s="10" t="s">
        <v>96</v>
      </c>
      <c r="F47" s="10" t="s">
        <v>97</v>
      </c>
      <c r="G47" s="10" t="s">
        <v>98</v>
      </c>
      <c r="H47" s="10" t="s">
        <v>99</v>
      </c>
      <c r="I47" s="10" t="s">
        <v>100</v>
      </c>
    </row>
    <row r="48" spans="2:9" ht="15" customHeight="1" x14ac:dyDescent="0.2">
      <c r="B48" t="s">
        <v>174</v>
      </c>
      <c r="C48" s="12">
        <v>9</v>
      </c>
      <c r="D48" s="8">
        <v>5.77</v>
      </c>
      <c r="E48" s="12">
        <v>2</v>
      </c>
      <c r="F48" s="8">
        <v>2.13</v>
      </c>
      <c r="G48" s="12">
        <v>7</v>
      </c>
      <c r="H48" s="8">
        <v>12.5</v>
      </c>
      <c r="I48" s="12">
        <v>0</v>
      </c>
    </row>
    <row r="49" spans="2:9" ht="15" customHeight="1" x14ac:dyDescent="0.2">
      <c r="B49" t="s">
        <v>191</v>
      </c>
      <c r="C49" s="12">
        <v>9</v>
      </c>
      <c r="D49" s="8">
        <v>5.77</v>
      </c>
      <c r="E49" s="12">
        <v>9</v>
      </c>
      <c r="F49" s="8">
        <v>9.57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175</v>
      </c>
      <c r="C50" s="12">
        <v>6</v>
      </c>
      <c r="D50" s="8">
        <v>3.85</v>
      </c>
      <c r="E50" s="12">
        <v>2</v>
      </c>
      <c r="F50" s="8">
        <v>2.13</v>
      </c>
      <c r="G50" s="12">
        <v>4</v>
      </c>
      <c r="H50" s="8">
        <v>7.14</v>
      </c>
      <c r="I50" s="12">
        <v>0</v>
      </c>
    </row>
    <row r="51" spans="2:9" ht="15" customHeight="1" x14ac:dyDescent="0.2">
      <c r="B51" t="s">
        <v>178</v>
      </c>
      <c r="C51" s="12">
        <v>6</v>
      </c>
      <c r="D51" s="8">
        <v>3.85</v>
      </c>
      <c r="E51" s="12">
        <v>5</v>
      </c>
      <c r="F51" s="8">
        <v>5.32</v>
      </c>
      <c r="G51" s="12">
        <v>1</v>
      </c>
      <c r="H51" s="8">
        <v>1.79</v>
      </c>
      <c r="I51" s="12">
        <v>0</v>
      </c>
    </row>
    <row r="52" spans="2:9" ht="15" customHeight="1" x14ac:dyDescent="0.2">
      <c r="B52" t="s">
        <v>176</v>
      </c>
      <c r="C52" s="12">
        <v>5</v>
      </c>
      <c r="D52" s="8">
        <v>3.21</v>
      </c>
      <c r="E52" s="12">
        <v>2</v>
      </c>
      <c r="F52" s="8">
        <v>2.13</v>
      </c>
      <c r="G52" s="12">
        <v>3</v>
      </c>
      <c r="H52" s="8">
        <v>5.36</v>
      </c>
      <c r="I52" s="12">
        <v>0</v>
      </c>
    </row>
    <row r="53" spans="2:9" ht="15" customHeight="1" x14ac:dyDescent="0.2">
      <c r="B53" t="s">
        <v>216</v>
      </c>
      <c r="C53" s="12">
        <v>5</v>
      </c>
      <c r="D53" s="8">
        <v>3.21</v>
      </c>
      <c r="E53" s="12">
        <v>3</v>
      </c>
      <c r="F53" s="8">
        <v>3.19</v>
      </c>
      <c r="G53" s="12">
        <v>2</v>
      </c>
      <c r="H53" s="8">
        <v>3.57</v>
      </c>
      <c r="I53" s="12">
        <v>0</v>
      </c>
    </row>
    <row r="54" spans="2:9" ht="15" customHeight="1" x14ac:dyDescent="0.2">
      <c r="B54" t="s">
        <v>193</v>
      </c>
      <c r="C54" s="12">
        <v>5</v>
      </c>
      <c r="D54" s="8">
        <v>3.21</v>
      </c>
      <c r="E54" s="12">
        <v>5</v>
      </c>
      <c r="F54" s="8">
        <v>5.32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230</v>
      </c>
      <c r="C55" s="12">
        <v>4</v>
      </c>
      <c r="D55" s="8">
        <v>2.56</v>
      </c>
      <c r="E55" s="12">
        <v>1</v>
      </c>
      <c r="F55" s="8">
        <v>1.06</v>
      </c>
      <c r="G55" s="12">
        <v>3</v>
      </c>
      <c r="H55" s="8">
        <v>5.36</v>
      </c>
      <c r="I55" s="12">
        <v>0</v>
      </c>
    </row>
    <row r="56" spans="2:9" ht="15" customHeight="1" x14ac:dyDescent="0.2">
      <c r="B56" t="s">
        <v>298</v>
      </c>
      <c r="C56" s="12">
        <v>4</v>
      </c>
      <c r="D56" s="8">
        <v>2.56</v>
      </c>
      <c r="E56" s="12">
        <v>2</v>
      </c>
      <c r="F56" s="8">
        <v>2.13</v>
      </c>
      <c r="G56" s="12">
        <v>2</v>
      </c>
      <c r="H56" s="8">
        <v>3.57</v>
      </c>
      <c r="I56" s="12">
        <v>0</v>
      </c>
    </row>
    <row r="57" spans="2:9" ht="15" customHeight="1" x14ac:dyDescent="0.2">
      <c r="B57" t="s">
        <v>196</v>
      </c>
      <c r="C57" s="12">
        <v>4</v>
      </c>
      <c r="D57" s="8">
        <v>2.56</v>
      </c>
      <c r="E57" s="12">
        <v>4</v>
      </c>
      <c r="F57" s="8">
        <v>4.26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197</v>
      </c>
      <c r="C58" s="12">
        <v>4</v>
      </c>
      <c r="D58" s="8">
        <v>2.56</v>
      </c>
      <c r="E58" s="12">
        <v>2</v>
      </c>
      <c r="F58" s="8">
        <v>2.13</v>
      </c>
      <c r="G58" s="12">
        <v>0</v>
      </c>
      <c r="H58" s="8">
        <v>0</v>
      </c>
      <c r="I58" s="12">
        <v>2</v>
      </c>
    </row>
    <row r="59" spans="2:9" ht="15" customHeight="1" x14ac:dyDescent="0.2">
      <c r="B59" t="s">
        <v>212</v>
      </c>
      <c r="C59" s="12">
        <v>4</v>
      </c>
      <c r="D59" s="8">
        <v>2.56</v>
      </c>
      <c r="E59" s="12">
        <v>2</v>
      </c>
      <c r="F59" s="8">
        <v>2.13</v>
      </c>
      <c r="G59" s="12">
        <v>2</v>
      </c>
      <c r="H59" s="8">
        <v>3.57</v>
      </c>
      <c r="I59" s="12">
        <v>0</v>
      </c>
    </row>
    <row r="60" spans="2:9" ht="15" customHeight="1" x14ac:dyDescent="0.2">
      <c r="B60" t="s">
        <v>187</v>
      </c>
      <c r="C60" s="12">
        <v>4</v>
      </c>
      <c r="D60" s="8">
        <v>2.56</v>
      </c>
      <c r="E60" s="12">
        <v>1</v>
      </c>
      <c r="F60" s="8">
        <v>1.06</v>
      </c>
      <c r="G60" s="12">
        <v>3</v>
      </c>
      <c r="H60" s="8">
        <v>5.36</v>
      </c>
      <c r="I60" s="12">
        <v>0</v>
      </c>
    </row>
    <row r="61" spans="2:9" ht="15" customHeight="1" x14ac:dyDescent="0.2">
      <c r="B61" t="s">
        <v>190</v>
      </c>
      <c r="C61" s="12">
        <v>4</v>
      </c>
      <c r="D61" s="8">
        <v>2.56</v>
      </c>
      <c r="E61" s="12">
        <v>4</v>
      </c>
      <c r="F61" s="8">
        <v>4.26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192</v>
      </c>
      <c r="C62" s="12">
        <v>4</v>
      </c>
      <c r="D62" s="8">
        <v>2.56</v>
      </c>
      <c r="E62" s="12">
        <v>4</v>
      </c>
      <c r="F62" s="8">
        <v>4.26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179</v>
      </c>
      <c r="C63" s="12">
        <v>3</v>
      </c>
      <c r="D63" s="8">
        <v>1.92</v>
      </c>
      <c r="E63" s="12">
        <v>3</v>
      </c>
      <c r="F63" s="8">
        <v>3.19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181</v>
      </c>
      <c r="C64" s="12">
        <v>3</v>
      </c>
      <c r="D64" s="8">
        <v>1.92</v>
      </c>
      <c r="E64" s="12">
        <v>3</v>
      </c>
      <c r="F64" s="8">
        <v>3.19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186</v>
      </c>
      <c r="C65" s="12">
        <v>3</v>
      </c>
      <c r="D65" s="8">
        <v>1.92</v>
      </c>
      <c r="E65" s="12">
        <v>2</v>
      </c>
      <c r="F65" s="8">
        <v>2.13</v>
      </c>
      <c r="G65" s="12">
        <v>1</v>
      </c>
      <c r="H65" s="8">
        <v>1.79</v>
      </c>
      <c r="I65" s="12">
        <v>0</v>
      </c>
    </row>
    <row r="66" spans="2:9" ht="15" customHeight="1" x14ac:dyDescent="0.2">
      <c r="B66" t="s">
        <v>199</v>
      </c>
      <c r="C66" s="12">
        <v>3</v>
      </c>
      <c r="D66" s="8">
        <v>1.92</v>
      </c>
      <c r="E66" s="12">
        <v>3</v>
      </c>
      <c r="F66" s="8">
        <v>3.19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286</v>
      </c>
      <c r="C67" s="12">
        <v>2</v>
      </c>
      <c r="D67" s="8">
        <v>1.28</v>
      </c>
      <c r="E67" s="12">
        <v>2</v>
      </c>
      <c r="F67" s="8">
        <v>2.13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261</v>
      </c>
      <c r="C68" s="12">
        <v>2</v>
      </c>
      <c r="D68" s="8">
        <v>1.28</v>
      </c>
      <c r="E68" s="12">
        <v>1</v>
      </c>
      <c r="F68" s="8">
        <v>1.06</v>
      </c>
      <c r="G68" s="12">
        <v>1</v>
      </c>
      <c r="H68" s="8">
        <v>1.79</v>
      </c>
      <c r="I68" s="12">
        <v>0</v>
      </c>
    </row>
    <row r="69" spans="2:9" ht="15" customHeight="1" x14ac:dyDescent="0.2">
      <c r="B69" t="s">
        <v>177</v>
      </c>
      <c r="C69" s="12">
        <v>2</v>
      </c>
      <c r="D69" s="8">
        <v>1.28</v>
      </c>
      <c r="E69" s="12">
        <v>0</v>
      </c>
      <c r="F69" s="8">
        <v>0</v>
      </c>
      <c r="G69" s="12">
        <v>2</v>
      </c>
      <c r="H69" s="8">
        <v>3.57</v>
      </c>
      <c r="I69" s="12">
        <v>0</v>
      </c>
    </row>
    <row r="70" spans="2:9" ht="15" customHeight="1" x14ac:dyDescent="0.2">
      <c r="B70" t="s">
        <v>318</v>
      </c>
      <c r="C70" s="12">
        <v>2</v>
      </c>
      <c r="D70" s="8">
        <v>1.28</v>
      </c>
      <c r="E70" s="12">
        <v>1</v>
      </c>
      <c r="F70" s="8">
        <v>1.06</v>
      </c>
      <c r="G70" s="12">
        <v>1</v>
      </c>
      <c r="H70" s="8">
        <v>1.79</v>
      </c>
      <c r="I70" s="12">
        <v>0</v>
      </c>
    </row>
    <row r="71" spans="2:9" ht="15" customHeight="1" x14ac:dyDescent="0.2">
      <c r="B71" t="s">
        <v>272</v>
      </c>
      <c r="C71" s="12">
        <v>2</v>
      </c>
      <c r="D71" s="8">
        <v>1.28</v>
      </c>
      <c r="E71" s="12">
        <v>0</v>
      </c>
      <c r="F71" s="8">
        <v>0</v>
      </c>
      <c r="G71" s="12">
        <v>2</v>
      </c>
      <c r="H71" s="8">
        <v>3.57</v>
      </c>
      <c r="I71" s="12">
        <v>0</v>
      </c>
    </row>
    <row r="72" spans="2:9" ht="15" customHeight="1" x14ac:dyDescent="0.2">
      <c r="B72" t="s">
        <v>275</v>
      </c>
      <c r="C72" s="12">
        <v>2</v>
      </c>
      <c r="D72" s="8">
        <v>1.28</v>
      </c>
      <c r="E72" s="12">
        <v>1</v>
      </c>
      <c r="F72" s="8">
        <v>1.06</v>
      </c>
      <c r="G72" s="12">
        <v>1</v>
      </c>
      <c r="H72" s="8">
        <v>1.79</v>
      </c>
      <c r="I72" s="12">
        <v>0</v>
      </c>
    </row>
    <row r="73" spans="2:9" ht="15" customHeight="1" x14ac:dyDescent="0.2">
      <c r="B73" t="s">
        <v>227</v>
      </c>
      <c r="C73" s="12">
        <v>2</v>
      </c>
      <c r="D73" s="8">
        <v>1.28</v>
      </c>
      <c r="E73" s="12">
        <v>2</v>
      </c>
      <c r="F73" s="8">
        <v>2.13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205</v>
      </c>
      <c r="C74" s="12">
        <v>2</v>
      </c>
      <c r="D74" s="8">
        <v>1.28</v>
      </c>
      <c r="E74" s="12">
        <v>1</v>
      </c>
      <c r="F74" s="8">
        <v>1.06</v>
      </c>
      <c r="G74" s="12">
        <v>1</v>
      </c>
      <c r="H74" s="8">
        <v>1.79</v>
      </c>
      <c r="I74" s="12">
        <v>0</v>
      </c>
    </row>
    <row r="75" spans="2:9" ht="15" customHeight="1" x14ac:dyDescent="0.2">
      <c r="B75" t="s">
        <v>325</v>
      </c>
      <c r="C75" s="12">
        <v>2</v>
      </c>
      <c r="D75" s="8">
        <v>1.28</v>
      </c>
      <c r="E75" s="12">
        <v>1</v>
      </c>
      <c r="F75" s="8">
        <v>1.06</v>
      </c>
      <c r="G75" s="12">
        <v>1</v>
      </c>
      <c r="H75" s="8">
        <v>1.79</v>
      </c>
      <c r="I75" s="12">
        <v>0</v>
      </c>
    </row>
    <row r="76" spans="2:9" ht="15" customHeight="1" x14ac:dyDescent="0.2">
      <c r="B76" t="s">
        <v>326</v>
      </c>
      <c r="C76" s="12">
        <v>2</v>
      </c>
      <c r="D76" s="8">
        <v>1.28</v>
      </c>
      <c r="E76" s="12">
        <v>2</v>
      </c>
      <c r="F76" s="8">
        <v>2.13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247</v>
      </c>
      <c r="C77" s="12">
        <v>2</v>
      </c>
      <c r="D77" s="8">
        <v>1.28</v>
      </c>
      <c r="E77" s="12">
        <v>2</v>
      </c>
      <c r="F77" s="8">
        <v>2.13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188</v>
      </c>
      <c r="C78" s="12">
        <v>2</v>
      </c>
      <c r="D78" s="8">
        <v>1.28</v>
      </c>
      <c r="E78" s="12">
        <v>2</v>
      </c>
      <c r="F78" s="8">
        <v>2.13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198</v>
      </c>
      <c r="C79" s="12">
        <v>2</v>
      </c>
      <c r="D79" s="8">
        <v>1.28</v>
      </c>
      <c r="E79" s="12">
        <v>2</v>
      </c>
      <c r="F79" s="8">
        <v>2.13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209</v>
      </c>
      <c r="C80" s="12">
        <v>2</v>
      </c>
      <c r="D80" s="8">
        <v>1.28</v>
      </c>
      <c r="E80" s="12">
        <v>2</v>
      </c>
      <c r="F80" s="8">
        <v>2.13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306</v>
      </c>
      <c r="C81" s="12">
        <v>2</v>
      </c>
      <c r="D81" s="8">
        <v>1.28</v>
      </c>
      <c r="E81" s="12">
        <v>0</v>
      </c>
      <c r="F81" s="8">
        <v>0</v>
      </c>
      <c r="G81" s="12">
        <v>2</v>
      </c>
      <c r="H81" s="8">
        <v>3.57</v>
      </c>
      <c r="I81" s="12">
        <v>0</v>
      </c>
    </row>
    <row r="83" spans="2:9" ht="15" customHeight="1" x14ac:dyDescent="0.2">
      <c r="B83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0ACDC-FC5D-4FE4-B7DE-A355B335B653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424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1</v>
      </c>
      <c r="D5" s="8">
        <v>0.2</v>
      </c>
      <c r="E5" s="12">
        <v>0</v>
      </c>
      <c r="F5" s="8">
        <v>0</v>
      </c>
      <c r="G5" s="12">
        <v>1</v>
      </c>
      <c r="H5" s="8">
        <v>0.51</v>
      </c>
      <c r="I5" s="12">
        <v>0</v>
      </c>
    </row>
    <row r="6" spans="2:9" ht="15" customHeight="1" x14ac:dyDescent="0.2">
      <c r="B6" t="s">
        <v>79</v>
      </c>
      <c r="C6" s="12">
        <v>91</v>
      </c>
      <c r="D6" s="8">
        <v>17.91</v>
      </c>
      <c r="E6" s="12">
        <v>52</v>
      </c>
      <c r="F6" s="8">
        <v>17.11</v>
      </c>
      <c r="G6" s="12">
        <v>39</v>
      </c>
      <c r="H6" s="8">
        <v>19.8</v>
      </c>
      <c r="I6" s="12">
        <v>0</v>
      </c>
    </row>
    <row r="7" spans="2:9" ht="15" customHeight="1" x14ac:dyDescent="0.2">
      <c r="B7" t="s">
        <v>80</v>
      </c>
      <c r="C7" s="12">
        <v>34</v>
      </c>
      <c r="D7" s="8">
        <v>6.69</v>
      </c>
      <c r="E7" s="12">
        <v>11</v>
      </c>
      <c r="F7" s="8">
        <v>3.62</v>
      </c>
      <c r="G7" s="12">
        <v>23</v>
      </c>
      <c r="H7" s="8">
        <v>11.68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0.2</v>
      </c>
      <c r="E8" s="12">
        <v>0</v>
      </c>
      <c r="F8" s="8">
        <v>0</v>
      </c>
      <c r="G8" s="12">
        <v>1</v>
      </c>
      <c r="H8" s="8">
        <v>0.51</v>
      </c>
      <c r="I8" s="12">
        <v>0</v>
      </c>
    </row>
    <row r="9" spans="2:9" ht="15" customHeight="1" x14ac:dyDescent="0.2">
      <c r="B9" t="s">
        <v>82</v>
      </c>
      <c r="C9" s="12">
        <v>5</v>
      </c>
      <c r="D9" s="8">
        <v>0.98</v>
      </c>
      <c r="E9" s="12">
        <v>0</v>
      </c>
      <c r="F9" s="8">
        <v>0</v>
      </c>
      <c r="G9" s="12">
        <v>5</v>
      </c>
      <c r="H9" s="8">
        <v>2.54</v>
      </c>
      <c r="I9" s="12">
        <v>0</v>
      </c>
    </row>
    <row r="10" spans="2:9" ht="15" customHeight="1" x14ac:dyDescent="0.2">
      <c r="B10" t="s">
        <v>83</v>
      </c>
      <c r="C10" s="12">
        <v>6</v>
      </c>
      <c r="D10" s="8">
        <v>1.18</v>
      </c>
      <c r="E10" s="12">
        <v>1</v>
      </c>
      <c r="F10" s="8">
        <v>0.33</v>
      </c>
      <c r="G10" s="12">
        <v>4</v>
      </c>
      <c r="H10" s="8">
        <v>2.0299999999999998</v>
      </c>
      <c r="I10" s="12">
        <v>1</v>
      </c>
    </row>
    <row r="11" spans="2:9" ht="15" customHeight="1" x14ac:dyDescent="0.2">
      <c r="B11" t="s">
        <v>84</v>
      </c>
      <c r="C11" s="12">
        <v>117</v>
      </c>
      <c r="D11" s="8">
        <v>23.03</v>
      </c>
      <c r="E11" s="12">
        <v>74</v>
      </c>
      <c r="F11" s="8">
        <v>24.34</v>
      </c>
      <c r="G11" s="12">
        <v>43</v>
      </c>
      <c r="H11" s="8">
        <v>21.83</v>
      </c>
      <c r="I11" s="12">
        <v>0</v>
      </c>
    </row>
    <row r="12" spans="2:9" ht="15" customHeight="1" x14ac:dyDescent="0.2">
      <c r="B12" t="s">
        <v>85</v>
      </c>
      <c r="C12" s="12">
        <v>4</v>
      </c>
      <c r="D12" s="8">
        <v>0.79</v>
      </c>
      <c r="E12" s="12">
        <v>1</v>
      </c>
      <c r="F12" s="8">
        <v>0.33</v>
      </c>
      <c r="G12" s="12">
        <v>3</v>
      </c>
      <c r="H12" s="8">
        <v>1.52</v>
      </c>
      <c r="I12" s="12">
        <v>0</v>
      </c>
    </row>
    <row r="13" spans="2:9" ht="15" customHeight="1" x14ac:dyDescent="0.2">
      <c r="B13" t="s">
        <v>86</v>
      </c>
      <c r="C13" s="12">
        <v>14</v>
      </c>
      <c r="D13" s="8">
        <v>2.76</v>
      </c>
      <c r="E13" s="12">
        <v>2</v>
      </c>
      <c r="F13" s="8">
        <v>0.66</v>
      </c>
      <c r="G13" s="12">
        <v>12</v>
      </c>
      <c r="H13" s="8">
        <v>6.09</v>
      </c>
      <c r="I13" s="12">
        <v>0</v>
      </c>
    </row>
    <row r="14" spans="2:9" ht="15" customHeight="1" x14ac:dyDescent="0.2">
      <c r="B14" t="s">
        <v>87</v>
      </c>
      <c r="C14" s="12">
        <v>23</v>
      </c>
      <c r="D14" s="8">
        <v>4.53</v>
      </c>
      <c r="E14" s="12">
        <v>16</v>
      </c>
      <c r="F14" s="8">
        <v>5.26</v>
      </c>
      <c r="G14" s="12">
        <v>7</v>
      </c>
      <c r="H14" s="8">
        <v>3.55</v>
      </c>
      <c r="I14" s="12">
        <v>0</v>
      </c>
    </row>
    <row r="15" spans="2:9" ht="15" customHeight="1" x14ac:dyDescent="0.2">
      <c r="B15" t="s">
        <v>88</v>
      </c>
      <c r="C15" s="12">
        <v>115</v>
      </c>
      <c r="D15" s="8">
        <v>22.64</v>
      </c>
      <c r="E15" s="12">
        <v>80</v>
      </c>
      <c r="F15" s="8">
        <v>26.32</v>
      </c>
      <c r="G15" s="12">
        <v>35</v>
      </c>
      <c r="H15" s="8">
        <v>17.77</v>
      </c>
      <c r="I15" s="12">
        <v>0</v>
      </c>
    </row>
    <row r="16" spans="2:9" ht="15" customHeight="1" x14ac:dyDescent="0.2">
      <c r="B16" t="s">
        <v>89</v>
      </c>
      <c r="C16" s="12">
        <v>48</v>
      </c>
      <c r="D16" s="8">
        <v>9.4499999999999993</v>
      </c>
      <c r="E16" s="12">
        <v>39</v>
      </c>
      <c r="F16" s="8">
        <v>12.83</v>
      </c>
      <c r="G16" s="12">
        <v>9</v>
      </c>
      <c r="H16" s="8">
        <v>4.57</v>
      </c>
      <c r="I16" s="12">
        <v>0</v>
      </c>
    </row>
    <row r="17" spans="2:9" ht="15" customHeight="1" x14ac:dyDescent="0.2">
      <c r="B17" t="s">
        <v>90</v>
      </c>
      <c r="C17" s="12">
        <v>13</v>
      </c>
      <c r="D17" s="8">
        <v>2.56</v>
      </c>
      <c r="E17" s="12">
        <v>7</v>
      </c>
      <c r="F17" s="8">
        <v>2.2999999999999998</v>
      </c>
      <c r="G17" s="12">
        <v>2</v>
      </c>
      <c r="H17" s="8">
        <v>1.02</v>
      </c>
      <c r="I17" s="12">
        <v>0</v>
      </c>
    </row>
    <row r="18" spans="2:9" ht="15" customHeight="1" x14ac:dyDescent="0.2">
      <c r="B18" t="s">
        <v>91</v>
      </c>
      <c r="C18" s="12">
        <v>21</v>
      </c>
      <c r="D18" s="8">
        <v>4.13</v>
      </c>
      <c r="E18" s="12">
        <v>13</v>
      </c>
      <c r="F18" s="8">
        <v>4.28</v>
      </c>
      <c r="G18" s="12">
        <v>8</v>
      </c>
      <c r="H18" s="8">
        <v>4.0599999999999996</v>
      </c>
      <c r="I18" s="12">
        <v>0</v>
      </c>
    </row>
    <row r="19" spans="2:9" ht="15" customHeight="1" x14ac:dyDescent="0.2">
      <c r="B19" t="s">
        <v>92</v>
      </c>
      <c r="C19" s="12">
        <v>15</v>
      </c>
      <c r="D19" s="8">
        <v>2.95</v>
      </c>
      <c r="E19" s="12">
        <v>8</v>
      </c>
      <c r="F19" s="8">
        <v>2.63</v>
      </c>
      <c r="G19" s="12">
        <v>5</v>
      </c>
      <c r="H19" s="8">
        <v>2.54</v>
      </c>
      <c r="I19" s="12">
        <v>2</v>
      </c>
    </row>
    <row r="20" spans="2:9" ht="15" customHeight="1" x14ac:dyDescent="0.2">
      <c r="B20" s="9" t="s">
        <v>363</v>
      </c>
      <c r="C20" s="12">
        <f>SUM(LTBL_20432[総数／事業所数])</f>
        <v>508</v>
      </c>
      <c r="E20" s="12">
        <f>SUBTOTAL(109,LTBL_20432[個人／事業所数])</f>
        <v>304</v>
      </c>
      <c r="G20" s="12">
        <f>SUBTOTAL(109,LTBL_20432[法人／事業所数])</f>
        <v>197</v>
      </c>
      <c r="I20" s="12">
        <f>SUBTOTAL(109,LTBL_20432[法人以外の団体／事業所数])</f>
        <v>3</v>
      </c>
    </row>
    <row r="21" spans="2:9" ht="15" customHeight="1" x14ac:dyDescent="0.2">
      <c r="E21" s="11">
        <f>LTBL_20432[[#Totals],[個人／事業所数]]/LTBL_20432[[#Totals],[総数／事業所数]]</f>
        <v>0.59842519685039375</v>
      </c>
      <c r="G21" s="11">
        <f>LTBL_20432[[#Totals],[法人／事業所数]]/LTBL_20432[[#Totals],[総数／事業所数]]</f>
        <v>0.38779527559055116</v>
      </c>
      <c r="I21" s="11">
        <f>LTBL_20432[[#Totals],[法人以外の団体／事業所数]]/LTBL_20432[[#Totals],[総数／事業所数]]</f>
        <v>5.905511811023622E-3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65</v>
      </c>
      <c r="D24" s="8">
        <v>12.8</v>
      </c>
      <c r="E24" s="12">
        <v>52</v>
      </c>
      <c r="F24" s="8">
        <v>17.11</v>
      </c>
      <c r="G24" s="12">
        <v>13</v>
      </c>
      <c r="H24" s="8">
        <v>6.6</v>
      </c>
      <c r="I24" s="12">
        <v>0</v>
      </c>
    </row>
    <row r="25" spans="2:9" ht="15" customHeight="1" x14ac:dyDescent="0.2">
      <c r="B25" t="s">
        <v>101</v>
      </c>
      <c r="C25" s="12">
        <v>61</v>
      </c>
      <c r="D25" s="8">
        <v>12.01</v>
      </c>
      <c r="E25" s="12">
        <v>32</v>
      </c>
      <c r="F25" s="8">
        <v>10.53</v>
      </c>
      <c r="G25" s="12">
        <v>29</v>
      </c>
      <c r="H25" s="8">
        <v>14.72</v>
      </c>
      <c r="I25" s="12">
        <v>0</v>
      </c>
    </row>
    <row r="26" spans="2:9" ht="15" customHeight="1" x14ac:dyDescent="0.2">
      <c r="B26" t="s">
        <v>110</v>
      </c>
      <c r="C26" s="12">
        <v>45</v>
      </c>
      <c r="D26" s="8">
        <v>8.86</v>
      </c>
      <c r="E26" s="12">
        <v>29</v>
      </c>
      <c r="F26" s="8">
        <v>9.5399999999999991</v>
      </c>
      <c r="G26" s="12">
        <v>16</v>
      </c>
      <c r="H26" s="8">
        <v>8.1199999999999992</v>
      </c>
      <c r="I26" s="12">
        <v>0</v>
      </c>
    </row>
    <row r="27" spans="2:9" ht="15" customHeight="1" x14ac:dyDescent="0.2">
      <c r="B27" t="s">
        <v>114</v>
      </c>
      <c r="C27" s="12">
        <v>42</v>
      </c>
      <c r="D27" s="8">
        <v>8.27</v>
      </c>
      <c r="E27" s="12">
        <v>27</v>
      </c>
      <c r="F27" s="8">
        <v>8.8800000000000008</v>
      </c>
      <c r="G27" s="12">
        <v>15</v>
      </c>
      <c r="H27" s="8">
        <v>7.61</v>
      </c>
      <c r="I27" s="12">
        <v>0</v>
      </c>
    </row>
    <row r="28" spans="2:9" ht="15" customHeight="1" x14ac:dyDescent="0.2">
      <c r="B28" t="s">
        <v>108</v>
      </c>
      <c r="C28" s="12">
        <v>38</v>
      </c>
      <c r="D28" s="8">
        <v>7.48</v>
      </c>
      <c r="E28" s="12">
        <v>27</v>
      </c>
      <c r="F28" s="8">
        <v>8.8800000000000008</v>
      </c>
      <c r="G28" s="12">
        <v>11</v>
      </c>
      <c r="H28" s="8">
        <v>5.58</v>
      </c>
      <c r="I28" s="12">
        <v>0</v>
      </c>
    </row>
    <row r="29" spans="2:9" ht="15" customHeight="1" x14ac:dyDescent="0.2">
      <c r="B29" t="s">
        <v>116</v>
      </c>
      <c r="C29" s="12">
        <v>38</v>
      </c>
      <c r="D29" s="8">
        <v>7.48</v>
      </c>
      <c r="E29" s="12">
        <v>36</v>
      </c>
      <c r="F29" s="8">
        <v>11.84</v>
      </c>
      <c r="G29" s="12">
        <v>2</v>
      </c>
      <c r="H29" s="8">
        <v>1.02</v>
      </c>
      <c r="I29" s="12">
        <v>0</v>
      </c>
    </row>
    <row r="30" spans="2:9" ht="15" customHeight="1" x14ac:dyDescent="0.2">
      <c r="B30" t="s">
        <v>102</v>
      </c>
      <c r="C30" s="12">
        <v>17</v>
      </c>
      <c r="D30" s="8">
        <v>3.35</v>
      </c>
      <c r="E30" s="12">
        <v>14</v>
      </c>
      <c r="F30" s="8">
        <v>4.6100000000000003</v>
      </c>
      <c r="G30" s="12">
        <v>3</v>
      </c>
      <c r="H30" s="8">
        <v>1.52</v>
      </c>
      <c r="I30" s="12">
        <v>0</v>
      </c>
    </row>
    <row r="31" spans="2:9" ht="15" customHeight="1" x14ac:dyDescent="0.2">
      <c r="B31" t="s">
        <v>118</v>
      </c>
      <c r="C31" s="12">
        <v>15</v>
      </c>
      <c r="D31" s="8">
        <v>2.95</v>
      </c>
      <c r="E31" s="12">
        <v>13</v>
      </c>
      <c r="F31" s="8">
        <v>4.28</v>
      </c>
      <c r="G31" s="12">
        <v>2</v>
      </c>
      <c r="H31" s="8">
        <v>1.02</v>
      </c>
      <c r="I31" s="12">
        <v>0</v>
      </c>
    </row>
    <row r="32" spans="2:9" ht="15" customHeight="1" x14ac:dyDescent="0.2">
      <c r="B32" t="s">
        <v>103</v>
      </c>
      <c r="C32" s="12">
        <v>13</v>
      </c>
      <c r="D32" s="8">
        <v>2.56</v>
      </c>
      <c r="E32" s="12">
        <v>6</v>
      </c>
      <c r="F32" s="8">
        <v>1.97</v>
      </c>
      <c r="G32" s="12">
        <v>7</v>
      </c>
      <c r="H32" s="8">
        <v>3.55</v>
      </c>
      <c r="I32" s="12">
        <v>0</v>
      </c>
    </row>
    <row r="33" spans="2:9" ht="15" customHeight="1" x14ac:dyDescent="0.2">
      <c r="B33" t="s">
        <v>112</v>
      </c>
      <c r="C33" s="12">
        <v>13</v>
      </c>
      <c r="D33" s="8">
        <v>2.56</v>
      </c>
      <c r="E33" s="12">
        <v>13</v>
      </c>
      <c r="F33" s="8">
        <v>4.28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117</v>
      </c>
      <c r="C34" s="12">
        <v>13</v>
      </c>
      <c r="D34" s="8">
        <v>2.56</v>
      </c>
      <c r="E34" s="12">
        <v>7</v>
      </c>
      <c r="F34" s="8">
        <v>2.2999999999999998</v>
      </c>
      <c r="G34" s="12">
        <v>2</v>
      </c>
      <c r="H34" s="8">
        <v>1.02</v>
      </c>
      <c r="I34" s="12">
        <v>0</v>
      </c>
    </row>
    <row r="35" spans="2:9" ht="15" customHeight="1" x14ac:dyDescent="0.2">
      <c r="B35" t="s">
        <v>109</v>
      </c>
      <c r="C35" s="12">
        <v>12</v>
      </c>
      <c r="D35" s="8">
        <v>2.36</v>
      </c>
      <c r="E35" s="12">
        <v>6</v>
      </c>
      <c r="F35" s="8">
        <v>1.97</v>
      </c>
      <c r="G35" s="12">
        <v>6</v>
      </c>
      <c r="H35" s="8">
        <v>3.05</v>
      </c>
      <c r="I35" s="12">
        <v>0</v>
      </c>
    </row>
    <row r="36" spans="2:9" ht="15" customHeight="1" x14ac:dyDescent="0.2">
      <c r="B36" t="s">
        <v>107</v>
      </c>
      <c r="C36" s="12">
        <v>9</v>
      </c>
      <c r="D36" s="8">
        <v>1.77</v>
      </c>
      <c r="E36" s="12">
        <v>6</v>
      </c>
      <c r="F36" s="8">
        <v>1.97</v>
      </c>
      <c r="G36" s="12">
        <v>3</v>
      </c>
      <c r="H36" s="8">
        <v>1.52</v>
      </c>
      <c r="I36" s="12">
        <v>0</v>
      </c>
    </row>
    <row r="37" spans="2:9" ht="15" customHeight="1" x14ac:dyDescent="0.2">
      <c r="B37" t="s">
        <v>111</v>
      </c>
      <c r="C37" s="12">
        <v>9</v>
      </c>
      <c r="D37" s="8">
        <v>1.77</v>
      </c>
      <c r="E37" s="12">
        <v>1</v>
      </c>
      <c r="F37" s="8">
        <v>0.33</v>
      </c>
      <c r="G37" s="12">
        <v>8</v>
      </c>
      <c r="H37" s="8">
        <v>4.0599999999999996</v>
      </c>
      <c r="I37" s="12">
        <v>0</v>
      </c>
    </row>
    <row r="38" spans="2:9" ht="15" customHeight="1" x14ac:dyDescent="0.2">
      <c r="B38" t="s">
        <v>113</v>
      </c>
      <c r="C38" s="12">
        <v>8</v>
      </c>
      <c r="D38" s="8">
        <v>1.57</v>
      </c>
      <c r="E38" s="12">
        <v>3</v>
      </c>
      <c r="F38" s="8">
        <v>0.99</v>
      </c>
      <c r="G38" s="12">
        <v>5</v>
      </c>
      <c r="H38" s="8">
        <v>2.54</v>
      </c>
      <c r="I38" s="12">
        <v>0</v>
      </c>
    </row>
    <row r="39" spans="2:9" ht="15" customHeight="1" x14ac:dyDescent="0.2">
      <c r="B39" t="s">
        <v>129</v>
      </c>
      <c r="C39" s="12">
        <v>8</v>
      </c>
      <c r="D39" s="8">
        <v>1.57</v>
      </c>
      <c r="E39" s="12">
        <v>1</v>
      </c>
      <c r="F39" s="8">
        <v>0.33</v>
      </c>
      <c r="G39" s="12">
        <v>7</v>
      </c>
      <c r="H39" s="8">
        <v>3.55</v>
      </c>
      <c r="I39" s="12">
        <v>0</v>
      </c>
    </row>
    <row r="40" spans="2:9" ht="15" customHeight="1" x14ac:dyDescent="0.2">
      <c r="B40" t="s">
        <v>131</v>
      </c>
      <c r="C40" s="12">
        <v>7</v>
      </c>
      <c r="D40" s="8">
        <v>1.38</v>
      </c>
      <c r="E40" s="12">
        <v>1</v>
      </c>
      <c r="F40" s="8">
        <v>0.33</v>
      </c>
      <c r="G40" s="12">
        <v>6</v>
      </c>
      <c r="H40" s="8">
        <v>3.05</v>
      </c>
      <c r="I40" s="12">
        <v>0</v>
      </c>
    </row>
    <row r="41" spans="2:9" ht="15" customHeight="1" x14ac:dyDescent="0.2">
      <c r="B41" t="s">
        <v>119</v>
      </c>
      <c r="C41" s="12">
        <v>6</v>
      </c>
      <c r="D41" s="8">
        <v>1.18</v>
      </c>
      <c r="E41" s="12">
        <v>0</v>
      </c>
      <c r="F41" s="8">
        <v>0</v>
      </c>
      <c r="G41" s="12">
        <v>6</v>
      </c>
      <c r="H41" s="8">
        <v>3.05</v>
      </c>
      <c r="I41" s="12">
        <v>0</v>
      </c>
    </row>
    <row r="42" spans="2:9" ht="15" customHeight="1" x14ac:dyDescent="0.2">
      <c r="B42" t="s">
        <v>127</v>
      </c>
      <c r="C42" s="12">
        <v>5</v>
      </c>
      <c r="D42" s="8">
        <v>0.98</v>
      </c>
      <c r="E42" s="12">
        <v>1</v>
      </c>
      <c r="F42" s="8">
        <v>0.33</v>
      </c>
      <c r="G42" s="12">
        <v>4</v>
      </c>
      <c r="H42" s="8">
        <v>2.0299999999999998</v>
      </c>
      <c r="I42" s="12">
        <v>0</v>
      </c>
    </row>
    <row r="43" spans="2:9" ht="15" customHeight="1" x14ac:dyDescent="0.2">
      <c r="B43" t="s">
        <v>137</v>
      </c>
      <c r="C43" s="12">
        <v>5</v>
      </c>
      <c r="D43" s="8">
        <v>0.98</v>
      </c>
      <c r="E43" s="12">
        <v>2</v>
      </c>
      <c r="F43" s="8">
        <v>0.66</v>
      </c>
      <c r="G43" s="12">
        <v>3</v>
      </c>
      <c r="H43" s="8">
        <v>1.52</v>
      </c>
      <c r="I43" s="12">
        <v>0</v>
      </c>
    </row>
    <row r="44" spans="2:9" ht="15" customHeight="1" x14ac:dyDescent="0.2">
      <c r="B44" t="s">
        <v>133</v>
      </c>
      <c r="C44" s="12">
        <v>5</v>
      </c>
      <c r="D44" s="8">
        <v>0.98</v>
      </c>
      <c r="E44" s="12">
        <v>3</v>
      </c>
      <c r="F44" s="8">
        <v>0.99</v>
      </c>
      <c r="G44" s="12">
        <v>2</v>
      </c>
      <c r="H44" s="8">
        <v>1.02</v>
      </c>
      <c r="I44" s="12">
        <v>0</v>
      </c>
    </row>
    <row r="45" spans="2:9" ht="15" customHeight="1" x14ac:dyDescent="0.2">
      <c r="B45" t="s">
        <v>120</v>
      </c>
      <c r="C45" s="12">
        <v>5</v>
      </c>
      <c r="D45" s="8">
        <v>0.98</v>
      </c>
      <c r="E45" s="12">
        <v>4</v>
      </c>
      <c r="F45" s="8">
        <v>1.32</v>
      </c>
      <c r="G45" s="12">
        <v>1</v>
      </c>
      <c r="H45" s="8">
        <v>0.51</v>
      </c>
      <c r="I45" s="12">
        <v>0</v>
      </c>
    </row>
    <row r="46" spans="2:9" ht="15" customHeight="1" x14ac:dyDescent="0.2">
      <c r="B46" t="s">
        <v>147</v>
      </c>
      <c r="C46" s="12">
        <v>5</v>
      </c>
      <c r="D46" s="8">
        <v>0.98</v>
      </c>
      <c r="E46" s="12">
        <v>3</v>
      </c>
      <c r="F46" s="8">
        <v>0.99</v>
      </c>
      <c r="G46" s="12">
        <v>2</v>
      </c>
      <c r="H46" s="8">
        <v>1.02</v>
      </c>
      <c r="I46" s="12">
        <v>0</v>
      </c>
    </row>
    <row r="49" spans="2:9" ht="33" customHeight="1" x14ac:dyDescent="0.2">
      <c r="B49" t="s">
        <v>365</v>
      </c>
      <c r="C49" s="10" t="s">
        <v>94</v>
      </c>
      <c r="D49" s="10" t="s">
        <v>95</v>
      </c>
      <c r="E49" s="10" t="s">
        <v>96</v>
      </c>
      <c r="F49" s="10" t="s">
        <v>97</v>
      </c>
      <c r="G49" s="10" t="s">
        <v>98</v>
      </c>
      <c r="H49" s="10" t="s">
        <v>99</v>
      </c>
      <c r="I49" s="10" t="s">
        <v>100</v>
      </c>
    </row>
    <row r="50" spans="2:9" ht="15" customHeight="1" x14ac:dyDescent="0.2">
      <c r="B50" t="s">
        <v>185</v>
      </c>
      <c r="C50" s="12">
        <v>29</v>
      </c>
      <c r="D50" s="8">
        <v>5.71</v>
      </c>
      <c r="E50" s="12">
        <v>25</v>
      </c>
      <c r="F50" s="8">
        <v>8.2200000000000006</v>
      </c>
      <c r="G50" s="12">
        <v>4</v>
      </c>
      <c r="H50" s="8">
        <v>2.0299999999999998</v>
      </c>
      <c r="I50" s="12">
        <v>0</v>
      </c>
    </row>
    <row r="51" spans="2:9" ht="15" customHeight="1" x14ac:dyDescent="0.2">
      <c r="B51" t="s">
        <v>176</v>
      </c>
      <c r="C51" s="12">
        <v>26</v>
      </c>
      <c r="D51" s="8">
        <v>5.12</v>
      </c>
      <c r="E51" s="12">
        <v>20</v>
      </c>
      <c r="F51" s="8">
        <v>6.58</v>
      </c>
      <c r="G51" s="12">
        <v>6</v>
      </c>
      <c r="H51" s="8">
        <v>3.05</v>
      </c>
      <c r="I51" s="12">
        <v>0</v>
      </c>
    </row>
    <row r="52" spans="2:9" ht="15" customHeight="1" x14ac:dyDescent="0.2">
      <c r="B52" t="s">
        <v>191</v>
      </c>
      <c r="C52" s="12">
        <v>22</v>
      </c>
      <c r="D52" s="8">
        <v>4.33</v>
      </c>
      <c r="E52" s="12">
        <v>22</v>
      </c>
      <c r="F52" s="8">
        <v>7.24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174</v>
      </c>
      <c r="C53" s="12">
        <v>18</v>
      </c>
      <c r="D53" s="8">
        <v>3.54</v>
      </c>
      <c r="E53" s="12">
        <v>7</v>
      </c>
      <c r="F53" s="8">
        <v>2.2999999999999998</v>
      </c>
      <c r="G53" s="12">
        <v>11</v>
      </c>
      <c r="H53" s="8">
        <v>5.58</v>
      </c>
      <c r="I53" s="12">
        <v>0</v>
      </c>
    </row>
    <row r="54" spans="2:9" ht="15" customHeight="1" x14ac:dyDescent="0.2">
      <c r="B54" t="s">
        <v>187</v>
      </c>
      <c r="C54" s="12">
        <v>15</v>
      </c>
      <c r="D54" s="8">
        <v>2.95</v>
      </c>
      <c r="E54" s="12">
        <v>11</v>
      </c>
      <c r="F54" s="8">
        <v>3.62</v>
      </c>
      <c r="G54" s="12">
        <v>4</v>
      </c>
      <c r="H54" s="8">
        <v>2.0299999999999998</v>
      </c>
      <c r="I54" s="12">
        <v>0</v>
      </c>
    </row>
    <row r="55" spans="2:9" ht="15" customHeight="1" x14ac:dyDescent="0.2">
      <c r="B55" t="s">
        <v>198</v>
      </c>
      <c r="C55" s="12">
        <v>15</v>
      </c>
      <c r="D55" s="8">
        <v>2.95</v>
      </c>
      <c r="E55" s="12">
        <v>14</v>
      </c>
      <c r="F55" s="8">
        <v>4.6100000000000003</v>
      </c>
      <c r="G55" s="12">
        <v>1</v>
      </c>
      <c r="H55" s="8">
        <v>0.51</v>
      </c>
      <c r="I55" s="12">
        <v>0</v>
      </c>
    </row>
    <row r="56" spans="2:9" ht="15" customHeight="1" x14ac:dyDescent="0.2">
      <c r="B56" t="s">
        <v>175</v>
      </c>
      <c r="C56" s="12">
        <v>11</v>
      </c>
      <c r="D56" s="8">
        <v>2.17</v>
      </c>
      <c r="E56" s="12">
        <v>3</v>
      </c>
      <c r="F56" s="8">
        <v>0.99</v>
      </c>
      <c r="G56" s="12">
        <v>8</v>
      </c>
      <c r="H56" s="8">
        <v>4.0599999999999996</v>
      </c>
      <c r="I56" s="12">
        <v>0</v>
      </c>
    </row>
    <row r="57" spans="2:9" ht="15" customHeight="1" x14ac:dyDescent="0.2">
      <c r="B57" t="s">
        <v>197</v>
      </c>
      <c r="C57" s="12">
        <v>11</v>
      </c>
      <c r="D57" s="8">
        <v>2.17</v>
      </c>
      <c r="E57" s="12">
        <v>9</v>
      </c>
      <c r="F57" s="8">
        <v>2.96</v>
      </c>
      <c r="G57" s="12">
        <v>2</v>
      </c>
      <c r="H57" s="8">
        <v>1.02</v>
      </c>
      <c r="I57" s="12">
        <v>0</v>
      </c>
    </row>
    <row r="58" spans="2:9" ht="15" customHeight="1" x14ac:dyDescent="0.2">
      <c r="B58" t="s">
        <v>179</v>
      </c>
      <c r="C58" s="12">
        <v>11</v>
      </c>
      <c r="D58" s="8">
        <v>2.17</v>
      </c>
      <c r="E58" s="12">
        <v>5</v>
      </c>
      <c r="F58" s="8">
        <v>1.64</v>
      </c>
      <c r="G58" s="12">
        <v>6</v>
      </c>
      <c r="H58" s="8">
        <v>3.05</v>
      </c>
      <c r="I58" s="12">
        <v>0</v>
      </c>
    </row>
    <row r="59" spans="2:9" ht="15" customHeight="1" x14ac:dyDescent="0.2">
      <c r="B59" t="s">
        <v>181</v>
      </c>
      <c r="C59" s="12">
        <v>11</v>
      </c>
      <c r="D59" s="8">
        <v>2.17</v>
      </c>
      <c r="E59" s="12">
        <v>7</v>
      </c>
      <c r="F59" s="8">
        <v>2.2999999999999998</v>
      </c>
      <c r="G59" s="12">
        <v>4</v>
      </c>
      <c r="H59" s="8">
        <v>2.0299999999999998</v>
      </c>
      <c r="I59" s="12">
        <v>0</v>
      </c>
    </row>
    <row r="60" spans="2:9" ht="15" customHeight="1" x14ac:dyDescent="0.2">
      <c r="B60" t="s">
        <v>188</v>
      </c>
      <c r="C60" s="12">
        <v>11</v>
      </c>
      <c r="D60" s="8">
        <v>2.17</v>
      </c>
      <c r="E60" s="12">
        <v>10</v>
      </c>
      <c r="F60" s="8">
        <v>3.29</v>
      </c>
      <c r="G60" s="12">
        <v>1</v>
      </c>
      <c r="H60" s="8">
        <v>0.51</v>
      </c>
      <c r="I60" s="12">
        <v>0</v>
      </c>
    </row>
    <row r="61" spans="2:9" ht="15" customHeight="1" x14ac:dyDescent="0.2">
      <c r="B61" t="s">
        <v>190</v>
      </c>
      <c r="C61" s="12">
        <v>10</v>
      </c>
      <c r="D61" s="8">
        <v>1.97</v>
      </c>
      <c r="E61" s="12">
        <v>10</v>
      </c>
      <c r="F61" s="8">
        <v>3.29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234</v>
      </c>
      <c r="C62" s="12">
        <v>9</v>
      </c>
      <c r="D62" s="8">
        <v>1.77</v>
      </c>
      <c r="E62" s="12">
        <v>0</v>
      </c>
      <c r="F62" s="8">
        <v>0</v>
      </c>
      <c r="G62" s="12">
        <v>9</v>
      </c>
      <c r="H62" s="8">
        <v>4.57</v>
      </c>
      <c r="I62" s="12">
        <v>0</v>
      </c>
    </row>
    <row r="63" spans="2:9" ht="15" customHeight="1" x14ac:dyDescent="0.2">
      <c r="B63" t="s">
        <v>220</v>
      </c>
      <c r="C63" s="12">
        <v>9</v>
      </c>
      <c r="D63" s="8">
        <v>1.77</v>
      </c>
      <c r="E63" s="12">
        <v>4</v>
      </c>
      <c r="F63" s="8">
        <v>1.32</v>
      </c>
      <c r="G63" s="12">
        <v>5</v>
      </c>
      <c r="H63" s="8">
        <v>2.54</v>
      </c>
      <c r="I63" s="12">
        <v>0</v>
      </c>
    </row>
    <row r="64" spans="2:9" ht="15" customHeight="1" x14ac:dyDescent="0.2">
      <c r="B64" t="s">
        <v>193</v>
      </c>
      <c r="C64" s="12">
        <v>9</v>
      </c>
      <c r="D64" s="8">
        <v>1.77</v>
      </c>
      <c r="E64" s="12">
        <v>8</v>
      </c>
      <c r="F64" s="8">
        <v>2.63</v>
      </c>
      <c r="G64" s="12">
        <v>1</v>
      </c>
      <c r="H64" s="8">
        <v>0.51</v>
      </c>
      <c r="I64" s="12">
        <v>0</v>
      </c>
    </row>
    <row r="65" spans="2:9" ht="15" customHeight="1" x14ac:dyDescent="0.2">
      <c r="B65" t="s">
        <v>186</v>
      </c>
      <c r="C65" s="12">
        <v>8</v>
      </c>
      <c r="D65" s="8">
        <v>1.57</v>
      </c>
      <c r="E65" s="12">
        <v>6</v>
      </c>
      <c r="F65" s="8">
        <v>1.97</v>
      </c>
      <c r="G65" s="12">
        <v>2</v>
      </c>
      <c r="H65" s="8">
        <v>1.02</v>
      </c>
      <c r="I65" s="12">
        <v>0</v>
      </c>
    </row>
    <row r="66" spans="2:9" ht="15" customHeight="1" x14ac:dyDescent="0.2">
      <c r="B66" t="s">
        <v>214</v>
      </c>
      <c r="C66" s="12">
        <v>7</v>
      </c>
      <c r="D66" s="8">
        <v>1.38</v>
      </c>
      <c r="E66" s="12">
        <v>6</v>
      </c>
      <c r="F66" s="8">
        <v>1.97</v>
      </c>
      <c r="G66" s="12">
        <v>1</v>
      </c>
      <c r="H66" s="8">
        <v>0.51</v>
      </c>
      <c r="I66" s="12">
        <v>0</v>
      </c>
    </row>
    <row r="67" spans="2:9" ht="15" customHeight="1" x14ac:dyDescent="0.2">
      <c r="B67" t="s">
        <v>180</v>
      </c>
      <c r="C67" s="12">
        <v>7</v>
      </c>
      <c r="D67" s="8">
        <v>1.38</v>
      </c>
      <c r="E67" s="12">
        <v>2</v>
      </c>
      <c r="F67" s="8">
        <v>0.66</v>
      </c>
      <c r="G67" s="12">
        <v>5</v>
      </c>
      <c r="H67" s="8">
        <v>2.54</v>
      </c>
      <c r="I67" s="12">
        <v>0</v>
      </c>
    </row>
    <row r="68" spans="2:9" ht="15" customHeight="1" x14ac:dyDescent="0.2">
      <c r="B68" t="s">
        <v>222</v>
      </c>
      <c r="C68" s="12">
        <v>7</v>
      </c>
      <c r="D68" s="8">
        <v>1.38</v>
      </c>
      <c r="E68" s="12">
        <v>6</v>
      </c>
      <c r="F68" s="8">
        <v>1.97</v>
      </c>
      <c r="G68" s="12">
        <v>1</v>
      </c>
      <c r="H68" s="8">
        <v>0.51</v>
      </c>
      <c r="I68" s="12">
        <v>0</v>
      </c>
    </row>
    <row r="69" spans="2:9" ht="15" customHeight="1" x14ac:dyDescent="0.2">
      <c r="B69" t="s">
        <v>216</v>
      </c>
      <c r="C69" s="12">
        <v>7</v>
      </c>
      <c r="D69" s="8">
        <v>1.38</v>
      </c>
      <c r="E69" s="12">
        <v>2</v>
      </c>
      <c r="F69" s="8">
        <v>0.66</v>
      </c>
      <c r="G69" s="12">
        <v>5</v>
      </c>
      <c r="H69" s="8">
        <v>2.54</v>
      </c>
      <c r="I69" s="12">
        <v>0</v>
      </c>
    </row>
    <row r="70" spans="2:9" ht="15" customHeight="1" x14ac:dyDescent="0.2">
      <c r="B70" t="s">
        <v>189</v>
      </c>
      <c r="C70" s="12">
        <v>7</v>
      </c>
      <c r="D70" s="8">
        <v>1.38</v>
      </c>
      <c r="E70" s="12">
        <v>7</v>
      </c>
      <c r="F70" s="8">
        <v>2.2999999999999998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6EAD0-03F6-4E18-A00F-DD5CE815AADF}">
  <sheetPr>
    <pageSetUpPr fitToPage="1"/>
  </sheetPr>
  <dimension ref="B2:I11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425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20</v>
      </c>
      <c r="D6" s="8">
        <v>21.28</v>
      </c>
      <c r="E6" s="12">
        <v>7</v>
      </c>
      <c r="F6" s="8">
        <v>11.29</v>
      </c>
      <c r="G6" s="12">
        <v>13</v>
      </c>
      <c r="H6" s="8">
        <v>48.15</v>
      </c>
      <c r="I6" s="12">
        <v>0</v>
      </c>
    </row>
    <row r="7" spans="2:9" ht="15" customHeight="1" x14ac:dyDescent="0.2">
      <c r="B7" t="s">
        <v>80</v>
      </c>
      <c r="C7" s="12">
        <v>7</v>
      </c>
      <c r="D7" s="8">
        <v>7.45</v>
      </c>
      <c r="E7" s="12">
        <v>2</v>
      </c>
      <c r="F7" s="8">
        <v>3.23</v>
      </c>
      <c r="G7" s="12">
        <v>5</v>
      </c>
      <c r="H7" s="8">
        <v>18.52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1.06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1</v>
      </c>
      <c r="D9" s="8">
        <v>1.06</v>
      </c>
      <c r="E9" s="12">
        <v>1</v>
      </c>
      <c r="F9" s="8">
        <v>1.61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84</v>
      </c>
      <c r="C11" s="12">
        <v>20</v>
      </c>
      <c r="D11" s="8">
        <v>21.28</v>
      </c>
      <c r="E11" s="12">
        <v>15</v>
      </c>
      <c r="F11" s="8">
        <v>24.19</v>
      </c>
      <c r="G11" s="12">
        <v>4</v>
      </c>
      <c r="H11" s="8">
        <v>14.81</v>
      </c>
      <c r="I11" s="12">
        <v>1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3</v>
      </c>
      <c r="D13" s="8">
        <v>3.19</v>
      </c>
      <c r="E13" s="12">
        <v>1</v>
      </c>
      <c r="F13" s="8">
        <v>1.61</v>
      </c>
      <c r="G13" s="12">
        <v>2</v>
      </c>
      <c r="H13" s="8">
        <v>7.41</v>
      </c>
      <c r="I13" s="12">
        <v>0</v>
      </c>
    </row>
    <row r="14" spans="2:9" ht="15" customHeight="1" x14ac:dyDescent="0.2">
      <c r="B14" t="s">
        <v>87</v>
      </c>
      <c r="C14" s="12">
        <v>2</v>
      </c>
      <c r="D14" s="8">
        <v>2.13</v>
      </c>
      <c r="E14" s="12">
        <v>2</v>
      </c>
      <c r="F14" s="8">
        <v>3.23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88</v>
      </c>
      <c r="C15" s="12">
        <v>11</v>
      </c>
      <c r="D15" s="8">
        <v>11.7</v>
      </c>
      <c r="E15" s="12">
        <v>10</v>
      </c>
      <c r="F15" s="8">
        <v>16.13</v>
      </c>
      <c r="G15" s="12">
        <v>1</v>
      </c>
      <c r="H15" s="8">
        <v>3.7</v>
      </c>
      <c r="I15" s="12">
        <v>0</v>
      </c>
    </row>
    <row r="16" spans="2:9" ht="15" customHeight="1" x14ac:dyDescent="0.2">
      <c r="B16" t="s">
        <v>89</v>
      </c>
      <c r="C16" s="12">
        <v>11</v>
      </c>
      <c r="D16" s="8">
        <v>11.7</v>
      </c>
      <c r="E16" s="12">
        <v>11</v>
      </c>
      <c r="F16" s="8">
        <v>17.739999999999998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90</v>
      </c>
      <c r="C17" s="12">
        <v>9</v>
      </c>
      <c r="D17" s="8">
        <v>9.57</v>
      </c>
      <c r="E17" s="12">
        <v>8</v>
      </c>
      <c r="F17" s="8">
        <v>12.9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5</v>
      </c>
      <c r="D18" s="8">
        <v>5.32</v>
      </c>
      <c r="E18" s="12">
        <v>2</v>
      </c>
      <c r="F18" s="8">
        <v>3.23</v>
      </c>
      <c r="G18" s="12">
        <v>1</v>
      </c>
      <c r="H18" s="8">
        <v>3.7</v>
      </c>
      <c r="I18" s="12">
        <v>0</v>
      </c>
    </row>
    <row r="19" spans="2:9" ht="15" customHeight="1" x14ac:dyDescent="0.2">
      <c r="B19" t="s">
        <v>92</v>
      </c>
      <c r="C19" s="12">
        <v>4</v>
      </c>
      <c r="D19" s="8">
        <v>4.26</v>
      </c>
      <c r="E19" s="12">
        <v>3</v>
      </c>
      <c r="F19" s="8">
        <v>4.84</v>
      </c>
      <c r="G19" s="12">
        <v>1</v>
      </c>
      <c r="H19" s="8">
        <v>3.7</v>
      </c>
      <c r="I19" s="12">
        <v>0</v>
      </c>
    </row>
    <row r="20" spans="2:9" ht="15" customHeight="1" x14ac:dyDescent="0.2">
      <c r="B20" s="9" t="s">
        <v>363</v>
      </c>
      <c r="C20" s="12">
        <f>SUM(LTBL_20446[総数／事業所数])</f>
        <v>94</v>
      </c>
      <c r="E20" s="12">
        <f>SUBTOTAL(109,LTBL_20446[個人／事業所数])</f>
        <v>62</v>
      </c>
      <c r="G20" s="12">
        <f>SUBTOTAL(109,LTBL_20446[法人／事業所数])</f>
        <v>27</v>
      </c>
      <c r="I20" s="12">
        <f>SUBTOTAL(109,LTBL_20446[法人以外の団体／事業所数])</f>
        <v>1</v>
      </c>
    </row>
    <row r="21" spans="2:9" ht="15" customHeight="1" x14ac:dyDescent="0.2">
      <c r="E21" s="11">
        <f>LTBL_20446[[#Totals],[個人／事業所数]]/LTBL_20446[[#Totals],[総数／事業所数]]</f>
        <v>0.65957446808510634</v>
      </c>
      <c r="G21" s="11">
        <f>LTBL_20446[[#Totals],[法人／事業所数]]/LTBL_20446[[#Totals],[総数／事業所数]]</f>
        <v>0.28723404255319152</v>
      </c>
      <c r="I21" s="11">
        <f>LTBL_20446[[#Totals],[法人以外の団体／事業所数]]/LTBL_20446[[#Totals],[総数／事業所数]]</f>
        <v>1.0638297872340425E-2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116</v>
      </c>
      <c r="C24" s="12">
        <v>11</v>
      </c>
      <c r="D24" s="8">
        <v>11.7</v>
      </c>
      <c r="E24" s="12">
        <v>11</v>
      </c>
      <c r="F24" s="8">
        <v>17.739999999999998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101</v>
      </c>
      <c r="C25" s="12">
        <v>10</v>
      </c>
      <c r="D25" s="8">
        <v>10.64</v>
      </c>
      <c r="E25" s="12">
        <v>2</v>
      </c>
      <c r="F25" s="8">
        <v>3.23</v>
      </c>
      <c r="G25" s="12">
        <v>8</v>
      </c>
      <c r="H25" s="8">
        <v>29.63</v>
      </c>
      <c r="I25" s="12">
        <v>0</v>
      </c>
    </row>
    <row r="26" spans="2:9" ht="15" customHeight="1" x14ac:dyDescent="0.2">
      <c r="B26" t="s">
        <v>115</v>
      </c>
      <c r="C26" s="12">
        <v>9</v>
      </c>
      <c r="D26" s="8">
        <v>9.57</v>
      </c>
      <c r="E26" s="12">
        <v>9</v>
      </c>
      <c r="F26" s="8">
        <v>14.52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117</v>
      </c>
      <c r="C27" s="12">
        <v>9</v>
      </c>
      <c r="D27" s="8">
        <v>9.57</v>
      </c>
      <c r="E27" s="12">
        <v>8</v>
      </c>
      <c r="F27" s="8">
        <v>12.9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109</v>
      </c>
      <c r="C28" s="12">
        <v>6</v>
      </c>
      <c r="D28" s="8">
        <v>6.38</v>
      </c>
      <c r="E28" s="12">
        <v>6</v>
      </c>
      <c r="F28" s="8">
        <v>9.68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102</v>
      </c>
      <c r="C29" s="12">
        <v>5</v>
      </c>
      <c r="D29" s="8">
        <v>5.32</v>
      </c>
      <c r="E29" s="12">
        <v>4</v>
      </c>
      <c r="F29" s="8">
        <v>6.45</v>
      </c>
      <c r="G29" s="12">
        <v>1</v>
      </c>
      <c r="H29" s="8">
        <v>3.7</v>
      </c>
      <c r="I29" s="12">
        <v>0</v>
      </c>
    </row>
    <row r="30" spans="2:9" ht="15" customHeight="1" x14ac:dyDescent="0.2">
      <c r="B30" t="s">
        <v>103</v>
      </c>
      <c r="C30" s="12">
        <v>5</v>
      </c>
      <c r="D30" s="8">
        <v>5.32</v>
      </c>
      <c r="E30" s="12">
        <v>1</v>
      </c>
      <c r="F30" s="8">
        <v>1.61</v>
      </c>
      <c r="G30" s="12">
        <v>4</v>
      </c>
      <c r="H30" s="8">
        <v>14.81</v>
      </c>
      <c r="I30" s="12">
        <v>0</v>
      </c>
    </row>
    <row r="31" spans="2:9" ht="15" customHeight="1" x14ac:dyDescent="0.2">
      <c r="B31" t="s">
        <v>110</v>
      </c>
      <c r="C31" s="12">
        <v>5</v>
      </c>
      <c r="D31" s="8">
        <v>5.32</v>
      </c>
      <c r="E31" s="12">
        <v>3</v>
      </c>
      <c r="F31" s="8">
        <v>4.84</v>
      </c>
      <c r="G31" s="12">
        <v>2</v>
      </c>
      <c r="H31" s="8">
        <v>7.41</v>
      </c>
      <c r="I31" s="12">
        <v>0</v>
      </c>
    </row>
    <row r="32" spans="2:9" ht="15" customHeight="1" x14ac:dyDescent="0.2">
      <c r="B32" t="s">
        <v>108</v>
      </c>
      <c r="C32" s="12">
        <v>4</v>
      </c>
      <c r="D32" s="8">
        <v>4.26</v>
      </c>
      <c r="E32" s="12">
        <v>2</v>
      </c>
      <c r="F32" s="8">
        <v>3.23</v>
      </c>
      <c r="G32" s="12">
        <v>1</v>
      </c>
      <c r="H32" s="8">
        <v>3.7</v>
      </c>
      <c r="I32" s="12">
        <v>1</v>
      </c>
    </row>
    <row r="33" spans="2:9" ht="15" customHeight="1" x14ac:dyDescent="0.2">
      <c r="B33" t="s">
        <v>111</v>
      </c>
      <c r="C33" s="12">
        <v>3</v>
      </c>
      <c r="D33" s="8">
        <v>3.19</v>
      </c>
      <c r="E33" s="12">
        <v>1</v>
      </c>
      <c r="F33" s="8">
        <v>1.61</v>
      </c>
      <c r="G33" s="12">
        <v>2</v>
      </c>
      <c r="H33" s="8">
        <v>7.41</v>
      </c>
      <c r="I33" s="12">
        <v>0</v>
      </c>
    </row>
    <row r="34" spans="2:9" ht="15" customHeight="1" x14ac:dyDescent="0.2">
      <c r="B34" t="s">
        <v>119</v>
      </c>
      <c r="C34" s="12">
        <v>3</v>
      </c>
      <c r="D34" s="8">
        <v>3.19</v>
      </c>
      <c r="E34" s="12">
        <v>0</v>
      </c>
      <c r="F34" s="8">
        <v>0</v>
      </c>
      <c r="G34" s="12">
        <v>1</v>
      </c>
      <c r="H34" s="8">
        <v>3.7</v>
      </c>
      <c r="I34" s="12">
        <v>0</v>
      </c>
    </row>
    <row r="35" spans="2:9" ht="15" customHeight="1" x14ac:dyDescent="0.2">
      <c r="B35" t="s">
        <v>127</v>
      </c>
      <c r="C35" s="12">
        <v>2</v>
      </c>
      <c r="D35" s="8">
        <v>2.13</v>
      </c>
      <c r="E35" s="12">
        <v>0</v>
      </c>
      <c r="F35" s="8">
        <v>0</v>
      </c>
      <c r="G35" s="12">
        <v>2</v>
      </c>
      <c r="H35" s="8">
        <v>7.41</v>
      </c>
      <c r="I35" s="12">
        <v>0</v>
      </c>
    </row>
    <row r="36" spans="2:9" ht="15" customHeight="1" x14ac:dyDescent="0.2">
      <c r="B36" t="s">
        <v>107</v>
      </c>
      <c r="C36" s="12">
        <v>2</v>
      </c>
      <c r="D36" s="8">
        <v>2.13</v>
      </c>
      <c r="E36" s="12">
        <v>1</v>
      </c>
      <c r="F36" s="8">
        <v>1.61</v>
      </c>
      <c r="G36" s="12">
        <v>1</v>
      </c>
      <c r="H36" s="8">
        <v>3.7</v>
      </c>
      <c r="I36" s="12">
        <v>0</v>
      </c>
    </row>
    <row r="37" spans="2:9" ht="15" customHeight="1" x14ac:dyDescent="0.2">
      <c r="B37" t="s">
        <v>133</v>
      </c>
      <c r="C37" s="12">
        <v>2</v>
      </c>
      <c r="D37" s="8">
        <v>2.13</v>
      </c>
      <c r="E37" s="12">
        <v>2</v>
      </c>
      <c r="F37" s="8">
        <v>3.23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118</v>
      </c>
      <c r="C38" s="12">
        <v>2</v>
      </c>
      <c r="D38" s="8">
        <v>2.13</v>
      </c>
      <c r="E38" s="12">
        <v>2</v>
      </c>
      <c r="F38" s="8">
        <v>3.23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137</v>
      </c>
      <c r="C39" s="12">
        <v>1</v>
      </c>
      <c r="D39" s="8">
        <v>1.06</v>
      </c>
      <c r="E39" s="12">
        <v>1</v>
      </c>
      <c r="F39" s="8">
        <v>1.61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156</v>
      </c>
      <c r="C40" s="12">
        <v>1</v>
      </c>
      <c r="D40" s="8">
        <v>1.06</v>
      </c>
      <c r="E40" s="12">
        <v>0</v>
      </c>
      <c r="F40" s="8">
        <v>0</v>
      </c>
      <c r="G40" s="12">
        <v>1</v>
      </c>
      <c r="H40" s="8">
        <v>3.7</v>
      </c>
      <c r="I40" s="12">
        <v>0</v>
      </c>
    </row>
    <row r="41" spans="2:9" ht="15" customHeight="1" x14ac:dyDescent="0.2">
      <c r="B41" t="s">
        <v>104</v>
      </c>
      <c r="C41" s="12">
        <v>1</v>
      </c>
      <c r="D41" s="8">
        <v>1.06</v>
      </c>
      <c r="E41" s="12">
        <v>1</v>
      </c>
      <c r="F41" s="8">
        <v>1.61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167</v>
      </c>
      <c r="C42" s="12">
        <v>1</v>
      </c>
      <c r="D42" s="8">
        <v>1.06</v>
      </c>
      <c r="E42" s="12">
        <v>0</v>
      </c>
      <c r="F42" s="8">
        <v>0</v>
      </c>
      <c r="G42" s="12">
        <v>1</v>
      </c>
      <c r="H42" s="8">
        <v>3.7</v>
      </c>
      <c r="I42" s="12">
        <v>0</v>
      </c>
    </row>
    <row r="43" spans="2:9" ht="15" customHeight="1" x14ac:dyDescent="0.2">
      <c r="B43" t="s">
        <v>135</v>
      </c>
      <c r="C43" s="12">
        <v>1</v>
      </c>
      <c r="D43" s="8">
        <v>1.06</v>
      </c>
      <c r="E43" s="12">
        <v>0</v>
      </c>
      <c r="F43" s="8">
        <v>0</v>
      </c>
      <c r="G43" s="12">
        <v>1</v>
      </c>
      <c r="H43" s="8">
        <v>3.7</v>
      </c>
      <c r="I43" s="12">
        <v>0</v>
      </c>
    </row>
    <row r="44" spans="2:9" ht="15" customHeight="1" x14ac:dyDescent="0.2">
      <c r="B44" t="s">
        <v>139</v>
      </c>
      <c r="C44" s="12">
        <v>1</v>
      </c>
      <c r="D44" s="8">
        <v>1.06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159</v>
      </c>
      <c r="C45" s="12">
        <v>1</v>
      </c>
      <c r="D45" s="8">
        <v>1.06</v>
      </c>
      <c r="E45" s="12">
        <v>1</v>
      </c>
      <c r="F45" s="8">
        <v>1.61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121</v>
      </c>
      <c r="C46" s="12">
        <v>1</v>
      </c>
      <c r="D46" s="8">
        <v>1.06</v>
      </c>
      <c r="E46" s="12">
        <v>1</v>
      </c>
      <c r="F46" s="8">
        <v>1.61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112</v>
      </c>
      <c r="C47" s="12">
        <v>1</v>
      </c>
      <c r="D47" s="8">
        <v>1.06</v>
      </c>
      <c r="E47" s="12">
        <v>1</v>
      </c>
      <c r="F47" s="8">
        <v>1.61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113</v>
      </c>
      <c r="C48" s="12">
        <v>1</v>
      </c>
      <c r="D48" s="8">
        <v>1.06</v>
      </c>
      <c r="E48" s="12">
        <v>1</v>
      </c>
      <c r="F48" s="8">
        <v>1.61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114</v>
      </c>
      <c r="C49" s="12">
        <v>1</v>
      </c>
      <c r="D49" s="8">
        <v>1.06</v>
      </c>
      <c r="E49" s="12">
        <v>1</v>
      </c>
      <c r="F49" s="8">
        <v>1.61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129</v>
      </c>
      <c r="C50" s="12">
        <v>1</v>
      </c>
      <c r="D50" s="8">
        <v>1.06</v>
      </c>
      <c r="E50" s="12">
        <v>0</v>
      </c>
      <c r="F50" s="8">
        <v>0</v>
      </c>
      <c r="G50" s="12">
        <v>1</v>
      </c>
      <c r="H50" s="8">
        <v>3.7</v>
      </c>
      <c r="I50" s="12">
        <v>0</v>
      </c>
    </row>
    <row r="51" spans="2:9" ht="15" customHeight="1" x14ac:dyDescent="0.2">
      <c r="B51" t="s">
        <v>120</v>
      </c>
      <c r="C51" s="12">
        <v>1</v>
      </c>
      <c r="D51" s="8">
        <v>1.06</v>
      </c>
      <c r="E51" s="12">
        <v>1</v>
      </c>
      <c r="F51" s="8">
        <v>1.61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147</v>
      </c>
      <c r="C52" s="12">
        <v>1</v>
      </c>
      <c r="D52" s="8">
        <v>1.06</v>
      </c>
      <c r="E52" s="12">
        <v>1</v>
      </c>
      <c r="F52" s="8">
        <v>1.61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148</v>
      </c>
      <c r="C53" s="12">
        <v>1</v>
      </c>
      <c r="D53" s="8">
        <v>1.06</v>
      </c>
      <c r="E53" s="12">
        <v>0</v>
      </c>
      <c r="F53" s="8">
        <v>0</v>
      </c>
      <c r="G53" s="12">
        <v>1</v>
      </c>
      <c r="H53" s="8">
        <v>3.7</v>
      </c>
      <c r="I53" s="12">
        <v>0</v>
      </c>
    </row>
    <row r="54" spans="2:9" ht="15" customHeight="1" x14ac:dyDescent="0.2">
      <c r="B54" t="s">
        <v>124</v>
      </c>
      <c r="C54" s="12">
        <v>1</v>
      </c>
      <c r="D54" s="8">
        <v>1.06</v>
      </c>
      <c r="E54" s="12">
        <v>1</v>
      </c>
      <c r="F54" s="8">
        <v>1.61</v>
      </c>
      <c r="G54" s="12">
        <v>0</v>
      </c>
      <c r="H54" s="8">
        <v>0</v>
      </c>
      <c r="I54" s="12">
        <v>0</v>
      </c>
    </row>
    <row r="57" spans="2:9" ht="33" customHeight="1" x14ac:dyDescent="0.2">
      <c r="B57" t="s">
        <v>365</v>
      </c>
      <c r="C57" s="10" t="s">
        <v>94</v>
      </c>
      <c r="D57" s="10" t="s">
        <v>95</v>
      </c>
      <c r="E57" s="10" t="s">
        <v>96</v>
      </c>
      <c r="F57" s="10" t="s">
        <v>97</v>
      </c>
      <c r="G57" s="10" t="s">
        <v>98</v>
      </c>
      <c r="H57" s="10" t="s">
        <v>99</v>
      </c>
      <c r="I57" s="10" t="s">
        <v>100</v>
      </c>
    </row>
    <row r="58" spans="2:9" ht="15" customHeight="1" x14ac:dyDescent="0.2">
      <c r="B58" t="s">
        <v>174</v>
      </c>
      <c r="C58" s="12">
        <v>7</v>
      </c>
      <c r="D58" s="8">
        <v>7.45</v>
      </c>
      <c r="E58" s="12">
        <v>2</v>
      </c>
      <c r="F58" s="8">
        <v>3.23</v>
      </c>
      <c r="G58" s="12">
        <v>5</v>
      </c>
      <c r="H58" s="8">
        <v>18.52</v>
      </c>
      <c r="I58" s="12">
        <v>0</v>
      </c>
    </row>
    <row r="59" spans="2:9" ht="15" customHeight="1" x14ac:dyDescent="0.2">
      <c r="B59" t="s">
        <v>191</v>
      </c>
      <c r="C59" s="12">
        <v>5</v>
      </c>
      <c r="D59" s="8">
        <v>5.32</v>
      </c>
      <c r="E59" s="12">
        <v>5</v>
      </c>
      <c r="F59" s="8">
        <v>8.06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192</v>
      </c>
      <c r="C60" s="12">
        <v>5</v>
      </c>
      <c r="D60" s="8">
        <v>5.32</v>
      </c>
      <c r="E60" s="12">
        <v>5</v>
      </c>
      <c r="F60" s="8">
        <v>8.06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177</v>
      </c>
      <c r="C61" s="12">
        <v>4</v>
      </c>
      <c r="D61" s="8">
        <v>4.26</v>
      </c>
      <c r="E61" s="12">
        <v>0</v>
      </c>
      <c r="F61" s="8">
        <v>0</v>
      </c>
      <c r="G61" s="12">
        <v>4</v>
      </c>
      <c r="H61" s="8">
        <v>14.81</v>
      </c>
      <c r="I61" s="12">
        <v>0</v>
      </c>
    </row>
    <row r="62" spans="2:9" ht="15" customHeight="1" x14ac:dyDescent="0.2">
      <c r="B62" t="s">
        <v>180</v>
      </c>
      <c r="C62" s="12">
        <v>4</v>
      </c>
      <c r="D62" s="8">
        <v>4.26</v>
      </c>
      <c r="E62" s="12">
        <v>4</v>
      </c>
      <c r="F62" s="8">
        <v>6.45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190</v>
      </c>
      <c r="C63" s="12">
        <v>4</v>
      </c>
      <c r="D63" s="8">
        <v>4.26</v>
      </c>
      <c r="E63" s="12">
        <v>4</v>
      </c>
      <c r="F63" s="8">
        <v>6.45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181</v>
      </c>
      <c r="C64" s="12">
        <v>3</v>
      </c>
      <c r="D64" s="8">
        <v>3.19</v>
      </c>
      <c r="E64" s="12">
        <v>2</v>
      </c>
      <c r="F64" s="8">
        <v>3.23</v>
      </c>
      <c r="G64" s="12">
        <v>1</v>
      </c>
      <c r="H64" s="8">
        <v>3.7</v>
      </c>
      <c r="I64" s="12">
        <v>0</v>
      </c>
    </row>
    <row r="65" spans="2:9" ht="15" customHeight="1" x14ac:dyDescent="0.2">
      <c r="B65" t="s">
        <v>186</v>
      </c>
      <c r="C65" s="12">
        <v>3</v>
      </c>
      <c r="D65" s="8">
        <v>3.19</v>
      </c>
      <c r="E65" s="12">
        <v>3</v>
      </c>
      <c r="F65" s="8">
        <v>4.84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198</v>
      </c>
      <c r="C66" s="12">
        <v>3</v>
      </c>
      <c r="D66" s="8">
        <v>3.19</v>
      </c>
      <c r="E66" s="12">
        <v>3</v>
      </c>
      <c r="F66" s="8">
        <v>4.84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209</v>
      </c>
      <c r="C67" s="12">
        <v>3</v>
      </c>
      <c r="D67" s="8">
        <v>3.19</v>
      </c>
      <c r="E67" s="12">
        <v>3</v>
      </c>
      <c r="F67" s="8">
        <v>4.84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261</v>
      </c>
      <c r="C68" s="12">
        <v>2</v>
      </c>
      <c r="D68" s="8">
        <v>2.13</v>
      </c>
      <c r="E68" s="12">
        <v>1</v>
      </c>
      <c r="F68" s="8">
        <v>1.61</v>
      </c>
      <c r="G68" s="12">
        <v>1</v>
      </c>
      <c r="H68" s="8">
        <v>3.7</v>
      </c>
      <c r="I68" s="12">
        <v>0</v>
      </c>
    </row>
    <row r="69" spans="2:9" ht="15" customHeight="1" x14ac:dyDescent="0.2">
      <c r="B69" t="s">
        <v>196</v>
      </c>
      <c r="C69" s="12">
        <v>2</v>
      </c>
      <c r="D69" s="8">
        <v>2.13</v>
      </c>
      <c r="E69" s="12">
        <v>1</v>
      </c>
      <c r="F69" s="8">
        <v>1.61</v>
      </c>
      <c r="G69" s="12">
        <v>1</v>
      </c>
      <c r="H69" s="8">
        <v>3.7</v>
      </c>
      <c r="I69" s="12">
        <v>0</v>
      </c>
    </row>
    <row r="70" spans="2:9" ht="15" customHeight="1" x14ac:dyDescent="0.2">
      <c r="B70" t="s">
        <v>179</v>
      </c>
      <c r="C70" s="12">
        <v>2</v>
      </c>
      <c r="D70" s="8">
        <v>2.13</v>
      </c>
      <c r="E70" s="12">
        <v>0</v>
      </c>
      <c r="F70" s="8">
        <v>0</v>
      </c>
      <c r="G70" s="12">
        <v>1</v>
      </c>
      <c r="H70" s="8">
        <v>3.7</v>
      </c>
      <c r="I70" s="12">
        <v>1</v>
      </c>
    </row>
    <row r="71" spans="2:9" ht="15" customHeight="1" x14ac:dyDescent="0.2">
      <c r="B71" t="s">
        <v>205</v>
      </c>
      <c r="C71" s="12">
        <v>2</v>
      </c>
      <c r="D71" s="8">
        <v>2.13</v>
      </c>
      <c r="E71" s="12">
        <v>2</v>
      </c>
      <c r="F71" s="8">
        <v>3.23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242</v>
      </c>
      <c r="C72" s="12">
        <v>2</v>
      </c>
      <c r="D72" s="8">
        <v>2.13</v>
      </c>
      <c r="E72" s="12">
        <v>2</v>
      </c>
      <c r="F72" s="8">
        <v>3.23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188</v>
      </c>
      <c r="C73" s="12">
        <v>2</v>
      </c>
      <c r="D73" s="8">
        <v>2.13</v>
      </c>
      <c r="E73" s="12">
        <v>2</v>
      </c>
      <c r="F73" s="8">
        <v>3.23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271</v>
      </c>
      <c r="C74" s="12">
        <v>2</v>
      </c>
      <c r="D74" s="8">
        <v>2.13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287</v>
      </c>
      <c r="C75" s="12">
        <v>1</v>
      </c>
      <c r="D75" s="8">
        <v>1.06</v>
      </c>
      <c r="E75" s="12">
        <v>0</v>
      </c>
      <c r="F75" s="8">
        <v>0</v>
      </c>
      <c r="G75" s="12">
        <v>1</v>
      </c>
      <c r="H75" s="8">
        <v>3.7</v>
      </c>
      <c r="I75" s="12">
        <v>0</v>
      </c>
    </row>
    <row r="76" spans="2:9" ht="15" customHeight="1" x14ac:dyDescent="0.2">
      <c r="B76" t="s">
        <v>175</v>
      </c>
      <c r="C76" s="12">
        <v>1</v>
      </c>
      <c r="D76" s="8">
        <v>1.06</v>
      </c>
      <c r="E76" s="12">
        <v>0</v>
      </c>
      <c r="F76" s="8">
        <v>0</v>
      </c>
      <c r="G76" s="12">
        <v>1</v>
      </c>
      <c r="H76" s="8">
        <v>3.7</v>
      </c>
      <c r="I76" s="12">
        <v>0</v>
      </c>
    </row>
    <row r="77" spans="2:9" ht="15" customHeight="1" x14ac:dyDescent="0.2">
      <c r="B77" t="s">
        <v>176</v>
      </c>
      <c r="C77" s="12">
        <v>1</v>
      </c>
      <c r="D77" s="8">
        <v>1.06</v>
      </c>
      <c r="E77" s="12">
        <v>0</v>
      </c>
      <c r="F77" s="8">
        <v>0</v>
      </c>
      <c r="G77" s="12">
        <v>1</v>
      </c>
      <c r="H77" s="8">
        <v>3.7</v>
      </c>
      <c r="I77" s="12">
        <v>0</v>
      </c>
    </row>
    <row r="78" spans="2:9" ht="15" customHeight="1" x14ac:dyDescent="0.2">
      <c r="B78" t="s">
        <v>210</v>
      </c>
      <c r="C78" s="12">
        <v>1</v>
      </c>
      <c r="D78" s="8">
        <v>1.06</v>
      </c>
      <c r="E78" s="12">
        <v>1</v>
      </c>
      <c r="F78" s="8">
        <v>1.61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224</v>
      </c>
      <c r="C79" s="12">
        <v>1</v>
      </c>
      <c r="D79" s="8">
        <v>1.06</v>
      </c>
      <c r="E79" s="12">
        <v>1</v>
      </c>
      <c r="F79" s="8">
        <v>1.61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201</v>
      </c>
      <c r="C80" s="12">
        <v>1</v>
      </c>
      <c r="D80" s="8">
        <v>1.06</v>
      </c>
      <c r="E80" s="12">
        <v>1</v>
      </c>
      <c r="F80" s="8">
        <v>1.61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178</v>
      </c>
      <c r="C81" s="12">
        <v>1</v>
      </c>
      <c r="D81" s="8">
        <v>1.06</v>
      </c>
      <c r="E81" s="12">
        <v>1</v>
      </c>
      <c r="F81" s="8">
        <v>1.61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313</v>
      </c>
      <c r="C82" s="12">
        <v>1</v>
      </c>
      <c r="D82" s="8">
        <v>1.06</v>
      </c>
      <c r="E82" s="12">
        <v>0</v>
      </c>
      <c r="F82" s="8">
        <v>0</v>
      </c>
      <c r="G82" s="12">
        <v>1</v>
      </c>
      <c r="H82" s="8">
        <v>3.7</v>
      </c>
      <c r="I82" s="12">
        <v>0</v>
      </c>
    </row>
    <row r="83" spans="2:9" ht="15" customHeight="1" x14ac:dyDescent="0.2">
      <c r="B83" t="s">
        <v>262</v>
      </c>
      <c r="C83" s="12">
        <v>1</v>
      </c>
      <c r="D83" s="8">
        <v>1.06</v>
      </c>
      <c r="E83" s="12">
        <v>0</v>
      </c>
      <c r="F83" s="8">
        <v>0</v>
      </c>
      <c r="G83" s="12">
        <v>1</v>
      </c>
      <c r="H83" s="8">
        <v>3.7</v>
      </c>
      <c r="I83" s="12">
        <v>0</v>
      </c>
    </row>
    <row r="84" spans="2:9" ht="15" customHeight="1" x14ac:dyDescent="0.2">
      <c r="B84" t="s">
        <v>320</v>
      </c>
      <c r="C84" s="12">
        <v>1</v>
      </c>
      <c r="D84" s="8">
        <v>1.06</v>
      </c>
      <c r="E84" s="12">
        <v>1</v>
      </c>
      <c r="F84" s="8">
        <v>1.61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327</v>
      </c>
      <c r="C85" s="12">
        <v>1</v>
      </c>
      <c r="D85" s="8">
        <v>1.06</v>
      </c>
      <c r="E85" s="12">
        <v>0</v>
      </c>
      <c r="F85" s="8">
        <v>0</v>
      </c>
      <c r="G85" s="12">
        <v>1</v>
      </c>
      <c r="H85" s="8">
        <v>3.7</v>
      </c>
      <c r="I85" s="12">
        <v>0</v>
      </c>
    </row>
    <row r="86" spans="2:9" ht="15" customHeight="1" x14ac:dyDescent="0.2">
      <c r="B86" t="s">
        <v>328</v>
      </c>
      <c r="C86" s="12">
        <v>1</v>
      </c>
      <c r="D86" s="8">
        <v>1.06</v>
      </c>
      <c r="E86" s="12">
        <v>1</v>
      </c>
      <c r="F86" s="8">
        <v>1.61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329</v>
      </c>
      <c r="C87" s="12">
        <v>1</v>
      </c>
      <c r="D87" s="8">
        <v>1.06</v>
      </c>
      <c r="E87" s="12">
        <v>0</v>
      </c>
      <c r="F87" s="8">
        <v>0</v>
      </c>
      <c r="G87" s="12">
        <v>1</v>
      </c>
      <c r="H87" s="8">
        <v>3.7</v>
      </c>
      <c r="I87" s="12">
        <v>0</v>
      </c>
    </row>
    <row r="88" spans="2:9" ht="15" customHeight="1" x14ac:dyDescent="0.2">
      <c r="B88" t="s">
        <v>254</v>
      </c>
      <c r="C88" s="12">
        <v>1</v>
      </c>
      <c r="D88" s="8">
        <v>1.06</v>
      </c>
      <c r="E88" s="12">
        <v>0</v>
      </c>
      <c r="F88" s="8">
        <v>0</v>
      </c>
      <c r="G88" s="12">
        <v>1</v>
      </c>
      <c r="H88" s="8">
        <v>3.7</v>
      </c>
      <c r="I88" s="12">
        <v>0</v>
      </c>
    </row>
    <row r="89" spans="2:9" ht="15" customHeight="1" x14ac:dyDescent="0.2">
      <c r="B89" t="s">
        <v>232</v>
      </c>
      <c r="C89" s="12">
        <v>1</v>
      </c>
      <c r="D89" s="8">
        <v>1.06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276</v>
      </c>
      <c r="C90" s="12">
        <v>1</v>
      </c>
      <c r="D90" s="8">
        <v>1.06</v>
      </c>
      <c r="E90" s="12">
        <v>1</v>
      </c>
      <c r="F90" s="8">
        <v>1.61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211</v>
      </c>
      <c r="C91" s="12">
        <v>1</v>
      </c>
      <c r="D91" s="8">
        <v>1.06</v>
      </c>
      <c r="E91" s="12">
        <v>1</v>
      </c>
      <c r="F91" s="8">
        <v>1.61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227</v>
      </c>
      <c r="C92" s="12">
        <v>1</v>
      </c>
      <c r="D92" s="8">
        <v>1.06</v>
      </c>
      <c r="E92" s="12">
        <v>1</v>
      </c>
      <c r="F92" s="8">
        <v>1.61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296</v>
      </c>
      <c r="C93" s="12">
        <v>1</v>
      </c>
      <c r="D93" s="8">
        <v>1.06</v>
      </c>
      <c r="E93" s="12">
        <v>1</v>
      </c>
      <c r="F93" s="8">
        <v>1.61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222</v>
      </c>
      <c r="C94" s="12">
        <v>1</v>
      </c>
      <c r="D94" s="8">
        <v>1.06</v>
      </c>
      <c r="E94" s="12">
        <v>1</v>
      </c>
      <c r="F94" s="8">
        <v>1.61</v>
      </c>
      <c r="G94" s="12">
        <v>0</v>
      </c>
      <c r="H94" s="8">
        <v>0</v>
      </c>
      <c r="I94" s="12">
        <v>0</v>
      </c>
    </row>
    <row r="95" spans="2:9" ht="15" customHeight="1" x14ac:dyDescent="0.2">
      <c r="B95" t="s">
        <v>216</v>
      </c>
      <c r="C95" s="12">
        <v>1</v>
      </c>
      <c r="D95" s="8">
        <v>1.06</v>
      </c>
      <c r="E95" s="12">
        <v>0</v>
      </c>
      <c r="F95" s="8">
        <v>0</v>
      </c>
      <c r="G95" s="12">
        <v>1</v>
      </c>
      <c r="H95" s="8">
        <v>3.7</v>
      </c>
      <c r="I95" s="12">
        <v>0</v>
      </c>
    </row>
    <row r="96" spans="2:9" ht="15" customHeight="1" x14ac:dyDescent="0.2">
      <c r="B96" t="s">
        <v>183</v>
      </c>
      <c r="C96" s="12">
        <v>1</v>
      </c>
      <c r="D96" s="8">
        <v>1.06</v>
      </c>
      <c r="E96" s="12">
        <v>0</v>
      </c>
      <c r="F96" s="8">
        <v>0</v>
      </c>
      <c r="G96" s="12">
        <v>1</v>
      </c>
      <c r="H96" s="8">
        <v>3.7</v>
      </c>
      <c r="I96" s="12">
        <v>0</v>
      </c>
    </row>
    <row r="97" spans="2:9" ht="15" customHeight="1" x14ac:dyDescent="0.2">
      <c r="B97" t="s">
        <v>195</v>
      </c>
      <c r="C97" s="12">
        <v>1</v>
      </c>
      <c r="D97" s="8">
        <v>1.06</v>
      </c>
      <c r="E97" s="12">
        <v>1</v>
      </c>
      <c r="F97" s="8">
        <v>1.61</v>
      </c>
      <c r="G97" s="12">
        <v>0</v>
      </c>
      <c r="H97" s="8">
        <v>0</v>
      </c>
      <c r="I97" s="12">
        <v>0</v>
      </c>
    </row>
    <row r="98" spans="2:9" ht="15" customHeight="1" x14ac:dyDescent="0.2">
      <c r="B98" t="s">
        <v>244</v>
      </c>
      <c r="C98" s="12">
        <v>1</v>
      </c>
      <c r="D98" s="8">
        <v>1.06</v>
      </c>
      <c r="E98" s="12">
        <v>0</v>
      </c>
      <c r="F98" s="8">
        <v>0</v>
      </c>
      <c r="G98" s="12">
        <v>1</v>
      </c>
      <c r="H98" s="8">
        <v>3.7</v>
      </c>
      <c r="I98" s="12">
        <v>0</v>
      </c>
    </row>
    <row r="99" spans="2:9" ht="15" customHeight="1" x14ac:dyDescent="0.2">
      <c r="B99" t="s">
        <v>330</v>
      </c>
      <c r="C99" s="12">
        <v>1</v>
      </c>
      <c r="D99" s="8">
        <v>1.06</v>
      </c>
      <c r="E99" s="12">
        <v>1</v>
      </c>
      <c r="F99" s="8">
        <v>1.61</v>
      </c>
      <c r="G99" s="12">
        <v>0</v>
      </c>
      <c r="H99" s="8">
        <v>0</v>
      </c>
      <c r="I99" s="12">
        <v>0</v>
      </c>
    </row>
    <row r="100" spans="2:9" ht="15" customHeight="1" x14ac:dyDescent="0.2">
      <c r="B100" t="s">
        <v>326</v>
      </c>
      <c r="C100" s="12">
        <v>1</v>
      </c>
      <c r="D100" s="8">
        <v>1.06</v>
      </c>
      <c r="E100" s="12">
        <v>1</v>
      </c>
      <c r="F100" s="8">
        <v>1.61</v>
      </c>
      <c r="G100" s="12">
        <v>0</v>
      </c>
      <c r="H100" s="8">
        <v>0</v>
      </c>
      <c r="I100" s="12">
        <v>0</v>
      </c>
    </row>
    <row r="101" spans="2:9" ht="15" customHeight="1" x14ac:dyDescent="0.2">
      <c r="B101" t="s">
        <v>247</v>
      </c>
      <c r="C101" s="12">
        <v>1</v>
      </c>
      <c r="D101" s="8">
        <v>1.06</v>
      </c>
      <c r="E101" s="12">
        <v>1</v>
      </c>
      <c r="F101" s="8">
        <v>1.61</v>
      </c>
      <c r="G101" s="12">
        <v>0</v>
      </c>
      <c r="H101" s="8">
        <v>0</v>
      </c>
      <c r="I101" s="12">
        <v>0</v>
      </c>
    </row>
    <row r="102" spans="2:9" ht="15" customHeight="1" x14ac:dyDescent="0.2">
      <c r="B102" t="s">
        <v>220</v>
      </c>
      <c r="C102" s="12">
        <v>1</v>
      </c>
      <c r="D102" s="8">
        <v>1.06</v>
      </c>
      <c r="E102" s="12">
        <v>1</v>
      </c>
      <c r="F102" s="8">
        <v>1.61</v>
      </c>
      <c r="G102" s="12">
        <v>0</v>
      </c>
      <c r="H102" s="8">
        <v>0</v>
      </c>
      <c r="I102" s="12">
        <v>0</v>
      </c>
    </row>
    <row r="103" spans="2:9" ht="15" customHeight="1" x14ac:dyDescent="0.2">
      <c r="B103" t="s">
        <v>207</v>
      </c>
      <c r="C103" s="12">
        <v>1</v>
      </c>
      <c r="D103" s="8">
        <v>1.06</v>
      </c>
      <c r="E103" s="12">
        <v>0</v>
      </c>
      <c r="F103" s="8">
        <v>0</v>
      </c>
      <c r="G103" s="12">
        <v>1</v>
      </c>
      <c r="H103" s="8">
        <v>3.7</v>
      </c>
      <c r="I103" s="12">
        <v>0</v>
      </c>
    </row>
    <row r="104" spans="2:9" ht="15" customHeight="1" x14ac:dyDescent="0.2">
      <c r="B104" t="s">
        <v>199</v>
      </c>
      <c r="C104" s="12">
        <v>1</v>
      </c>
      <c r="D104" s="8">
        <v>1.06</v>
      </c>
      <c r="E104" s="12">
        <v>1</v>
      </c>
      <c r="F104" s="8">
        <v>1.61</v>
      </c>
      <c r="G104" s="12">
        <v>0</v>
      </c>
      <c r="H104" s="8">
        <v>0</v>
      </c>
      <c r="I104" s="12">
        <v>0</v>
      </c>
    </row>
    <row r="105" spans="2:9" ht="15" customHeight="1" x14ac:dyDescent="0.2">
      <c r="B105" t="s">
        <v>283</v>
      </c>
      <c r="C105" s="12">
        <v>1</v>
      </c>
      <c r="D105" s="8">
        <v>1.06</v>
      </c>
      <c r="E105" s="12">
        <v>1</v>
      </c>
      <c r="F105" s="8">
        <v>1.61</v>
      </c>
      <c r="G105" s="12">
        <v>0</v>
      </c>
      <c r="H105" s="8">
        <v>0</v>
      </c>
      <c r="I105" s="12">
        <v>0</v>
      </c>
    </row>
    <row r="106" spans="2:9" ht="15" customHeight="1" x14ac:dyDescent="0.2">
      <c r="B106" t="s">
        <v>223</v>
      </c>
      <c r="C106" s="12">
        <v>1</v>
      </c>
      <c r="D106" s="8">
        <v>1.06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2">
      <c r="B107" t="s">
        <v>278</v>
      </c>
      <c r="C107" s="12">
        <v>1</v>
      </c>
      <c r="D107" s="8">
        <v>1.06</v>
      </c>
      <c r="E107" s="12">
        <v>1</v>
      </c>
      <c r="F107" s="8">
        <v>1.61</v>
      </c>
      <c r="G107" s="12">
        <v>0</v>
      </c>
      <c r="H107" s="8">
        <v>0</v>
      </c>
      <c r="I107" s="12">
        <v>0</v>
      </c>
    </row>
    <row r="108" spans="2:9" ht="15" customHeight="1" x14ac:dyDescent="0.2">
      <c r="B108" t="s">
        <v>193</v>
      </c>
      <c r="C108" s="12">
        <v>1</v>
      </c>
      <c r="D108" s="8">
        <v>1.06</v>
      </c>
      <c r="E108" s="12">
        <v>1</v>
      </c>
      <c r="F108" s="8">
        <v>1.61</v>
      </c>
      <c r="G108" s="12">
        <v>0</v>
      </c>
      <c r="H108" s="8">
        <v>0</v>
      </c>
      <c r="I108" s="12">
        <v>0</v>
      </c>
    </row>
    <row r="109" spans="2:9" ht="15" customHeight="1" x14ac:dyDescent="0.2">
      <c r="B109" t="s">
        <v>264</v>
      </c>
      <c r="C109" s="12">
        <v>1</v>
      </c>
      <c r="D109" s="8">
        <v>1.06</v>
      </c>
      <c r="E109" s="12">
        <v>0</v>
      </c>
      <c r="F109" s="8">
        <v>0</v>
      </c>
      <c r="G109" s="12">
        <v>1</v>
      </c>
      <c r="H109" s="8">
        <v>3.7</v>
      </c>
      <c r="I109" s="12">
        <v>0</v>
      </c>
    </row>
    <row r="110" spans="2:9" ht="15" customHeight="1" x14ac:dyDescent="0.2">
      <c r="B110" t="s">
        <v>200</v>
      </c>
      <c r="C110" s="12">
        <v>1</v>
      </c>
      <c r="D110" s="8">
        <v>1.06</v>
      </c>
      <c r="E110" s="12">
        <v>1</v>
      </c>
      <c r="F110" s="8">
        <v>1.61</v>
      </c>
      <c r="G110" s="12">
        <v>0</v>
      </c>
      <c r="H110" s="8">
        <v>0</v>
      </c>
      <c r="I110" s="12">
        <v>0</v>
      </c>
    </row>
    <row r="111" spans="2:9" ht="15" customHeight="1" x14ac:dyDescent="0.2">
      <c r="B111" t="s">
        <v>331</v>
      </c>
      <c r="C111" s="12">
        <v>1</v>
      </c>
      <c r="D111" s="8">
        <v>1.06</v>
      </c>
      <c r="E111" s="12">
        <v>1</v>
      </c>
      <c r="F111" s="8">
        <v>1.61</v>
      </c>
      <c r="G111" s="12">
        <v>0</v>
      </c>
      <c r="H111" s="8">
        <v>0</v>
      </c>
      <c r="I111" s="12">
        <v>0</v>
      </c>
    </row>
    <row r="112" spans="2:9" ht="15" customHeight="1" x14ac:dyDescent="0.2">
      <c r="B112" t="s">
        <v>251</v>
      </c>
      <c r="C112" s="12">
        <v>1</v>
      </c>
      <c r="D112" s="8">
        <v>1.06</v>
      </c>
      <c r="E112" s="12">
        <v>0</v>
      </c>
      <c r="F112" s="8">
        <v>0</v>
      </c>
      <c r="G112" s="12">
        <v>1</v>
      </c>
      <c r="H112" s="8">
        <v>3.7</v>
      </c>
      <c r="I112" s="12">
        <v>0</v>
      </c>
    </row>
    <row r="113" spans="2:9" ht="15" customHeight="1" x14ac:dyDescent="0.2">
      <c r="B113" t="s">
        <v>332</v>
      </c>
      <c r="C113" s="12">
        <v>1</v>
      </c>
      <c r="D113" s="8">
        <v>1.06</v>
      </c>
      <c r="E113" s="12">
        <v>1</v>
      </c>
      <c r="F113" s="8">
        <v>1.61</v>
      </c>
      <c r="G113" s="12">
        <v>0</v>
      </c>
      <c r="H113" s="8">
        <v>0</v>
      </c>
      <c r="I113" s="12">
        <v>0</v>
      </c>
    </row>
    <row r="115" spans="2:9" ht="15" customHeight="1" x14ac:dyDescent="0.2">
      <c r="B115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8D625-C919-441C-B931-F0A9C51DBD23}">
  <sheetPr>
    <pageSetUpPr fitToPage="1"/>
  </sheetPr>
  <dimension ref="B2:I8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426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21</v>
      </c>
      <c r="D6" s="8">
        <v>35</v>
      </c>
      <c r="E6" s="12">
        <v>15</v>
      </c>
      <c r="F6" s="8">
        <v>36.590000000000003</v>
      </c>
      <c r="G6" s="12">
        <v>6</v>
      </c>
      <c r="H6" s="8">
        <v>37.5</v>
      </c>
      <c r="I6" s="12">
        <v>0</v>
      </c>
    </row>
    <row r="7" spans="2:9" ht="15" customHeight="1" x14ac:dyDescent="0.2">
      <c r="B7" t="s">
        <v>80</v>
      </c>
      <c r="C7" s="12">
        <v>8</v>
      </c>
      <c r="D7" s="8">
        <v>13.33</v>
      </c>
      <c r="E7" s="12">
        <v>3</v>
      </c>
      <c r="F7" s="8">
        <v>7.32</v>
      </c>
      <c r="G7" s="12">
        <v>5</v>
      </c>
      <c r="H7" s="8">
        <v>31.25</v>
      </c>
      <c r="I7" s="12">
        <v>0</v>
      </c>
    </row>
    <row r="8" spans="2:9" ht="15" customHeight="1" x14ac:dyDescent="0.2">
      <c r="B8" t="s">
        <v>81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1</v>
      </c>
      <c r="D9" s="8">
        <v>1.67</v>
      </c>
      <c r="E9" s="12">
        <v>1</v>
      </c>
      <c r="F9" s="8">
        <v>2.44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1</v>
      </c>
      <c r="D10" s="8">
        <v>1.67</v>
      </c>
      <c r="E10" s="12">
        <v>1</v>
      </c>
      <c r="F10" s="8">
        <v>2.44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84</v>
      </c>
      <c r="C11" s="12">
        <v>12</v>
      </c>
      <c r="D11" s="8">
        <v>20</v>
      </c>
      <c r="E11" s="12">
        <v>8</v>
      </c>
      <c r="F11" s="8">
        <v>19.510000000000002</v>
      </c>
      <c r="G11" s="12">
        <v>3</v>
      </c>
      <c r="H11" s="8">
        <v>18.75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87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88</v>
      </c>
      <c r="C15" s="12">
        <v>7</v>
      </c>
      <c r="D15" s="8">
        <v>11.67</v>
      </c>
      <c r="E15" s="12">
        <v>5</v>
      </c>
      <c r="F15" s="8">
        <v>12.2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89</v>
      </c>
      <c r="C16" s="12">
        <v>7</v>
      </c>
      <c r="D16" s="8">
        <v>11.67</v>
      </c>
      <c r="E16" s="12">
        <v>6</v>
      </c>
      <c r="F16" s="8">
        <v>14.63</v>
      </c>
      <c r="G16" s="12">
        <v>1</v>
      </c>
      <c r="H16" s="8">
        <v>6.25</v>
      </c>
      <c r="I16" s="12">
        <v>0</v>
      </c>
    </row>
    <row r="17" spans="2:9" ht="15" customHeight="1" x14ac:dyDescent="0.2">
      <c r="B17" t="s">
        <v>90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1</v>
      </c>
      <c r="D18" s="8">
        <v>1.67</v>
      </c>
      <c r="E18" s="12">
        <v>1</v>
      </c>
      <c r="F18" s="8">
        <v>2.44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92</v>
      </c>
      <c r="C19" s="12">
        <v>2</v>
      </c>
      <c r="D19" s="8">
        <v>3.33</v>
      </c>
      <c r="E19" s="12">
        <v>1</v>
      </c>
      <c r="F19" s="8">
        <v>2.44</v>
      </c>
      <c r="G19" s="12">
        <v>1</v>
      </c>
      <c r="H19" s="8">
        <v>6.25</v>
      </c>
      <c r="I19" s="12">
        <v>0</v>
      </c>
    </row>
    <row r="20" spans="2:9" ht="15" customHeight="1" x14ac:dyDescent="0.2">
      <c r="B20" s="9" t="s">
        <v>363</v>
      </c>
      <c r="C20" s="12">
        <f>SUM(LTBL_20448[総数／事業所数])</f>
        <v>60</v>
      </c>
      <c r="E20" s="12">
        <f>SUBTOTAL(109,LTBL_20448[個人／事業所数])</f>
        <v>41</v>
      </c>
      <c r="G20" s="12">
        <f>SUBTOTAL(109,LTBL_20448[法人／事業所数])</f>
        <v>16</v>
      </c>
      <c r="I20" s="12">
        <f>SUBTOTAL(109,LTBL_20448[法人以外の団体／事業所数])</f>
        <v>0</v>
      </c>
    </row>
    <row r="21" spans="2:9" ht="15" customHeight="1" x14ac:dyDescent="0.2">
      <c r="E21" s="11">
        <f>LTBL_20448[[#Totals],[個人／事業所数]]/LTBL_20448[[#Totals],[総数／事業所数]]</f>
        <v>0.68333333333333335</v>
      </c>
      <c r="G21" s="11">
        <f>LTBL_20448[[#Totals],[法人／事業所数]]/LTBL_20448[[#Totals],[総数／事業所数]]</f>
        <v>0.26666666666666666</v>
      </c>
      <c r="I21" s="11">
        <f>LTBL_20448[[#Totals],[法人以外の団体／事業所数]]/LTBL_20448[[#Totals],[総数／事業所数]]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101</v>
      </c>
      <c r="C24" s="12">
        <v>15</v>
      </c>
      <c r="D24" s="8">
        <v>25</v>
      </c>
      <c r="E24" s="12">
        <v>10</v>
      </c>
      <c r="F24" s="8">
        <v>24.39</v>
      </c>
      <c r="G24" s="12">
        <v>5</v>
      </c>
      <c r="H24" s="8">
        <v>31.25</v>
      </c>
      <c r="I24" s="12">
        <v>0</v>
      </c>
    </row>
    <row r="25" spans="2:9" ht="15" customHeight="1" x14ac:dyDescent="0.2">
      <c r="B25" t="s">
        <v>116</v>
      </c>
      <c r="C25" s="12">
        <v>7</v>
      </c>
      <c r="D25" s="8">
        <v>11.67</v>
      </c>
      <c r="E25" s="12">
        <v>6</v>
      </c>
      <c r="F25" s="8">
        <v>14.63</v>
      </c>
      <c r="G25" s="12">
        <v>1</v>
      </c>
      <c r="H25" s="8">
        <v>6.25</v>
      </c>
      <c r="I25" s="12">
        <v>0</v>
      </c>
    </row>
    <row r="26" spans="2:9" ht="15" customHeight="1" x14ac:dyDescent="0.2">
      <c r="B26" t="s">
        <v>108</v>
      </c>
      <c r="C26" s="12">
        <v>5</v>
      </c>
      <c r="D26" s="8">
        <v>8.33</v>
      </c>
      <c r="E26" s="12">
        <v>4</v>
      </c>
      <c r="F26" s="8">
        <v>9.76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110</v>
      </c>
      <c r="C27" s="12">
        <v>5</v>
      </c>
      <c r="D27" s="8">
        <v>8.33</v>
      </c>
      <c r="E27" s="12">
        <v>4</v>
      </c>
      <c r="F27" s="8">
        <v>9.76</v>
      </c>
      <c r="G27" s="12">
        <v>1</v>
      </c>
      <c r="H27" s="8">
        <v>6.25</v>
      </c>
      <c r="I27" s="12">
        <v>0</v>
      </c>
    </row>
    <row r="28" spans="2:9" ht="15" customHeight="1" x14ac:dyDescent="0.2">
      <c r="B28" t="s">
        <v>103</v>
      </c>
      <c r="C28" s="12">
        <v>4</v>
      </c>
      <c r="D28" s="8">
        <v>6.67</v>
      </c>
      <c r="E28" s="12">
        <v>3</v>
      </c>
      <c r="F28" s="8">
        <v>7.32</v>
      </c>
      <c r="G28" s="12">
        <v>1</v>
      </c>
      <c r="H28" s="8">
        <v>6.25</v>
      </c>
      <c r="I28" s="12">
        <v>0</v>
      </c>
    </row>
    <row r="29" spans="2:9" ht="15" customHeight="1" x14ac:dyDescent="0.2">
      <c r="B29" t="s">
        <v>114</v>
      </c>
      <c r="C29" s="12">
        <v>3</v>
      </c>
      <c r="D29" s="8">
        <v>5</v>
      </c>
      <c r="E29" s="12">
        <v>2</v>
      </c>
      <c r="F29" s="8">
        <v>4.88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115</v>
      </c>
      <c r="C30" s="12">
        <v>3</v>
      </c>
      <c r="D30" s="8">
        <v>5</v>
      </c>
      <c r="E30" s="12">
        <v>3</v>
      </c>
      <c r="F30" s="8">
        <v>7.32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102</v>
      </c>
      <c r="C31" s="12">
        <v>2</v>
      </c>
      <c r="D31" s="8">
        <v>3.33</v>
      </c>
      <c r="E31" s="12">
        <v>2</v>
      </c>
      <c r="F31" s="8">
        <v>4.88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168</v>
      </c>
      <c r="C32" s="12">
        <v>2</v>
      </c>
      <c r="D32" s="8">
        <v>3.33</v>
      </c>
      <c r="E32" s="12">
        <v>0</v>
      </c>
      <c r="F32" s="8">
        <v>0</v>
      </c>
      <c r="G32" s="12">
        <v>2</v>
      </c>
      <c r="H32" s="8">
        <v>12.5</v>
      </c>
      <c r="I32" s="12">
        <v>0</v>
      </c>
    </row>
    <row r="33" spans="2:9" ht="15" customHeight="1" x14ac:dyDescent="0.2">
      <c r="B33" t="s">
        <v>120</v>
      </c>
      <c r="C33" s="12">
        <v>2</v>
      </c>
      <c r="D33" s="8">
        <v>3.33</v>
      </c>
      <c r="E33" s="12">
        <v>1</v>
      </c>
      <c r="F33" s="8">
        <v>2.44</v>
      </c>
      <c r="G33" s="12">
        <v>1</v>
      </c>
      <c r="H33" s="8">
        <v>6.25</v>
      </c>
      <c r="I33" s="12">
        <v>0</v>
      </c>
    </row>
    <row r="34" spans="2:9" ht="15" customHeight="1" x14ac:dyDescent="0.2">
      <c r="B34" t="s">
        <v>127</v>
      </c>
      <c r="C34" s="12">
        <v>1</v>
      </c>
      <c r="D34" s="8">
        <v>1.67</v>
      </c>
      <c r="E34" s="12">
        <v>0</v>
      </c>
      <c r="F34" s="8">
        <v>0</v>
      </c>
      <c r="G34" s="12">
        <v>1</v>
      </c>
      <c r="H34" s="8">
        <v>6.25</v>
      </c>
      <c r="I34" s="12">
        <v>0</v>
      </c>
    </row>
    <row r="35" spans="2:9" ht="15" customHeight="1" x14ac:dyDescent="0.2">
      <c r="B35" t="s">
        <v>130</v>
      </c>
      <c r="C35" s="12">
        <v>1</v>
      </c>
      <c r="D35" s="8">
        <v>1.67</v>
      </c>
      <c r="E35" s="12">
        <v>1</v>
      </c>
      <c r="F35" s="8">
        <v>2.44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143</v>
      </c>
      <c r="C36" s="12">
        <v>1</v>
      </c>
      <c r="D36" s="8">
        <v>1.67</v>
      </c>
      <c r="E36" s="12">
        <v>1</v>
      </c>
      <c r="F36" s="8">
        <v>2.44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104</v>
      </c>
      <c r="C37" s="12">
        <v>1</v>
      </c>
      <c r="D37" s="8">
        <v>1.67</v>
      </c>
      <c r="E37" s="12">
        <v>0</v>
      </c>
      <c r="F37" s="8">
        <v>0</v>
      </c>
      <c r="G37" s="12">
        <v>1</v>
      </c>
      <c r="H37" s="8">
        <v>6.25</v>
      </c>
      <c r="I37" s="12">
        <v>0</v>
      </c>
    </row>
    <row r="38" spans="2:9" ht="15" customHeight="1" x14ac:dyDescent="0.2">
      <c r="B38" t="s">
        <v>136</v>
      </c>
      <c r="C38" s="12">
        <v>1</v>
      </c>
      <c r="D38" s="8">
        <v>1.67</v>
      </c>
      <c r="E38" s="12">
        <v>0</v>
      </c>
      <c r="F38" s="8">
        <v>0</v>
      </c>
      <c r="G38" s="12">
        <v>1</v>
      </c>
      <c r="H38" s="8">
        <v>6.25</v>
      </c>
      <c r="I38" s="12">
        <v>0</v>
      </c>
    </row>
    <row r="39" spans="2:9" ht="15" customHeight="1" x14ac:dyDescent="0.2">
      <c r="B39" t="s">
        <v>135</v>
      </c>
      <c r="C39" s="12">
        <v>1</v>
      </c>
      <c r="D39" s="8">
        <v>1.67</v>
      </c>
      <c r="E39" s="12">
        <v>1</v>
      </c>
      <c r="F39" s="8">
        <v>2.44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162</v>
      </c>
      <c r="C40" s="12">
        <v>1</v>
      </c>
      <c r="D40" s="8">
        <v>1.67</v>
      </c>
      <c r="E40" s="12">
        <v>1</v>
      </c>
      <c r="F40" s="8">
        <v>2.44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145</v>
      </c>
      <c r="C41" s="12">
        <v>1</v>
      </c>
      <c r="D41" s="8">
        <v>1.67</v>
      </c>
      <c r="E41" s="12">
        <v>1</v>
      </c>
      <c r="F41" s="8">
        <v>2.44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106</v>
      </c>
      <c r="C42" s="12">
        <v>1</v>
      </c>
      <c r="D42" s="8">
        <v>1.67</v>
      </c>
      <c r="E42" s="12">
        <v>0</v>
      </c>
      <c r="F42" s="8">
        <v>0</v>
      </c>
      <c r="G42" s="12">
        <v>1</v>
      </c>
      <c r="H42" s="8">
        <v>6.25</v>
      </c>
      <c r="I42" s="12">
        <v>0</v>
      </c>
    </row>
    <row r="43" spans="2:9" ht="15" customHeight="1" x14ac:dyDescent="0.2">
      <c r="B43" t="s">
        <v>109</v>
      </c>
      <c r="C43" s="12">
        <v>1</v>
      </c>
      <c r="D43" s="8">
        <v>1.67</v>
      </c>
      <c r="E43" s="12">
        <v>0</v>
      </c>
      <c r="F43" s="8">
        <v>0</v>
      </c>
      <c r="G43" s="12">
        <v>1</v>
      </c>
      <c r="H43" s="8">
        <v>6.25</v>
      </c>
      <c r="I43" s="12">
        <v>0</v>
      </c>
    </row>
    <row r="44" spans="2:9" ht="15" customHeight="1" x14ac:dyDescent="0.2">
      <c r="B44" t="s">
        <v>129</v>
      </c>
      <c r="C44" s="12">
        <v>1</v>
      </c>
      <c r="D44" s="8">
        <v>1.67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118</v>
      </c>
      <c r="C45" s="12">
        <v>1</v>
      </c>
      <c r="D45" s="8">
        <v>1.67</v>
      </c>
      <c r="E45" s="12">
        <v>1</v>
      </c>
      <c r="F45" s="8">
        <v>2.44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365</v>
      </c>
      <c r="C48" s="10" t="s">
        <v>94</v>
      </c>
      <c r="D48" s="10" t="s">
        <v>95</v>
      </c>
      <c r="E48" s="10" t="s">
        <v>96</v>
      </c>
      <c r="F48" s="10" t="s">
        <v>97</v>
      </c>
      <c r="G48" s="10" t="s">
        <v>98</v>
      </c>
      <c r="H48" s="10" t="s">
        <v>99</v>
      </c>
      <c r="I48" s="10" t="s">
        <v>100</v>
      </c>
    </row>
    <row r="49" spans="2:9" ht="15" customHeight="1" x14ac:dyDescent="0.2">
      <c r="B49" t="s">
        <v>176</v>
      </c>
      <c r="C49" s="12">
        <v>7</v>
      </c>
      <c r="D49" s="8">
        <v>11.67</v>
      </c>
      <c r="E49" s="12">
        <v>6</v>
      </c>
      <c r="F49" s="8">
        <v>14.63</v>
      </c>
      <c r="G49" s="12">
        <v>1</v>
      </c>
      <c r="H49" s="8">
        <v>6.25</v>
      </c>
      <c r="I49" s="12">
        <v>0</v>
      </c>
    </row>
    <row r="50" spans="2:9" ht="15" customHeight="1" x14ac:dyDescent="0.2">
      <c r="B50" t="s">
        <v>174</v>
      </c>
      <c r="C50" s="12">
        <v>5</v>
      </c>
      <c r="D50" s="8">
        <v>8.33</v>
      </c>
      <c r="E50" s="12">
        <v>3</v>
      </c>
      <c r="F50" s="8">
        <v>7.32</v>
      </c>
      <c r="G50" s="12">
        <v>2</v>
      </c>
      <c r="H50" s="8">
        <v>12.5</v>
      </c>
      <c r="I50" s="12">
        <v>0</v>
      </c>
    </row>
    <row r="51" spans="2:9" ht="15" customHeight="1" x14ac:dyDescent="0.2">
      <c r="B51" t="s">
        <v>190</v>
      </c>
      <c r="C51" s="12">
        <v>4</v>
      </c>
      <c r="D51" s="8">
        <v>6.67</v>
      </c>
      <c r="E51" s="12">
        <v>4</v>
      </c>
      <c r="F51" s="8">
        <v>9.76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178</v>
      </c>
      <c r="C52" s="12">
        <v>3</v>
      </c>
      <c r="D52" s="8">
        <v>5</v>
      </c>
      <c r="E52" s="12">
        <v>3</v>
      </c>
      <c r="F52" s="8">
        <v>7.32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198</v>
      </c>
      <c r="C53" s="12">
        <v>3</v>
      </c>
      <c r="D53" s="8">
        <v>5</v>
      </c>
      <c r="E53" s="12">
        <v>3</v>
      </c>
      <c r="F53" s="8">
        <v>7.32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191</v>
      </c>
      <c r="C54" s="12">
        <v>3</v>
      </c>
      <c r="D54" s="8">
        <v>5</v>
      </c>
      <c r="E54" s="12">
        <v>2</v>
      </c>
      <c r="F54" s="8">
        <v>4.88</v>
      </c>
      <c r="G54" s="12">
        <v>1</v>
      </c>
      <c r="H54" s="8">
        <v>6.25</v>
      </c>
      <c r="I54" s="12">
        <v>0</v>
      </c>
    </row>
    <row r="55" spans="2:9" ht="15" customHeight="1" x14ac:dyDescent="0.2">
      <c r="B55" t="s">
        <v>334</v>
      </c>
      <c r="C55" s="12">
        <v>2</v>
      </c>
      <c r="D55" s="8">
        <v>3.33</v>
      </c>
      <c r="E55" s="12">
        <v>0</v>
      </c>
      <c r="F55" s="8">
        <v>0</v>
      </c>
      <c r="G55" s="12">
        <v>2</v>
      </c>
      <c r="H55" s="8">
        <v>12.5</v>
      </c>
      <c r="I55" s="12">
        <v>0</v>
      </c>
    </row>
    <row r="56" spans="2:9" ht="15" customHeight="1" x14ac:dyDescent="0.2">
      <c r="B56" t="s">
        <v>214</v>
      </c>
      <c r="C56" s="12">
        <v>2</v>
      </c>
      <c r="D56" s="8">
        <v>3.33</v>
      </c>
      <c r="E56" s="12">
        <v>2</v>
      </c>
      <c r="F56" s="8">
        <v>4.88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197</v>
      </c>
      <c r="C57" s="12">
        <v>2</v>
      </c>
      <c r="D57" s="8">
        <v>3.33</v>
      </c>
      <c r="E57" s="12">
        <v>2</v>
      </c>
      <c r="F57" s="8">
        <v>4.88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216</v>
      </c>
      <c r="C58" s="12">
        <v>2</v>
      </c>
      <c r="D58" s="8">
        <v>3.33</v>
      </c>
      <c r="E58" s="12">
        <v>2</v>
      </c>
      <c r="F58" s="8">
        <v>4.88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247</v>
      </c>
      <c r="C59" s="12">
        <v>2</v>
      </c>
      <c r="D59" s="8">
        <v>3.33</v>
      </c>
      <c r="E59" s="12">
        <v>1</v>
      </c>
      <c r="F59" s="8">
        <v>2.44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200</v>
      </c>
      <c r="C60" s="12">
        <v>2</v>
      </c>
      <c r="D60" s="8">
        <v>3.33</v>
      </c>
      <c r="E60" s="12">
        <v>1</v>
      </c>
      <c r="F60" s="8">
        <v>2.44</v>
      </c>
      <c r="G60" s="12">
        <v>1</v>
      </c>
      <c r="H60" s="8">
        <v>6.25</v>
      </c>
      <c r="I60" s="12">
        <v>0</v>
      </c>
    </row>
    <row r="61" spans="2:9" ht="15" customHeight="1" x14ac:dyDescent="0.2">
      <c r="B61" t="s">
        <v>333</v>
      </c>
      <c r="C61" s="12">
        <v>1</v>
      </c>
      <c r="D61" s="8">
        <v>1.67</v>
      </c>
      <c r="E61" s="12">
        <v>0</v>
      </c>
      <c r="F61" s="8">
        <v>0</v>
      </c>
      <c r="G61" s="12">
        <v>1</v>
      </c>
      <c r="H61" s="8">
        <v>6.25</v>
      </c>
      <c r="I61" s="12">
        <v>0</v>
      </c>
    </row>
    <row r="62" spans="2:9" ht="15" customHeight="1" x14ac:dyDescent="0.2">
      <c r="B62" t="s">
        <v>260</v>
      </c>
      <c r="C62" s="12">
        <v>1</v>
      </c>
      <c r="D62" s="8">
        <v>1.67</v>
      </c>
      <c r="E62" s="12">
        <v>1</v>
      </c>
      <c r="F62" s="8">
        <v>2.44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175</v>
      </c>
      <c r="C63" s="12">
        <v>1</v>
      </c>
      <c r="D63" s="8">
        <v>1.67</v>
      </c>
      <c r="E63" s="12">
        <v>0</v>
      </c>
      <c r="F63" s="8">
        <v>0</v>
      </c>
      <c r="G63" s="12">
        <v>1</v>
      </c>
      <c r="H63" s="8">
        <v>6.25</v>
      </c>
      <c r="I63" s="12">
        <v>0</v>
      </c>
    </row>
    <row r="64" spans="2:9" ht="15" customHeight="1" x14ac:dyDescent="0.2">
      <c r="B64" t="s">
        <v>210</v>
      </c>
      <c r="C64" s="12">
        <v>1</v>
      </c>
      <c r="D64" s="8">
        <v>1.67</v>
      </c>
      <c r="E64" s="12">
        <v>1</v>
      </c>
      <c r="F64" s="8">
        <v>2.44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261</v>
      </c>
      <c r="C65" s="12">
        <v>1</v>
      </c>
      <c r="D65" s="8">
        <v>1.67</v>
      </c>
      <c r="E65" s="12">
        <v>1</v>
      </c>
      <c r="F65" s="8">
        <v>2.44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177</v>
      </c>
      <c r="C66" s="12">
        <v>1</v>
      </c>
      <c r="D66" s="8">
        <v>1.67</v>
      </c>
      <c r="E66" s="12">
        <v>0</v>
      </c>
      <c r="F66" s="8">
        <v>0</v>
      </c>
      <c r="G66" s="12">
        <v>1</v>
      </c>
      <c r="H66" s="8">
        <v>6.25</v>
      </c>
      <c r="I66" s="12">
        <v>0</v>
      </c>
    </row>
    <row r="67" spans="2:9" ht="15" customHeight="1" x14ac:dyDescent="0.2">
      <c r="B67" t="s">
        <v>262</v>
      </c>
      <c r="C67" s="12">
        <v>1</v>
      </c>
      <c r="D67" s="8">
        <v>1.67</v>
      </c>
      <c r="E67" s="12">
        <v>0</v>
      </c>
      <c r="F67" s="8">
        <v>0</v>
      </c>
      <c r="G67" s="12">
        <v>1</v>
      </c>
      <c r="H67" s="8">
        <v>6.25</v>
      </c>
      <c r="I67" s="12">
        <v>0</v>
      </c>
    </row>
    <row r="68" spans="2:9" ht="15" customHeight="1" x14ac:dyDescent="0.2">
      <c r="B68" t="s">
        <v>294</v>
      </c>
      <c r="C68" s="12">
        <v>1</v>
      </c>
      <c r="D68" s="8">
        <v>1.67</v>
      </c>
      <c r="E68" s="12">
        <v>1</v>
      </c>
      <c r="F68" s="8">
        <v>2.44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285</v>
      </c>
      <c r="C69" s="12">
        <v>1</v>
      </c>
      <c r="D69" s="8">
        <v>1.67</v>
      </c>
      <c r="E69" s="12">
        <v>1</v>
      </c>
      <c r="F69" s="8">
        <v>2.44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274</v>
      </c>
      <c r="C70" s="12">
        <v>1</v>
      </c>
      <c r="D70" s="8">
        <v>1.67</v>
      </c>
      <c r="E70" s="12">
        <v>0</v>
      </c>
      <c r="F70" s="8">
        <v>0</v>
      </c>
      <c r="G70" s="12">
        <v>1</v>
      </c>
      <c r="H70" s="8">
        <v>6.25</v>
      </c>
      <c r="I70" s="12">
        <v>0</v>
      </c>
    </row>
    <row r="71" spans="2:9" ht="15" customHeight="1" x14ac:dyDescent="0.2">
      <c r="B71" t="s">
        <v>335</v>
      </c>
      <c r="C71" s="12">
        <v>1</v>
      </c>
      <c r="D71" s="8">
        <v>1.67</v>
      </c>
      <c r="E71" s="12">
        <v>0</v>
      </c>
      <c r="F71" s="8">
        <v>0</v>
      </c>
      <c r="G71" s="12">
        <v>1</v>
      </c>
      <c r="H71" s="8">
        <v>6.25</v>
      </c>
      <c r="I71" s="12">
        <v>0</v>
      </c>
    </row>
    <row r="72" spans="2:9" ht="15" customHeight="1" x14ac:dyDescent="0.2">
      <c r="B72" t="s">
        <v>336</v>
      </c>
      <c r="C72" s="12">
        <v>1</v>
      </c>
      <c r="D72" s="8">
        <v>1.67</v>
      </c>
      <c r="E72" s="12">
        <v>1</v>
      </c>
      <c r="F72" s="8">
        <v>2.44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300</v>
      </c>
      <c r="C73" s="12">
        <v>1</v>
      </c>
      <c r="D73" s="8">
        <v>1.67</v>
      </c>
      <c r="E73" s="12">
        <v>1</v>
      </c>
      <c r="F73" s="8">
        <v>2.44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240</v>
      </c>
      <c r="C74" s="12">
        <v>1</v>
      </c>
      <c r="D74" s="8">
        <v>1.67</v>
      </c>
      <c r="E74" s="12">
        <v>1</v>
      </c>
      <c r="F74" s="8">
        <v>2.44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337</v>
      </c>
      <c r="C75" s="12">
        <v>1</v>
      </c>
      <c r="D75" s="8">
        <v>1.67</v>
      </c>
      <c r="E75" s="12">
        <v>0</v>
      </c>
      <c r="F75" s="8">
        <v>0</v>
      </c>
      <c r="G75" s="12">
        <v>1</v>
      </c>
      <c r="H75" s="8">
        <v>6.25</v>
      </c>
      <c r="I75" s="12">
        <v>0</v>
      </c>
    </row>
    <row r="76" spans="2:9" ht="15" customHeight="1" x14ac:dyDescent="0.2">
      <c r="B76" t="s">
        <v>227</v>
      </c>
      <c r="C76" s="12">
        <v>1</v>
      </c>
      <c r="D76" s="8">
        <v>1.67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180</v>
      </c>
      <c r="C77" s="12">
        <v>1</v>
      </c>
      <c r="D77" s="8">
        <v>1.67</v>
      </c>
      <c r="E77" s="12">
        <v>0</v>
      </c>
      <c r="F77" s="8">
        <v>0</v>
      </c>
      <c r="G77" s="12">
        <v>1</v>
      </c>
      <c r="H77" s="8">
        <v>6.25</v>
      </c>
      <c r="I77" s="12">
        <v>0</v>
      </c>
    </row>
    <row r="78" spans="2:9" ht="15" customHeight="1" x14ac:dyDescent="0.2">
      <c r="B78" t="s">
        <v>222</v>
      </c>
      <c r="C78" s="12">
        <v>1</v>
      </c>
      <c r="D78" s="8">
        <v>1.67</v>
      </c>
      <c r="E78" s="12">
        <v>1</v>
      </c>
      <c r="F78" s="8">
        <v>2.44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194</v>
      </c>
      <c r="C79" s="12">
        <v>1</v>
      </c>
      <c r="D79" s="8">
        <v>1.67</v>
      </c>
      <c r="E79" s="12">
        <v>1</v>
      </c>
      <c r="F79" s="8">
        <v>2.44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282</v>
      </c>
      <c r="C80" s="12">
        <v>1</v>
      </c>
      <c r="D80" s="8">
        <v>1.67</v>
      </c>
      <c r="E80" s="12">
        <v>0</v>
      </c>
      <c r="F80" s="8">
        <v>0</v>
      </c>
      <c r="G80" s="12">
        <v>1</v>
      </c>
      <c r="H80" s="8">
        <v>6.25</v>
      </c>
      <c r="I80" s="12">
        <v>0</v>
      </c>
    </row>
    <row r="81" spans="2:9" ht="15" customHeight="1" x14ac:dyDescent="0.2">
      <c r="B81" t="s">
        <v>185</v>
      </c>
      <c r="C81" s="12">
        <v>1</v>
      </c>
      <c r="D81" s="8">
        <v>1.67</v>
      </c>
      <c r="E81" s="12">
        <v>1</v>
      </c>
      <c r="F81" s="8">
        <v>2.44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207</v>
      </c>
      <c r="C82" s="12">
        <v>1</v>
      </c>
      <c r="D82" s="8">
        <v>1.67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278</v>
      </c>
      <c r="C83" s="12">
        <v>1</v>
      </c>
      <c r="D83" s="8">
        <v>1.67</v>
      </c>
      <c r="E83" s="12">
        <v>1</v>
      </c>
      <c r="F83" s="8">
        <v>2.44</v>
      </c>
      <c r="G83" s="12">
        <v>0</v>
      </c>
      <c r="H83" s="8">
        <v>0</v>
      </c>
      <c r="I83" s="12">
        <v>0</v>
      </c>
    </row>
    <row r="85" spans="2:9" ht="15" customHeight="1" x14ac:dyDescent="0.2">
      <c r="B85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E0905-91EB-48BC-B22D-73FA9D037C31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427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61</v>
      </c>
      <c r="D6" s="8">
        <v>29.76</v>
      </c>
      <c r="E6" s="12">
        <v>30</v>
      </c>
      <c r="F6" s="8">
        <v>27.03</v>
      </c>
      <c r="G6" s="12">
        <v>31</v>
      </c>
      <c r="H6" s="8">
        <v>34.07</v>
      </c>
      <c r="I6" s="12">
        <v>0</v>
      </c>
    </row>
    <row r="7" spans="2:9" ht="15" customHeight="1" x14ac:dyDescent="0.2">
      <c r="B7" t="s">
        <v>80</v>
      </c>
      <c r="C7" s="12">
        <v>23</v>
      </c>
      <c r="D7" s="8">
        <v>11.22</v>
      </c>
      <c r="E7" s="12">
        <v>12</v>
      </c>
      <c r="F7" s="8">
        <v>10.81</v>
      </c>
      <c r="G7" s="12">
        <v>11</v>
      </c>
      <c r="H7" s="8">
        <v>12.09</v>
      </c>
      <c r="I7" s="12">
        <v>0</v>
      </c>
    </row>
    <row r="8" spans="2:9" ht="15" customHeight="1" x14ac:dyDescent="0.2">
      <c r="B8" t="s">
        <v>81</v>
      </c>
      <c r="C8" s="12">
        <v>4</v>
      </c>
      <c r="D8" s="8">
        <v>1.95</v>
      </c>
      <c r="E8" s="12">
        <v>0</v>
      </c>
      <c r="F8" s="8">
        <v>0</v>
      </c>
      <c r="G8" s="12">
        <v>3</v>
      </c>
      <c r="H8" s="8">
        <v>3.3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4</v>
      </c>
      <c r="D10" s="8">
        <v>1.95</v>
      </c>
      <c r="E10" s="12">
        <v>1</v>
      </c>
      <c r="F10" s="8">
        <v>0.9</v>
      </c>
      <c r="G10" s="12">
        <v>3</v>
      </c>
      <c r="H10" s="8">
        <v>3.3</v>
      </c>
      <c r="I10" s="12">
        <v>0</v>
      </c>
    </row>
    <row r="11" spans="2:9" ht="15" customHeight="1" x14ac:dyDescent="0.2">
      <c r="B11" t="s">
        <v>84</v>
      </c>
      <c r="C11" s="12">
        <v>29</v>
      </c>
      <c r="D11" s="8">
        <v>14.15</v>
      </c>
      <c r="E11" s="12">
        <v>11</v>
      </c>
      <c r="F11" s="8">
        <v>9.91</v>
      </c>
      <c r="G11" s="12">
        <v>18</v>
      </c>
      <c r="H11" s="8">
        <v>19.78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4</v>
      </c>
      <c r="D13" s="8">
        <v>1.95</v>
      </c>
      <c r="E13" s="12">
        <v>1</v>
      </c>
      <c r="F13" s="8">
        <v>0.9</v>
      </c>
      <c r="G13" s="12">
        <v>3</v>
      </c>
      <c r="H13" s="8">
        <v>3.3</v>
      </c>
      <c r="I13" s="12">
        <v>0</v>
      </c>
    </row>
    <row r="14" spans="2:9" ht="15" customHeight="1" x14ac:dyDescent="0.2">
      <c r="B14" t="s">
        <v>87</v>
      </c>
      <c r="C14" s="12">
        <v>5</v>
      </c>
      <c r="D14" s="8">
        <v>2.44</v>
      </c>
      <c r="E14" s="12">
        <v>3</v>
      </c>
      <c r="F14" s="8">
        <v>2.7</v>
      </c>
      <c r="G14" s="12">
        <v>2</v>
      </c>
      <c r="H14" s="8">
        <v>2.2000000000000002</v>
      </c>
      <c r="I14" s="12">
        <v>0</v>
      </c>
    </row>
    <row r="15" spans="2:9" ht="15" customHeight="1" x14ac:dyDescent="0.2">
      <c r="B15" t="s">
        <v>88</v>
      </c>
      <c r="C15" s="12">
        <v>21</v>
      </c>
      <c r="D15" s="8">
        <v>10.24</v>
      </c>
      <c r="E15" s="12">
        <v>18</v>
      </c>
      <c r="F15" s="8">
        <v>16.22</v>
      </c>
      <c r="G15" s="12">
        <v>3</v>
      </c>
      <c r="H15" s="8">
        <v>3.3</v>
      </c>
      <c r="I15" s="12">
        <v>0</v>
      </c>
    </row>
    <row r="16" spans="2:9" ht="15" customHeight="1" x14ac:dyDescent="0.2">
      <c r="B16" t="s">
        <v>89</v>
      </c>
      <c r="C16" s="12">
        <v>24</v>
      </c>
      <c r="D16" s="8">
        <v>11.71</v>
      </c>
      <c r="E16" s="12">
        <v>16</v>
      </c>
      <c r="F16" s="8">
        <v>14.41</v>
      </c>
      <c r="G16" s="12">
        <v>8</v>
      </c>
      <c r="H16" s="8">
        <v>8.7899999999999991</v>
      </c>
      <c r="I16" s="12">
        <v>0</v>
      </c>
    </row>
    <row r="17" spans="2:9" ht="15" customHeight="1" x14ac:dyDescent="0.2">
      <c r="B17" t="s">
        <v>90</v>
      </c>
      <c r="C17" s="12">
        <v>6</v>
      </c>
      <c r="D17" s="8">
        <v>2.93</v>
      </c>
      <c r="E17" s="12">
        <v>3</v>
      </c>
      <c r="F17" s="8">
        <v>2.7</v>
      </c>
      <c r="G17" s="12">
        <v>2</v>
      </c>
      <c r="H17" s="8">
        <v>2.2000000000000002</v>
      </c>
      <c r="I17" s="12">
        <v>0</v>
      </c>
    </row>
    <row r="18" spans="2:9" ht="15" customHeight="1" x14ac:dyDescent="0.2">
      <c r="B18" t="s">
        <v>91</v>
      </c>
      <c r="C18" s="12">
        <v>10</v>
      </c>
      <c r="D18" s="8">
        <v>4.88</v>
      </c>
      <c r="E18" s="12">
        <v>7</v>
      </c>
      <c r="F18" s="8">
        <v>6.31</v>
      </c>
      <c r="G18" s="12">
        <v>2</v>
      </c>
      <c r="H18" s="8">
        <v>2.2000000000000002</v>
      </c>
      <c r="I18" s="12">
        <v>0</v>
      </c>
    </row>
    <row r="19" spans="2:9" ht="15" customHeight="1" x14ac:dyDescent="0.2">
      <c r="B19" t="s">
        <v>92</v>
      </c>
      <c r="C19" s="12">
        <v>14</v>
      </c>
      <c r="D19" s="8">
        <v>6.83</v>
      </c>
      <c r="E19" s="12">
        <v>9</v>
      </c>
      <c r="F19" s="8">
        <v>8.11</v>
      </c>
      <c r="G19" s="12">
        <v>5</v>
      </c>
      <c r="H19" s="8">
        <v>5.49</v>
      </c>
      <c r="I19" s="12">
        <v>0</v>
      </c>
    </row>
    <row r="20" spans="2:9" ht="15" customHeight="1" x14ac:dyDescent="0.2">
      <c r="B20" s="9" t="s">
        <v>363</v>
      </c>
      <c r="C20" s="12">
        <f>SUM(LTBL_20450[総数／事業所数])</f>
        <v>205</v>
      </c>
      <c r="E20" s="12">
        <f>SUBTOTAL(109,LTBL_20450[個人／事業所数])</f>
        <v>111</v>
      </c>
      <c r="G20" s="12">
        <f>SUBTOTAL(109,LTBL_20450[法人／事業所数])</f>
        <v>91</v>
      </c>
      <c r="I20" s="12">
        <f>SUBTOTAL(109,LTBL_20450[法人以外の団体／事業所数])</f>
        <v>0</v>
      </c>
    </row>
    <row r="21" spans="2:9" ht="15" customHeight="1" x14ac:dyDescent="0.2">
      <c r="E21" s="11">
        <f>LTBL_20450[[#Totals],[個人／事業所数]]/LTBL_20450[[#Totals],[総数／事業所数]]</f>
        <v>0.54146341463414638</v>
      </c>
      <c r="G21" s="11">
        <f>LTBL_20450[[#Totals],[法人／事業所数]]/LTBL_20450[[#Totals],[総数／事業所数]]</f>
        <v>0.44390243902439025</v>
      </c>
      <c r="I21" s="11">
        <f>LTBL_20450[[#Totals],[法人以外の団体／事業所数]]/LTBL_20450[[#Totals],[総数／事業所数]]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101</v>
      </c>
      <c r="C24" s="12">
        <v>23</v>
      </c>
      <c r="D24" s="8">
        <v>11.22</v>
      </c>
      <c r="E24" s="12">
        <v>7</v>
      </c>
      <c r="F24" s="8">
        <v>6.31</v>
      </c>
      <c r="G24" s="12">
        <v>16</v>
      </c>
      <c r="H24" s="8">
        <v>17.579999999999998</v>
      </c>
      <c r="I24" s="12">
        <v>0</v>
      </c>
    </row>
    <row r="25" spans="2:9" ht="15" customHeight="1" x14ac:dyDescent="0.2">
      <c r="B25" t="s">
        <v>102</v>
      </c>
      <c r="C25" s="12">
        <v>23</v>
      </c>
      <c r="D25" s="8">
        <v>11.22</v>
      </c>
      <c r="E25" s="12">
        <v>15</v>
      </c>
      <c r="F25" s="8">
        <v>13.51</v>
      </c>
      <c r="G25" s="12">
        <v>8</v>
      </c>
      <c r="H25" s="8">
        <v>8.7899999999999991</v>
      </c>
      <c r="I25" s="12">
        <v>0</v>
      </c>
    </row>
    <row r="26" spans="2:9" ht="15" customHeight="1" x14ac:dyDescent="0.2">
      <c r="B26" t="s">
        <v>115</v>
      </c>
      <c r="C26" s="12">
        <v>20</v>
      </c>
      <c r="D26" s="8">
        <v>9.76</v>
      </c>
      <c r="E26" s="12">
        <v>17</v>
      </c>
      <c r="F26" s="8">
        <v>15.32</v>
      </c>
      <c r="G26" s="12">
        <v>3</v>
      </c>
      <c r="H26" s="8">
        <v>3.3</v>
      </c>
      <c r="I26" s="12">
        <v>0</v>
      </c>
    </row>
    <row r="27" spans="2:9" ht="15" customHeight="1" x14ac:dyDescent="0.2">
      <c r="B27" t="s">
        <v>116</v>
      </c>
      <c r="C27" s="12">
        <v>20</v>
      </c>
      <c r="D27" s="8">
        <v>9.76</v>
      </c>
      <c r="E27" s="12">
        <v>14</v>
      </c>
      <c r="F27" s="8">
        <v>12.61</v>
      </c>
      <c r="G27" s="12">
        <v>6</v>
      </c>
      <c r="H27" s="8">
        <v>6.59</v>
      </c>
      <c r="I27" s="12">
        <v>0</v>
      </c>
    </row>
    <row r="28" spans="2:9" ht="15" customHeight="1" x14ac:dyDescent="0.2">
      <c r="B28" t="s">
        <v>103</v>
      </c>
      <c r="C28" s="12">
        <v>15</v>
      </c>
      <c r="D28" s="8">
        <v>7.32</v>
      </c>
      <c r="E28" s="12">
        <v>8</v>
      </c>
      <c r="F28" s="8">
        <v>7.21</v>
      </c>
      <c r="G28" s="12">
        <v>7</v>
      </c>
      <c r="H28" s="8">
        <v>7.69</v>
      </c>
      <c r="I28" s="12">
        <v>0</v>
      </c>
    </row>
    <row r="29" spans="2:9" ht="15" customHeight="1" x14ac:dyDescent="0.2">
      <c r="B29" t="s">
        <v>120</v>
      </c>
      <c r="C29" s="12">
        <v>9</v>
      </c>
      <c r="D29" s="8">
        <v>4.3899999999999997</v>
      </c>
      <c r="E29" s="12">
        <v>6</v>
      </c>
      <c r="F29" s="8">
        <v>5.41</v>
      </c>
      <c r="G29" s="12">
        <v>3</v>
      </c>
      <c r="H29" s="8">
        <v>3.3</v>
      </c>
      <c r="I29" s="12">
        <v>0</v>
      </c>
    </row>
    <row r="30" spans="2:9" ht="15" customHeight="1" x14ac:dyDescent="0.2">
      <c r="B30" t="s">
        <v>107</v>
      </c>
      <c r="C30" s="12">
        <v>8</v>
      </c>
      <c r="D30" s="8">
        <v>3.9</v>
      </c>
      <c r="E30" s="12">
        <v>2</v>
      </c>
      <c r="F30" s="8">
        <v>1.8</v>
      </c>
      <c r="G30" s="12">
        <v>6</v>
      </c>
      <c r="H30" s="8">
        <v>6.59</v>
      </c>
      <c r="I30" s="12">
        <v>0</v>
      </c>
    </row>
    <row r="31" spans="2:9" ht="15" customHeight="1" x14ac:dyDescent="0.2">
      <c r="B31" t="s">
        <v>108</v>
      </c>
      <c r="C31" s="12">
        <v>7</v>
      </c>
      <c r="D31" s="8">
        <v>3.41</v>
      </c>
      <c r="E31" s="12">
        <v>5</v>
      </c>
      <c r="F31" s="8">
        <v>4.5</v>
      </c>
      <c r="G31" s="12">
        <v>2</v>
      </c>
      <c r="H31" s="8">
        <v>2.2000000000000002</v>
      </c>
      <c r="I31" s="12">
        <v>0</v>
      </c>
    </row>
    <row r="32" spans="2:9" ht="15" customHeight="1" x14ac:dyDescent="0.2">
      <c r="B32" t="s">
        <v>118</v>
      </c>
      <c r="C32" s="12">
        <v>7</v>
      </c>
      <c r="D32" s="8">
        <v>3.41</v>
      </c>
      <c r="E32" s="12">
        <v>7</v>
      </c>
      <c r="F32" s="8">
        <v>6.31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104</v>
      </c>
      <c r="C33" s="12">
        <v>6</v>
      </c>
      <c r="D33" s="8">
        <v>2.93</v>
      </c>
      <c r="E33" s="12">
        <v>3</v>
      </c>
      <c r="F33" s="8">
        <v>2.7</v>
      </c>
      <c r="G33" s="12">
        <v>3</v>
      </c>
      <c r="H33" s="8">
        <v>3.3</v>
      </c>
      <c r="I33" s="12">
        <v>0</v>
      </c>
    </row>
    <row r="34" spans="2:9" ht="15" customHeight="1" x14ac:dyDescent="0.2">
      <c r="B34" t="s">
        <v>117</v>
      </c>
      <c r="C34" s="12">
        <v>6</v>
      </c>
      <c r="D34" s="8">
        <v>2.93</v>
      </c>
      <c r="E34" s="12">
        <v>3</v>
      </c>
      <c r="F34" s="8">
        <v>2.7</v>
      </c>
      <c r="G34" s="12">
        <v>2</v>
      </c>
      <c r="H34" s="8">
        <v>2.2000000000000002</v>
      </c>
      <c r="I34" s="12">
        <v>0</v>
      </c>
    </row>
    <row r="35" spans="2:9" ht="15" customHeight="1" x14ac:dyDescent="0.2">
      <c r="B35" t="s">
        <v>110</v>
      </c>
      <c r="C35" s="12">
        <v>5</v>
      </c>
      <c r="D35" s="8">
        <v>2.44</v>
      </c>
      <c r="E35" s="12">
        <v>3</v>
      </c>
      <c r="F35" s="8">
        <v>2.7</v>
      </c>
      <c r="G35" s="12">
        <v>2</v>
      </c>
      <c r="H35" s="8">
        <v>2.2000000000000002</v>
      </c>
      <c r="I35" s="12">
        <v>0</v>
      </c>
    </row>
    <row r="36" spans="2:9" ht="15" customHeight="1" x14ac:dyDescent="0.2">
      <c r="B36" t="s">
        <v>130</v>
      </c>
      <c r="C36" s="12">
        <v>4</v>
      </c>
      <c r="D36" s="8">
        <v>1.95</v>
      </c>
      <c r="E36" s="12">
        <v>3</v>
      </c>
      <c r="F36" s="8">
        <v>2.7</v>
      </c>
      <c r="G36" s="12">
        <v>1</v>
      </c>
      <c r="H36" s="8">
        <v>1.1000000000000001</v>
      </c>
      <c r="I36" s="12">
        <v>0</v>
      </c>
    </row>
    <row r="37" spans="2:9" ht="15" customHeight="1" x14ac:dyDescent="0.2">
      <c r="B37" t="s">
        <v>145</v>
      </c>
      <c r="C37" s="12">
        <v>4</v>
      </c>
      <c r="D37" s="8">
        <v>1.95</v>
      </c>
      <c r="E37" s="12">
        <v>1</v>
      </c>
      <c r="F37" s="8">
        <v>0.9</v>
      </c>
      <c r="G37" s="12">
        <v>3</v>
      </c>
      <c r="H37" s="8">
        <v>3.3</v>
      </c>
      <c r="I37" s="12">
        <v>0</v>
      </c>
    </row>
    <row r="38" spans="2:9" ht="15" customHeight="1" x14ac:dyDescent="0.2">
      <c r="B38" t="s">
        <v>109</v>
      </c>
      <c r="C38" s="12">
        <v>4</v>
      </c>
      <c r="D38" s="8">
        <v>1.95</v>
      </c>
      <c r="E38" s="12">
        <v>1</v>
      </c>
      <c r="F38" s="8">
        <v>0.9</v>
      </c>
      <c r="G38" s="12">
        <v>3</v>
      </c>
      <c r="H38" s="8">
        <v>3.3</v>
      </c>
      <c r="I38" s="12">
        <v>0</v>
      </c>
    </row>
    <row r="39" spans="2:9" ht="15" customHeight="1" x14ac:dyDescent="0.2">
      <c r="B39" t="s">
        <v>143</v>
      </c>
      <c r="C39" s="12">
        <v>3</v>
      </c>
      <c r="D39" s="8">
        <v>1.46</v>
      </c>
      <c r="E39" s="12">
        <v>1</v>
      </c>
      <c r="F39" s="8">
        <v>0.9</v>
      </c>
      <c r="G39" s="12">
        <v>2</v>
      </c>
      <c r="H39" s="8">
        <v>2.2000000000000002</v>
      </c>
      <c r="I39" s="12">
        <v>0</v>
      </c>
    </row>
    <row r="40" spans="2:9" ht="15" customHeight="1" x14ac:dyDescent="0.2">
      <c r="B40" t="s">
        <v>135</v>
      </c>
      <c r="C40" s="12">
        <v>3</v>
      </c>
      <c r="D40" s="8">
        <v>1.46</v>
      </c>
      <c r="E40" s="12">
        <v>2</v>
      </c>
      <c r="F40" s="8">
        <v>1.8</v>
      </c>
      <c r="G40" s="12">
        <v>1</v>
      </c>
      <c r="H40" s="8">
        <v>1.1000000000000001</v>
      </c>
      <c r="I40" s="12">
        <v>0</v>
      </c>
    </row>
    <row r="41" spans="2:9" ht="15" customHeight="1" x14ac:dyDescent="0.2">
      <c r="B41" t="s">
        <v>111</v>
      </c>
      <c r="C41" s="12">
        <v>3</v>
      </c>
      <c r="D41" s="8">
        <v>1.46</v>
      </c>
      <c r="E41" s="12">
        <v>0</v>
      </c>
      <c r="F41" s="8">
        <v>0</v>
      </c>
      <c r="G41" s="12">
        <v>3</v>
      </c>
      <c r="H41" s="8">
        <v>3.3</v>
      </c>
      <c r="I41" s="12">
        <v>0</v>
      </c>
    </row>
    <row r="42" spans="2:9" ht="15" customHeight="1" x14ac:dyDescent="0.2">
      <c r="B42" t="s">
        <v>113</v>
      </c>
      <c r="C42" s="12">
        <v>3</v>
      </c>
      <c r="D42" s="8">
        <v>1.46</v>
      </c>
      <c r="E42" s="12">
        <v>2</v>
      </c>
      <c r="F42" s="8">
        <v>1.8</v>
      </c>
      <c r="G42" s="12">
        <v>1</v>
      </c>
      <c r="H42" s="8">
        <v>1.1000000000000001</v>
      </c>
      <c r="I42" s="12">
        <v>0</v>
      </c>
    </row>
    <row r="43" spans="2:9" ht="15" customHeight="1" x14ac:dyDescent="0.2">
      <c r="B43" t="s">
        <v>131</v>
      </c>
      <c r="C43" s="12">
        <v>3</v>
      </c>
      <c r="D43" s="8">
        <v>1.46</v>
      </c>
      <c r="E43" s="12">
        <v>2</v>
      </c>
      <c r="F43" s="8">
        <v>1.8</v>
      </c>
      <c r="G43" s="12">
        <v>1</v>
      </c>
      <c r="H43" s="8">
        <v>1.1000000000000001</v>
      </c>
      <c r="I43" s="12">
        <v>0</v>
      </c>
    </row>
    <row r="44" spans="2:9" ht="15" customHeight="1" x14ac:dyDescent="0.2">
      <c r="B44" t="s">
        <v>119</v>
      </c>
      <c r="C44" s="12">
        <v>3</v>
      </c>
      <c r="D44" s="8">
        <v>1.46</v>
      </c>
      <c r="E44" s="12">
        <v>0</v>
      </c>
      <c r="F44" s="8">
        <v>0</v>
      </c>
      <c r="G44" s="12">
        <v>2</v>
      </c>
      <c r="H44" s="8">
        <v>2.2000000000000002</v>
      </c>
      <c r="I44" s="12">
        <v>0</v>
      </c>
    </row>
    <row r="45" spans="2:9" ht="15" customHeight="1" x14ac:dyDescent="0.2">
      <c r="B45" t="s">
        <v>147</v>
      </c>
      <c r="C45" s="12">
        <v>3</v>
      </c>
      <c r="D45" s="8">
        <v>1.46</v>
      </c>
      <c r="E45" s="12">
        <v>2</v>
      </c>
      <c r="F45" s="8">
        <v>1.8</v>
      </c>
      <c r="G45" s="12">
        <v>1</v>
      </c>
      <c r="H45" s="8">
        <v>1.1000000000000001</v>
      </c>
      <c r="I45" s="12">
        <v>0</v>
      </c>
    </row>
    <row r="48" spans="2:9" ht="33" customHeight="1" x14ac:dyDescent="0.2">
      <c r="B48" t="s">
        <v>365</v>
      </c>
      <c r="C48" s="10" t="s">
        <v>94</v>
      </c>
      <c r="D48" s="10" t="s">
        <v>95</v>
      </c>
      <c r="E48" s="10" t="s">
        <v>96</v>
      </c>
      <c r="F48" s="10" t="s">
        <v>97</v>
      </c>
      <c r="G48" s="10" t="s">
        <v>98</v>
      </c>
      <c r="H48" s="10" t="s">
        <v>99</v>
      </c>
      <c r="I48" s="10" t="s">
        <v>100</v>
      </c>
    </row>
    <row r="49" spans="2:9" ht="15" customHeight="1" x14ac:dyDescent="0.2">
      <c r="B49" t="s">
        <v>176</v>
      </c>
      <c r="C49" s="12">
        <v>9</v>
      </c>
      <c r="D49" s="8">
        <v>4.3899999999999997</v>
      </c>
      <c r="E49" s="12">
        <v>5</v>
      </c>
      <c r="F49" s="8">
        <v>4.5</v>
      </c>
      <c r="G49" s="12">
        <v>4</v>
      </c>
      <c r="H49" s="8">
        <v>4.4000000000000004</v>
      </c>
      <c r="I49" s="12">
        <v>0</v>
      </c>
    </row>
    <row r="50" spans="2:9" ht="15" customHeight="1" x14ac:dyDescent="0.2">
      <c r="B50" t="s">
        <v>261</v>
      </c>
      <c r="C50" s="12">
        <v>9</v>
      </c>
      <c r="D50" s="8">
        <v>4.3899999999999997</v>
      </c>
      <c r="E50" s="12">
        <v>6</v>
      </c>
      <c r="F50" s="8">
        <v>5.41</v>
      </c>
      <c r="G50" s="12">
        <v>3</v>
      </c>
      <c r="H50" s="8">
        <v>3.3</v>
      </c>
      <c r="I50" s="12">
        <v>0</v>
      </c>
    </row>
    <row r="51" spans="2:9" ht="15" customHeight="1" x14ac:dyDescent="0.2">
      <c r="B51" t="s">
        <v>200</v>
      </c>
      <c r="C51" s="12">
        <v>9</v>
      </c>
      <c r="D51" s="8">
        <v>4.3899999999999997</v>
      </c>
      <c r="E51" s="12">
        <v>6</v>
      </c>
      <c r="F51" s="8">
        <v>5.41</v>
      </c>
      <c r="G51" s="12">
        <v>3</v>
      </c>
      <c r="H51" s="8">
        <v>3.3</v>
      </c>
      <c r="I51" s="12">
        <v>0</v>
      </c>
    </row>
    <row r="52" spans="2:9" ht="15" customHeight="1" x14ac:dyDescent="0.2">
      <c r="B52" t="s">
        <v>178</v>
      </c>
      <c r="C52" s="12">
        <v>8</v>
      </c>
      <c r="D52" s="8">
        <v>3.9</v>
      </c>
      <c r="E52" s="12">
        <v>5</v>
      </c>
      <c r="F52" s="8">
        <v>4.5</v>
      </c>
      <c r="G52" s="12">
        <v>3</v>
      </c>
      <c r="H52" s="8">
        <v>3.3</v>
      </c>
      <c r="I52" s="12">
        <v>0</v>
      </c>
    </row>
    <row r="53" spans="2:9" ht="15" customHeight="1" x14ac:dyDescent="0.2">
      <c r="B53" t="s">
        <v>191</v>
      </c>
      <c r="C53" s="12">
        <v>8</v>
      </c>
      <c r="D53" s="8">
        <v>3.9</v>
      </c>
      <c r="E53" s="12">
        <v>6</v>
      </c>
      <c r="F53" s="8">
        <v>5.41</v>
      </c>
      <c r="G53" s="12">
        <v>2</v>
      </c>
      <c r="H53" s="8">
        <v>2.2000000000000002</v>
      </c>
      <c r="I53" s="12">
        <v>0</v>
      </c>
    </row>
    <row r="54" spans="2:9" ht="15" customHeight="1" x14ac:dyDescent="0.2">
      <c r="B54" t="s">
        <v>220</v>
      </c>
      <c r="C54" s="12">
        <v>7</v>
      </c>
      <c r="D54" s="8">
        <v>3.41</v>
      </c>
      <c r="E54" s="12">
        <v>6</v>
      </c>
      <c r="F54" s="8">
        <v>5.41</v>
      </c>
      <c r="G54" s="12">
        <v>1</v>
      </c>
      <c r="H54" s="8">
        <v>1.1000000000000001</v>
      </c>
      <c r="I54" s="12">
        <v>0</v>
      </c>
    </row>
    <row r="55" spans="2:9" ht="15" customHeight="1" x14ac:dyDescent="0.2">
      <c r="B55" t="s">
        <v>175</v>
      </c>
      <c r="C55" s="12">
        <v>6</v>
      </c>
      <c r="D55" s="8">
        <v>2.93</v>
      </c>
      <c r="E55" s="12">
        <v>1</v>
      </c>
      <c r="F55" s="8">
        <v>0.9</v>
      </c>
      <c r="G55" s="12">
        <v>5</v>
      </c>
      <c r="H55" s="8">
        <v>5.49</v>
      </c>
      <c r="I55" s="12">
        <v>0</v>
      </c>
    </row>
    <row r="56" spans="2:9" ht="15" customHeight="1" x14ac:dyDescent="0.2">
      <c r="B56" t="s">
        <v>201</v>
      </c>
      <c r="C56" s="12">
        <v>5</v>
      </c>
      <c r="D56" s="8">
        <v>2.44</v>
      </c>
      <c r="E56" s="12">
        <v>2</v>
      </c>
      <c r="F56" s="8">
        <v>1.8</v>
      </c>
      <c r="G56" s="12">
        <v>3</v>
      </c>
      <c r="H56" s="8">
        <v>3.3</v>
      </c>
      <c r="I56" s="12">
        <v>0</v>
      </c>
    </row>
    <row r="57" spans="2:9" ht="15" customHeight="1" x14ac:dyDescent="0.2">
      <c r="B57" t="s">
        <v>177</v>
      </c>
      <c r="C57" s="12">
        <v>5</v>
      </c>
      <c r="D57" s="8">
        <v>2.44</v>
      </c>
      <c r="E57" s="12">
        <v>3</v>
      </c>
      <c r="F57" s="8">
        <v>2.7</v>
      </c>
      <c r="G57" s="12">
        <v>2</v>
      </c>
      <c r="H57" s="8">
        <v>2.2000000000000002</v>
      </c>
      <c r="I57" s="12">
        <v>0</v>
      </c>
    </row>
    <row r="58" spans="2:9" ht="15" customHeight="1" x14ac:dyDescent="0.2">
      <c r="B58" t="s">
        <v>196</v>
      </c>
      <c r="C58" s="12">
        <v>5</v>
      </c>
      <c r="D58" s="8">
        <v>2.44</v>
      </c>
      <c r="E58" s="12">
        <v>1</v>
      </c>
      <c r="F58" s="8">
        <v>0.9</v>
      </c>
      <c r="G58" s="12">
        <v>4</v>
      </c>
      <c r="H58" s="8">
        <v>4.4000000000000004</v>
      </c>
      <c r="I58" s="12">
        <v>0</v>
      </c>
    </row>
    <row r="59" spans="2:9" ht="15" customHeight="1" x14ac:dyDescent="0.2">
      <c r="B59" t="s">
        <v>188</v>
      </c>
      <c r="C59" s="12">
        <v>5</v>
      </c>
      <c r="D59" s="8">
        <v>2.44</v>
      </c>
      <c r="E59" s="12">
        <v>5</v>
      </c>
      <c r="F59" s="8">
        <v>4.5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190</v>
      </c>
      <c r="C60" s="12">
        <v>5</v>
      </c>
      <c r="D60" s="8">
        <v>2.44</v>
      </c>
      <c r="E60" s="12">
        <v>4</v>
      </c>
      <c r="F60" s="8">
        <v>3.6</v>
      </c>
      <c r="G60" s="12">
        <v>1</v>
      </c>
      <c r="H60" s="8">
        <v>1.1000000000000001</v>
      </c>
      <c r="I60" s="12">
        <v>0</v>
      </c>
    </row>
    <row r="61" spans="2:9" ht="15" customHeight="1" x14ac:dyDescent="0.2">
      <c r="B61" t="s">
        <v>193</v>
      </c>
      <c r="C61" s="12">
        <v>5</v>
      </c>
      <c r="D61" s="8">
        <v>2.44</v>
      </c>
      <c r="E61" s="12">
        <v>5</v>
      </c>
      <c r="F61" s="8">
        <v>4.5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174</v>
      </c>
      <c r="C62" s="12">
        <v>4</v>
      </c>
      <c r="D62" s="8">
        <v>1.95</v>
      </c>
      <c r="E62" s="12">
        <v>0</v>
      </c>
      <c r="F62" s="8">
        <v>0</v>
      </c>
      <c r="G62" s="12">
        <v>4</v>
      </c>
      <c r="H62" s="8">
        <v>4.4000000000000004</v>
      </c>
      <c r="I62" s="12">
        <v>0</v>
      </c>
    </row>
    <row r="63" spans="2:9" ht="15" customHeight="1" x14ac:dyDescent="0.2">
      <c r="B63" t="s">
        <v>236</v>
      </c>
      <c r="C63" s="12">
        <v>4</v>
      </c>
      <c r="D63" s="8">
        <v>1.95</v>
      </c>
      <c r="E63" s="12">
        <v>3</v>
      </c>
      <c r="F63" s="8">
        <v>2.7</v>
      </c>
      <c r="G63" s="12">
        <v>1</v>
      </c>
      <c r="H63" s="8">
        <v>1.1000000000000001</v>
      </c>
      <c r="I63" s="12">
        <v>0</v>
      </c>
    </row>
    <row r="64" spans="2:9" ht="15" customHeight="1" x14ac:dyDescent="0.2">
      <c r="B64" t="s">
        <v>197</v>
      </c>
      <c r="C64" s="12">
        <v>4</v>
      </c>
      <c r="D64" s="8">
        <v>1.95</v>
      </c>
      <c r="E64" s="12">
        <v>3</v>
      </c>
      <c r="F64" s="8">
        <v>2.7</v>
      </c>
      <c r="G64" s="12">
        <v>1</v>
      </c>
      <c r="H64" s="8">
        <v>1.1000000000000001</v>
      </c>
      <c r="I64" s="12">
        <v>0</v>
      </c>
    </row>
    <row r="65" spans="2:9" ht="15" customHeight="1" x14ac:dyDescent="0.2">
      <c r="B65" t="s">
        <v>180</v>
      </c>
      <c r="C65" s="12">
        <v>4</v>
      </c>
      <c r="D65" s="8">
        <v>1.95</v>
      </c>
      <c r="E65" s="12">
        <v>1</v>
      </c>
      <c r="F65" s="8">
        <v>0.9</v>
      </c>
      <c r="G65" s="12">
        <v>3</v>
      </c>
      <c r="H65" s="8">
        <v>3.3</v>
      </c>
      <c r="I65" s="12">
        <v>0</v>
      </c>
    </row>
    <row r="66" spans="2:9" ht="15" customHeight="1" x14ac:dyDescent="0.2">
      <c r="B66" t="s">
        <v>199</v>
      </c>
      <c r="C66" s="12">
        <v>4</v>
      </c>
      <c r="D66" s="8">
        <v>1.95</v>
      </c>
      <c r="E66" s="12">
        <v>1</v>
      </c>
      <c r="F66" s="8">
        <v>0.9</v>
      </c>
      <c r="G66" s="12">
        <v>3</v>
      </c>
      <c r="H66" s="8">
        <v>3.3</v>
      </c>
      <c r="I66" s="12">
        <v>0</v>
      </c>
    </row>
    <row r="67" spans="2:9" ht="15" customHeight="1" x14ac:dyDescent="0.2">
      <c r="B67" t="s">
        <v>192</v>
      </c>
      <c r="C67" s="12">
        <v>4</v>
      </c>
      <c r="D67" s="8">
        <v>1.95</v>
      </c>
      <c r="E67" s="12">
        <v>2</v>
      </c>
      <c r="F67" s="8">
        <v>1.8</v>
      </c>
      <c r="G67" s="12">
        <v>2</v>
      </c>
      <c r="H67" s="8">
        <v>2.2000000000000002</v>
      </c>
      <c r="I67" s="12">
        <v>0</v>
      </c>
    </row>
    <row r="68" spans="2:9" ht="15" customHeight="1" x14ac:dyDescent="0.2">
      <c r="B68" t="s">
        <v>210</v>
      </c>
      <c r="C68" s="12">
        <v>3</v>
      </c>
      <c r="D68" s="8">
        <v>1.46</v>
      </c>
      <c r="E68" s="12">
        <v>2</v>
      </c>
      <c r="F68" s="8">
        <v>1.8</v>
      </c>
      <c r="G68" s="12">
        <v>1</v>
      </c>
      <c r="H68" s="8">
        <v>1.1000000000000001</v>
      </c>
      <c r="I68" s="12">
        <v>0</v>
      </c>
    </row>
    <row r="69" spans="2:9" ht="15" customHeight="1" x14ac:dyDescent="0.2">
      <c r="B69" t="s">
        <v>272</v>
      </c>
      <c r="C69" s="12">
        <v>3</v>
      </c>
      <c r="D69" s="8">
        <v>1.46</v>
      </c>
      <c r="E69" s="12">
        <v>1</v>
      </c>
      <c r="F69" s="8">
        <v>0.9</v>
      </c>
      <c r="G69" s="12">
        <v>2</v>
      </c>
      <c r="H69" s="8">
        <v>2.2000000000000002</v>
      </c>
      <c r="I69" s="12">
        <v>0</v>
      </c>
    </row>
    <row r="70" spans="2:9" ht="15" customHeight="1" x14ac:dyDescent="0.2">
      <c r="B70" t="s">
        <v>189</v>
      </c>
      <c r="C70" s="12">
        <v>3</v>
      </c>
      <c r="D70" s="8">
        <v>1.46</v>
      </c>
      <c r="E70" s="12">
        <v>3</v>
      </c>
      <c r="F70" s="8">
        <v>2.7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283</v>
      </c>
      <c r="C71" s="12">
        <v>3</v>
      </c>
      <c r="D71" s="8">
        <v>1.46</v>
      </c>
      <c r="E71" s="12">
        <v>3</v>
      </c>
      <c r="F71" s="8">
        <v>2.7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228</v>
      </c>
      <c r="C72" s="12">
        <v>3</v>
      </c>
      <c r="D72" s="8">
        <v>1.46</v>
      </c>
      <c r="E72" s="12">
        <v>2</v>
      </c>
      <c r="F72" s="8">
        <v>1.8</v>
      </c>
      <c r="G72" s="12">
        <v>1</v>
      </c>
      <c r="H72" s="8">
        <v>1.1000000000000001</v>
      </c>
      <c r="I72" s="12">
        <v>0</v>
      </c>
    </row>
    <row r="74" spans="2:9" ht="15" customHeight="1" x14ac:dyDescent="0.2">
      <c r="B74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46A9D-28B7-4BBB-96D4-00C6CA022789}">
  <sheetPr>
    <pageSetUpPr fitToPage="1"/>
  </sheetPr>
  <dimension ref="B2:I11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428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13</v>
      </c>
      <c r="D6" s="8">
        <v>16.25</v>
      </c>
      <c r="E6" s="12">
        <v>10</v>
      </c>
      <c r="F6" s="8">
        <v>19.23</v>
      </c>
      <c r="G6" s="12">
        <v>3</v>
      </c>
      <c r="H6" s="8">
        <v>12</v>
      </c>
      <c r="I6" s="12">
        <v>0</v>
      </c>
    </row>
    <row r="7" spans="2:9" ht="15" customHeight="1" x14ac:dyDescent="0.2">
      <c r="B7" t="s">
        <v>80</v>
      </c>
      <c r="C7" s="12">
        <v>19</v>
      </c>
      <c r="D7" s="8">
        <v>23.75</v>
      </c>
      <c r="E7" s="12">
        <v>13</v>
      </c>
      <c r="F7" s="8">
        <v>25</v>
      </c>
      <c r="G7" s="12">
        <v>6</v>
      </c>
      <c r="H7" s="8">
        <v>24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1.25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3</v>
      </c>
      <c r="D10" s="8">
        <v>3.75</v>
      </c>
      <c r="E10" s="12">
        <v>1</v>
      </c>
      <c r="F10" s="8">
        <v>1.92</v>
      </c>
      <c r="G10" s="12">
        <v>2</v>
      </c>
      <c r="H10" s="8">
        <v>8</v>
      </c>
      <c r="I10" s="12">
        <v>0</v>
      </c>
    </row>
    <row r="11" spans="2:9" ht="15" customHeight="1" x14ac:dyDescent="0.2">
      <c r="B11" t="s">
        <v>84</v>
      </c>
      <c r="C11" s="12">
        <v>18</v>
      </c>
      <c r="D11" s="8">
        <v>22.5</v>
      </c>
      <c r="E11" s="12">
        <v>9</v>
      </c>
      <c r="F11" s="8">
        <v>17.309999999999999</v>
      </c>
      <c r="G11" s="12">
        <v>9</v>
      </c>
      <c r="H11" s="8">
        <v>36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1</v>
      </c>
      <c r="D13" s="8">
        <v>1.25</v>
      </c>
      <c r="E13" s="12">
        <v>0</v>
      </c>
      <c r="F13" s="8">
        <v>0</v>
      </c>
      <c r="G13" s="12">
        <v>1</v>
      </c>
      <c r="H13" s="8">
        <v>4</v>
      </c>
      <c r="I13" s="12">
        <v>0</v>
      </c>
    </row>
    <row r="14" spans="2:9" ht="15" customHeight="1" x14ac:dyDescent="0.2">
      <c r="B14" t="s">
        <v>87</v>
      </c>
      <c r="C14" s="12">
        <v>3</v>
      </c>
      <c r="D14" s="8">
        <v>3.75</v>
      </c>
      <c r="E14" s="12">
        <v>3</v>
      </c>
      <c r="F14" s="8">
        <v>5.77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88</v>
      </c>
      <c r="C15" s="12">
        <v>8</v>
      </c>
      <c r="D15" s="8">
        <v>10</v>
      </c>
      <c r="E15" s="12">
        <v>5</v>
      </c>
      <c r="F15" s="8">
        <v>9.6199999999999992</v>
      </c>
      <c r="G15" s="12">
        <v>3</v>
      </c>
      <c r="H15" s="8">
        <v>12</v>
      </c>
      <c r="I15" s="12">
        <v>0</v>
      </c>
    </row>
    <row r="16" spans="2:9" ht="15" customHeight="1" x14ac:dyDescent="0.2">
      <c r="B16" t="s">
        <v>89</v>
      </c>
      <c r="C16" s="12">
        <v>3</v>
      </c>
      <c r="D16" s="8">
        <v>3.75</v>
      </c>
      <c r="E16" s="12">
        <v>3</v>
      </c>
      <c r="F16" s="8">
        <v>5.77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90</v>
      </c>
      <c r="C17" s="12">
        <v>6</v>
      </c>
      <c r="D17" s="8">
        <v>7.5</v>
      </c>
      <c r="E17" s="12">
        <v>3</v>
      </c>
      <c r="F17" s="8">
        <v>5.77</v>
      </c>
      <c r="G17" s="12">
        <v>1</v>
      </c>
      <c r="H17" s="8">
        <v>4</v>
      </c>
      <c r="I17" s="12">
        <v>0</v>
      </c>
    </row>
    <row r="18" spans="2:9" ht="15" customHeight="1" x14ac:dyDescent="0.2">
      <c r="B18" t="s">
        <v>91</v>
      </c>
      <c r="C18" s="12">
        <v>3</v>
      </c>
      <c r="D18" s="8">
        <v>3.75</v>
      </c>
      <c r="E18" s="12">
        <v>3</v>
      </c>
      <c r="F18" s="8">
        <v>5.77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92</v>
      </c>
      <c r="C19" s="12">
        <v>2</v>
      </c>
      <c r="D19" s="8">
        <v>2.5</v>
      </c>
      <c r="E19" s="12">
        <v>2</v>
      </c>
      <c r="F19" s="8">
        <v>3.85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363</v>
      </c>
      <c r="C20" s="12">
        <f>SUM(LTBL_20451[総数／事業所数])</f>
        <v>80</v>
      </c>
      <c r="E20" s="12">
        <f>SUBTOTAL(109,LTBL_20451[個人／事業所数])</f>
        <v>52</v>
      </c>
      <c r="G20" s="12">
        <f>SUBTOTAL(109,LTBL_20451[法人／事業所数])</f>
        <v>25</v>
      </c>
      <c r="I20" s="12">
        <f>SUBTOTAL(109,LTBL_20451[法人以外の団体／事業所数])</f>
        <v>0</v>
      </c>
    </row>
    <row r="21" spans="2:9" ht="15" customHeight="1" x14ac:dyDescent="0.2">
      <c r="E21" s="11">
        <f>LTBL_20451[[#Totals],[個人／事業所数]]/LTBL_20451[[#Totals],[総数／事業所数]]</f>
        <v>0.65</v>
      </c>
      <c r="G21" s="11">
        <f>LTBL_20451[[#Totals],[法人／事業所数]]/LTBL_20451[[#Totals],[総数／事業所数]]</f>
        <v>0.3125</v>
      </c>
      <c r="I21" s="11">
        <f>LTBL_20451[[#Totals],[法人以外の団体／事業所数]]/LTBL_20451[[#Totals],[総数／事業所数]]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102</v>
      </c>
      <c r="C24" s="12">
        <v>7</v>
      </c>
      <c r="D24" s="8">
        <v>8.75</v>
      </c>
      <c r="E24" s="12">
        <v>6</v>
      </c>
      <c r="F24" s="8">
        <v>11.54</v>
      </c>
      <c r="G24" s="12">
        <v>1</v>
      </c>
      <c r="H24" s="8">
        <v>4</v>
      </c>
      <c r="I24" s="12">
        <v>0</v>
      </c>
    </row>
    <row r="25" spans="2:9" ht="15" customHeight="1" x14ac:dyDescent="0.2">
      <c r="B25" t="s">
        <v>130</v>
      </c>
      <c r="C25" s="12">
        <v>7</v>
      </c>
      <c r="D25" s="8">
        <v>8.75</v>
      </c>
      <c r="E25" s="12">
        <v>6</v>
      </c>
      <c r="F25" s="8">
        <v>11.54</v>
      </c>
      <c r="G25" s="12">
        <v>1</v>
      </c>
      <c r="H25" s="8">
        <v>4</v>
      </c>
      <c r="I25" s="12">
        <v>0</v>
      </c>
    </row>
    <row r="26" spans="2:9" ht="15" customHeight="1" x14ac:dyDescent="0.2">
      <c r="B26" t="s">
        <v>115</v>
      </c>
      <c r="C26" s="12">
        <v>6</v>
      </c>
      <c r="D26" s="8">
        <v>7.5</v>
      </c>
      <c r="E26" s="12">
        <v>4</v>
      </c>
      <c r="F26" s="8">
        <v>7.69</v>
      </c>
      <c r="G26" s="12">
        <v>2</v>
      </c>
      <c r="H26" s="8">
        <v>8</v>
      </c>
      <c r="I26" s="12">
        <v>0</v>
      </c>
    </row>
    <row r="27" spans="2:9" ht="15" customHeight="1" x14ac:dyDescent="0.2">
      <c r="B27" t="s">
        <v>117</v>
      </c>
      <c r="C27" s="12">
        <v>6</v>
      </c>
      <c r="D27" s="8">
        <v>7.5</v>
      </c>
      <c r="E27" s="12">
        <v>3</v>
      </c>
      <c r="F27" s="8">
        <v>5.77</v>
      </c>
      <c r="G27" s="12">
        <v>1</v>
      </c>
      <c r="H27" s="8">
        <v>4</v>
      </c>
      <c r="I27" s="12">
        <v>0</v>
      </c>
    </row>
    <row r="28" spans="2:9" ht="15" customHeight="1" x14ac:dyDescent="0.2">
      <c r="B28" t="s">
        <v>101</v>
      </c>
      <c r="C28" s="12">
        <v>4</v>
      </c>
      <c r="D28" s="8">
        <v>5</v>
      </c>
      <c r="E28" s="12">
        <v>2</v>
      </c>
      <c r="F28" s="8">
        <v>3.85</v>
      </c>
      <c r="G28" s="12">
        <v>2</v>
      </c>
      <c r="H28" s="8">
        <v>8</v>
      </c>
      <c r="I28" s="12">
        <v>0</v>
      </c>
    </row>
    <row r="29" spans="2:9" ht="15" customHeight="1" x14ac:dyDescent="0.2">
      <c r="B29" t="s">
        <v>122</v>
      </c>
      <c r="C29" s="12">
        <v>4</v>
      </c>
      <c r="D29" s="8">
        <v>5</v>
      </c>
      <c r="E29" s="12">
        <v>0</v>
      </c>
      <c r="F29" s="8">
        <v>0</v>
      </c>
      <c r="G29" s="12">
        <v>4</v>
      </c>
      <c r="H29" s="8">
        <v>16</v>
      </c>
      <c r="I29" s="12">
        <v>0</v>
      </c>
    </row>
    <row r="30" spans="2:9" ht="15" customHeight="1" x14ac:dyDescent="0.2">
      <c r="B30" t="s">
        <v>108</v>
      </c>
      <c r="C30" s="12">
        <v>4</v>
      </c>
      <c r="D30" s="8">
        <v>5</v>
      </c>
      <c r="E30" s="12">
        <v>3</v>
      </c>
      <c r="F30" s="8">
        <v>5.77</v>
      </c>
      <c r="G30" s="12">
        <v>1</v>
      </c>
      <c r="H30" s="8">
        <v>4</v>
      </c>
      <c r="I30" s="12">
        <v>0</v>
      </c>
    </row>
    <row r="31" spans="2:9" ht="15" customHeight="1" x14ac:dyDescent="0.2">
      <c r="B31" t="s">
        <v>109</v>
      </c>
      <c r="C31" s="12">
        <v>4</v>
      </c>
      <c r="D31" s="8">
        <v>5</v>
      </c>
      <c r="E31" s="12">
        <v>2</v>
      </c>
      <c r="F31" s="8">
        <v>3.85</v>
      </c>
      <c r="G31" s="12">
        <v>2</v>
      </c>
      <c r="H31" s="8">
        <v>8</v>
      </c>
      <c r="I31" s="12">
        <v>0</v>
      </c>
    </row>
    <row r="32" spans="2:9" ht="15" customHeight="1" x14ac:dyDescent="0.2">
      <c r="B32" t="s">
        <v>110</v>
      </c>
      <c r="C32" s="12">
        <v>4</v>
      </c>
      <c r="D32" s="8">
        <v>5</v>
      </c>
      <c r="E32" s="12">
        <v>3</v>
      </c>
      <c r="F32" s="8">
        <v>5.77</v>
      </c>
      <c r="G32" s="12">
        <v>1</v>
      </c>
      <c r="H32" s="8">
        <v>4</v>
      </c>
      <c r="I32" s="12">
        <v>0</v>
      </c>
    </row>
    <row r="33" spans="2:9" ht="15" customHeight="1" x14ac:dyDescent="0.2">
      <c r="B33" t="s">
        <v>116</v>
      </c>
      <c r="C33" s="12">
        <v>3</v>
      </c>
      <c r="D33" s="8">
        <v>3.75</v>
      </c>
      <c r="E33" s="12">
        <v>3</v>
      </c>
      <c r="F33" s="8">
        <v>5.77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118</v>
      </c>
      <c r="C34" s="12">
        <v>3</v>
      </c>
      <c r="D34" s="8">
        <v>3.75</v>
      </c>
      <c r="E34" s="12">
        <v>3</v>
      </c>
      <c r="F34" s="8">
        <v>5.77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103</v>
      </c>
      <c r="C35" s="12">
        <v>2</v>
      </c>
      <c r="D35" s="8">
        <v>2.5</v>
      </c>
      <c r="E35" s="12">
        <v>2</v>
      </c>
      <c r="F35" s="8">
        <v>3.85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104</v>
      </c>
      <c r="C36" s="12">
        <v>2</v>
      </c>
      <c r="D36" s="8">
        <v>2.5</v>
      </c>
      <c r="E36" s="12">
        <v>1</v>
      </c>
      <c r="F36" s="8">
        <v>1.92</v>
      </c>
      <c r="G36" s="12">
        <v>1</v>
      </c>
      <c r="H36" s="8">
        <v>4</v>
      </c>
      <c r="I36" s="12">
        <v>0</v>
      </c>
    </row>
    <row r="37" spans="2:9" ht="15" customHeight="1" x14ac:dyDescent="0.2">
      <c r="B37" t="s">
        <v>135</v>
      </c>
      <c r="C37" s="12">
        <v>2</v>
      </c>
      <c r="D37" s="8">
        <v>2.5</v>
      </c>
      <c r="E37" s="12">
        <v>1</v>
      </c>
      <c r="F37" s="8">
        <v>1.92</v>
      </c>
      <c r="G37" s="12">
        <v>1</v>
      </c>
      <c r="H37" s="8">
        <v>4</v>
      </c>
      <c r="I37" s="12">
        <v>0</v>
      </c>
    </row>
    <row r="38" spans="2:9" ht="15" customHeight="1" x14ac:dyDescent="0.2">
      <c r="B38" t="s">
        <v>145</v>
      </c>
      <c r="C38" s="12">
        <v>2</v>
      </c>
      <c r="D38" s="8">
        <v>2.5</v>
      </c>
      <c r="E38" s="12">
        <v>1</v>
      </c>
      <c r="F38" s="8">
        <v>1.92</v>
      </c>
      <c r="G38" s="12">
        <v>1</v>
      </c>
      <c r="H38" s="8">
        <v>4</v>
      </c>
      <c r="I38" s="12">
        <v>0</v>
      </c>
    </row>
    <row r="39" spans="2:9" ht="15" customHeight="1" x14ac:dyDescent="0.2">
      <c r="B39" t="s">
        <v>113</v>
      </c>
      <c r="C39" s="12">
        <v>2</v>
      </c>
      <c r="D39" s="8">
        <v>2.5</v>
      </c>
      <c r="E39" s="12">
        <v>2</v>
      </c>
      <c r="F39" s="8">
        <v>3.85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129</v>
      </c>
      <c r="C40" s="12">
        <v>2</v>
      </c>
      <c r="D40" s="8">
        <v>2.5</v>
      </c>
      <c r="E40" s="12">
        <v>1</v>
      </c>
      <c r="F40" s="8">
        <v>1.92</v>
      </c>
      <c r="G40" s="12">
        <v>1</v>
      </c>
      <c r="H40" s="8">
        <v>4</v>
      </c>
      <c r="I40" s="12">
        <v>0</v>
      </c>
    </row>
    <row r="41" spans="2:9" ht="15" customHeight="1" x14ac:dyDescent="0.2">
      <c r="B41" t="s">
        <v>120</v>
      </c>
      <c r="C41" s="12">
        <v>2</v>
      </c>
      <c r="D41" s="8">
        <v>2.5</v>
      </c>
      <c r="E41" s="12">
        <v>2</v>
      </c>
      <c r="F41" s="8">
        <v>3.85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127</v>
      </c>
      <c r="C42" s="12">
        <v>1</v>
      </c>
      <c r="D42" s="8">
        <v>1.25</v>
      </c>
      <c r="E42" s="12">
        <v>1</v>
      </c>
      <c r="F42" s="8">
        <v>1.92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137</v>
      </c>
      <c r="C43" s="12">
        <v>1</v>
      </c>
      <c r="D43" s="8">
        <v>1.25</v>
      </c>
      <c r="E43" s="12">
        <v>1</v>
      </c>
      <c r="F43" s="8">
        <v>1.92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155</v>
      </c>
      <c r="C44" s="12">
        <v>1</v>
      </c>
      <c r="D44" s="8">
        <v>1.25</v>
      </c>
      <c r="E44" s="12">
        <v>0</v>
      </c>
      <c r="F44" s="8">
        <v>0</v>
      </c>
      <c r="G44" s="12">
        <v>1</v>
      </c>
      <c r="H44" s="8">
        <v>4</v>
      </c>
      <c r="I44" s="12">
        <v>0</v>
      </c>
    </row>
    <row r="45" spans="2:9" ht="15" customHeight="1" x14ac:dyDescent="0.2">
      <c r="B45" t="s">
        <v>156</v>
      </c>
      <c r="C45" s="12">
        <v>1</v>
      </c>
      <c r="D45" s="8">
        <v>1.25</v>
      </c>
      <c r="E45" s="12">
        <v>1</v>
      </c>
      <c r="F45" s="8">
        <v>1.92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143</v>
      </c>
      <c r="C46" s="12">
        <v>1</v>
      </c>
      <c r="D46" s="8">
        <v>1.25</v>
      </c>
      <c r="E46" s="12">
        <v>0</v>
      </c>
      <c r="F46" s="8">
        <v>0</v>
      </c>
      <c r="G46" s="12">
        <v>1</v>
      </c>
      <c r="H46" s="8">
        <v>4</v>
      </c>
      <c r="I46" s="12">
        <v>0</v>
      </c>
    </row>
    <row r="47" spans="2:9" ht="15" customHeight="1" x14ac:dyDescent="0.2">
      <c r="B47" t="s">
        <v>161</v>
      </c>
      <c r="C47" s="12">
        <v>1</v>
      </c>
      <c r="D47" s="8">
        <v>1.25</v>
      </c>
      <c r="E47" s="12">
        <v>0</v>
      </c>
      <c r="F47" s="8">
        <v>0</v>
      </c>
      <c r="G47" s="12">
        <v>1</v>
      </c>
      <c r="H47" s="8">
        <v>4</v>
      </c>
      <c r="I47" s="12">
        <v>0</v>
      </c>
    </row>
    <row r="48" spans="2:9" ht="15" customHeight="1" x14ac:dyDescent="0.2">
      <c r="B48" t="s">
        <v>126</v>
      </c>
      <c r="C48" s="12">
        <v>1</v>
      </c>
      <c r="D48" s="8">
        <v>1.25</v>
      </c>
      <c r="E48" s="12">
        <v>1</v>
      </c>
      <c r="F48" s="8">
        <v>1.92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152</v>
      </c>
      <c r="C49" s="12">
        <v>1</v>
      </c>
      <c r="D49" s="8">
        <v>1.25</v>
      </c>
      <c r="E49" s="12">
        <v>1</v>
      </c>
      <c r="F49" s="8">
        <v>1.92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139</v>
      </c>
      <c r="C50" s="12">
        <v>1</v>
      </c>
      <c r="D50" s="8">
        <v>1.25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169</v>
      </c>
      <c r="C51" s="12">
        <v>1</v>
      </c>
      <c r="D51" s="8">
        <v>1.25</v>
      </c>
      <c r="E51" s="12">
        <v>0</v>
      </c>
      <c r="F51" s="8">
        <v>0</v>
      </c>
      <c r="G51" s="12">
        <v>1</v>
      </c>
      <c r="H51" s="8">
        <v>4</v>
      </c>
      <c r="I51" s="12">
        <v>0</v>
      </c>
    </row>
    <row r="52" spans="2:9" ht="15" customHeight="1" x14ac:dyDescent="0.2">
      <c r="B52" t="s">
        <v>121</v>
      </c>
      <c r="C52" s="12">
        <v>1</v>
      </c>
      <c r="D52" s="8">
        <v>1.25</v>
      </c>
      <c r="E52" s="12">
        <v>0</v>
      </c>
      <c r="F52" s="8">
        <v>0</v>
      </c>
      <c r="G52" s="12">
        <v>1</v>
      </c>
      <c r="H52" s="8">
        <v>4</v>
      </c>
      <c r="I52" s="12">
        <v>0</v>
      </c>
    </row>
    <row r="53" spans="2:9" ht="15" customHeight="1" x14ac:dyDescent="0.2">
      <c r="B53" t="s">
        <v>107</v>
      </c>
      <c r="C53" s="12">
        <v>1</v>
      </c>
      <c r="D53" s="8">
        <v>1.25</v>
      </c>
      <c r="E53" s="12">
        <v>1</v>
      </c>
      <c r="F53" s="8">
        <v>1.92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123</v>
      </c>
      <c r="C54" s="12">
        <v>1</v>
      </c>
      <c r="D54" s="8">
        <v>1.25</v>
      </c>
      <c r="E54" s="12">
        <v>0</v>
      </c>
      <c r="F54" s="8">
        <v>0</v>
      </c>
      <c r="G54" s="12">
        <v>1</v>
      </c>
      <c r="H54" s="8">
        <v>4</v>
      </c>
      <c r="I54" s="12">
        <v>0</v>
      </c>
    </row>
    <row r="55" spans="2:9" ht="15" customHeight="1" x14ac:dyDescent="0.2">
      <c r="B55" t="s">
        <v>112</v>
      </c>
      <c r="C55" s="12">
        <v>1</v>
      </c>
      <c r="D55" s="8">
        <v>1.25</v>
      </c>
      <c r="E55" s="12">
        <v>1</v>
      </c>
      <c r="F55" s="8">
        <v>1.92</v>
      </c>
      <c r="G55" s="12">
        <v>0</v>
      </c>
      <c r="H55" s="8">
        <v>0</v>
      </c>
      <c r="I55" s="12">
        <v>0</v>
      </c>
    </row>
    <row r="58" spans="2:9" ht="33" customHeight="1" x14ac:dyDescent="0.2">
      <c r="B58" t="s">
        <v>365</v>
      </c>
      <c r="C58" s="10" t="s">
        <v>94</v>
      </c>
      <c r="D58" s="10" t="s">
        <v>95</v>
      </c>
      <c r="E58" s="10" t="s">
        <v>96</v>
      </c>
      <c r="F58" s="10" t="s">
        <v>97</v>
      </c>
      <c r="G58" s="10" t="s">
        <v>98</v>
      </c>
      <c r="H58" s="10" t="s">
        <v>99</v>
      </c>
      <c r="I58" s="10" t="s">
        <v>100</v>
      </c>
    </row>
    <row r="59" spans="2:9" ht="15" customHeight="1" x14ac:dyDescent="0.2">
      <c r="B59" t="s">
        <v>236</v>
      </c>
      <c r="C59" s="12">
        <v>5</v>
      </c>
      <c r="D59" s="8">
        <v>6.25</v>
      </c>
      <c r="E59" s="12">
        <v>5</v>
      </c>
      <c r="F59" s="8">
        <v>9.6199999999999992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176</v>
      </c>
      <c r="C60" s="12">
        <v>4</v>
      </c>
      <c r="D60" s="8">
        <v>5</v>
      </c>
      <c r="E60" s="12">
        <v>2</v>
      </c>
      <c r="F60" s="8">
        <v>3.85</v>
      </c>
      <c r="G60" s="12">
        <v>2</v>
      </c>
      <c r="H60" s="8">
        <v>8</v>
      </c>
      <c r="I60" s="12">
        <v>0</v>
      </c>
    </row>
    <row r="61" spans="2:9" ht="15" customHeight="1" x14ac:dyDescent="0.2">
      <c r="B61" t="s">
        <v>192</v>
      </c>
      <c r="C61" s="12">
        <v>4</v>
      </c>
      <c r="D61" s="8">
        <v>5</v>
      </c>
      <c r="E61" s="12">
        <v>3</v>
      </c>
      <c r="F61" s="8">
        <v>5.77</v>
      </c>
      <c r="G61" s="12">
        <v>1</v>
      </c>
      <c r="H61" s="8">
        <v>4</v>
      </c>
      <c r="I61" s="12">
        <v>0</v>
      </c>
    </row>
    <row r="62" spans="2:9" ht="15" customHeight="1" x14ac:dyDescent="0.2">
      <c r="B62" t="s">
        <v>210</v>
      </c>
      <c r="C62" s="12">
        <v>3</v>
      </c>
      <c r="D62" s="8">
        <v>3.75</v>
      </c>
      <c r="E62" s="12">
        <v>3</v>
      </c>
      <c r="F62" s="8">
        <v>5.77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344</v>
      </c>
      <c r="C63" s="12">
        <v>3</v>
      </c>
      <c r="D63" s="8">
        <v>3.75</v>
      </c>
      <c r="E63" s="12">
        <v>0</v>
      </c>
      <c r="F63" s="8">
        <v>0</v>
      </c>
      <c r="G63" s="12">
        <v>3</v>
      </c>
      <c r="H63" s="8">
        <v>12</v>
      </c>
      <c r="I63" s="12">
        <v>0</v>
      </c>
    </row>
    <row r="64" spans="2:9" ht="15" customHeight="1" x14ac:dyDescent="0.2">
      <c r="B64" t="s">
        <v>179</v>
      </c>
      <c r="C64" s="12">
        <v>3</v>
      </c>
      <c r="D64" s="8">
        <v>3.75</v>
      </c>
      <c r="E64" s="12">
        <v>3</v>
      </c>
      <c r="F64" s="8">
        <v>5.77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180</v>
      </c>
      <c r="C65" s="12">
        <v>3</v>
      </c>
      <c r="D65" s="8">
        <v>3.75</v>
      </c>
      <c r="E65" s="12">
        <v>2</v>
      </c>
      <c r="F65" s="8">
        <v>3.85</v>
      </c>
      <c r="G65" s="12">
        <v>1</v>
      </c>
      <c r="H65" s="8">
        <v>4</v>
      </c>
      <c r="I65" s="12">
        <v>0</v>
      </c>
    </row>
    <row r="66" spans="2:9" ht="15" customHeight="1" x14ac:dyDescent="0.2">
      <c r="B66" t="s">
        <v>201</v>
      </c>
      <c r="C66" s="12">
        <v>2</v>
      </c>
      <c r="D66" s="8">
        <v>2.5</v>
      </c>
      <c r="E66" s="12">
        <v>2</v>
      </c>
      <c r="F66" s="8">
        <v>3.85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178</v>
      </c>
      <c r="C67" s="12">
        <v>2</v>
      </c>
      <c r="D67" s="8">
        <v>2.5</v>
      </c>
      <c r="E67" s="12">
        <v>2</v>
      </c>
      <c r="F67" s="8">
        <v>3.85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281</v>
      </c>
      <c r="C68" s="12">
        <v>2</v>
      </c>
      <c r="D68" s="8">
        <v>2.5</v>
      </c>
      <c r="E68" s="12">
        <v>1</v>
      </c>
      <c r="F68" s="8">
        <v>1.92</v>
      </c>
      <c r="G68" s="12">
        <v>1</v>
      </c>
      <c r="H68" s="8">
        <v>4</v>
      </c>
      <c r="I68" s="12">
        <v>0</v>
      </c>
    </row>
    <row r="69" spans="2:9" ht="15" customHeight="1" x14ac:dyDescent="0.2">
      <c r="B69" t="s">
        <v>181</v>
      </c>
      <c r="C69" s="12">
        <v>2</v>
      </c>
      <c r="D69" s="8">
        <v>2.5</v>
      </c>
      <c r="E69" s="12">
        <v>1</v>
      </c>
      <c r="F69" s="8">
        <v>1.92</v>
      </c>
      <c r="G69" s="12">
        <v>1</v>
      </c>
      <c r="H69" s="8">
        <v>4</v>
      </c>
      <c r="I69" s="12">
        <v>0</v>
      </c>
    </row>
    <row r="70" spans="2:9" ht="15" customHeight="1" x14ac:dyDescent="0.2">
      <c r="B70" t="s">
        <v>186</v>
      </c>
      <c r="C70" s="12">
        <v>2</v>
      </c>
      <c r="D70" s="8">
        <v>2.5</v>
      </c>
      <c r="E70" s="12">
        <v>0</v>
      </c>
      <c r="F70" s="8">
        <v>0</v>
      </c>
      <c r="G70" s="12">
        <v>2</v>
      </c>
      <c r="H70" s="8">
        <v>8</v>
      </c>
      <c r="I70" s="12">
        <v>0</v>
      </c>
    </row>
    <row r="71" spans="2:9" ht="15" customHeight="1" x14ac:dyDescent="0.2">
      <c r="B71" t="s">
        <v>187</v>
      </c>
      <c r="C71" s="12">
        <v>2</v>
      </c>
      <c r="D71" s="8">
        <v>2.5</v>
      </c>
      <c r="E71" s="12">
        <v>2</v>
      </c>
      <c r="F71" s="8">
        <v>3.85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207</v>
      </c>
      <c r="C72" s="12">
        <v>2</v>
      </c>
      <c r="D72" s="8">
        <v>2.5</v>
      </c>
      <c r="E72" s="12">
        <v>1</v>
      </c>
      <c r="F72" s="8">
        <v>1.92</v>
      </c>
      <c r="G72" s="12">
        <v>1</v>
      </c>
      <c r="H72" s="8">
        <v>4</v>
      </c>
      <c r="I72" s="12">
        <v>0</v>
      </c>
    </row>
    <row r="73" spans="2:9" ht="15" customHeight="1" x14ac:dyDescent="0.2">
      <c r="B73" t="s">
        <v>223</v>
      </c>
      <c r="C73" s="12">
        <v>2</v>
      </c>
      <c r="D73" s="8">
        <v>2.5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193</v>
      </c>
      <c r="C74" s="12">
        <v>2</v>
      </c>
      <c r="D74" s="8">
        <v>2.5</v>
      </c>
      <c r="E74" s="12">
        <v>2</v>
      </c>
      <c r="F74" s="8">
        <v>3.85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200</v>
      </c>
      <c r="C75" s="12">
        <v>2</v>
      </c>
      <c r="D75" s="8">
        <v>2.5</v>
      </c>
      <c r="E75" s="12">
        <v>2</v>
      </c>
      <c r="F75" s="8">
        <v>3.85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218</v>
      </c>
      <c r="C76" s="12">
        <v>1</v>
      </c>
      <c r="D76" s="8">
        <v>1.25</v>
      </c>
      <c r="E76" s="12">
        <v>1</v>
      </c>
      <c r="F76" s="8">
        <v>1.92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286</v>
      </c>
      <c r="C77" s="12">
        <v>1</v>
      </c>
      <c r="D77" s="8">
        <v>1.25</v>
      </c>
      <c r="E77" s="12">
        <v>0</v>
      </c>
      <c r="F77" s="8">
        <v>0</v>
      </c>
      <c r="G77" s="12">
        <v>1</v>
      </c>
      <c r="H77" s="8">
        <v>4</v>
      </c>
      <c r="I77" s="12">
        <v>0</v>
      </c>
    </row>
    <row r="78" spans="2:9" ht="15" customHeight="1" x14ac:dyDescent="0.2">
      <c r="B78" t="s">
        <v>262</v>
      </c>
      <c r="C78" s="12">
        <v>1</v>
      </c>
      <c r="D78" s="8">
        <v>1.25</v>
      </c>
      <c r="E78" s="12">
        <v>1</v>
      </c>
      <c r="F78" s="8">
        <v>1.92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298</v>
      </c>
      <c r="C79" s="12">
        <v>1</v>
      </c>
      <c r="D79" s="8">
        <v>1.25</v>
      </c>
      <c r="E79" s="12">
        <v>1</v>
      </c>
      <c r="F79" s="8">
        <v>1.92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338</v>
      </c>
      <c r="C80" s="12">
        <v>1</v>
      </c>
      <c r="D80" s="8">
        <v>1.25</v>
      </c>
      <c r="E80" s="12">
        <v>0</v>
      </c>
      <c r="F80" s="8">
        <v>0</v>
      </c>
      <c r="G80" s="12">
        <v>1</v>
      </c>
      <c r="H80" s="8">
        <v>4</v>
      </c>
      <c r="I80" s="12">
        <v>0</v>
      </c>
    </row>
    <row r="81" spans="2:9" ht="15" customHeight="1" x14ac:dyDescent="0.2">
      <c r="B81" t="s">
        <v>294</v>
      </c>
      <c r="C81" s="12">
        <v>1</v>
      </c>
      <c r="D81" s="8">
        <v>1.25</v>
      </c>
      <c r="E81" s="12">
        <v>1</v>
      </c>
      <c r="F81" s="8">
        <v>1.92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339</v>
      </c>
      <c r="C82" s="12">
        <v>1</v>
      </c>
      <c r="D82" s="8">
        <v>1.25</v>
      </c>
      <c r="E82" s="12">
        <v>0</v>
      </c>
      <c r="F82" s="8">
        <v>0</v>
      </c>
      <c r="G82" s="12">
        <v>1</v>
      </c>
      <c r="H82" s="8">
        <v>4</v>
      </c>
      <c r="I82" s="12">
        <v>0</v>
      </c>
    </row>
    <row r="83" spans="2:9" ht="15" customHeight="1" x14ac:dyDescent="0.2">
      <c r="B83" t="s">
        <v>327</v>
      </c>
      <c r="C83" s="12">
        <v>1</v>
      </c>
      <c r="D83" s="8">
        <v>1.25</v>
      </c>
      <c r="E83" s="12">
        <v>1</v>
      </c>
      <c r="F83" s="8">
        <v>1.92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237</v>
      </c>
      <c r="C84" s="12">
        <v>1</v>
      </c>
      <c r="D84" s="8">
        <v>1.25</v>
      </c>
      <c r="E84" s="12">
        <v>0</v>
      </c>
      <c r="F84" s="8">
        <v>0</v>
      </c>
      <c r="G84" s="12">
        <v>1</v>
      </c>
      <c r="H84" s="8">
        <v>4</v>
      </c>
      <c r="I84" s="12">
        <v>0</v>
      </c>
    </row>
    <row r="85" spans="2:9" ht="15" customHeight="1" x14ac:dyDescent="0.2">
      <c r="B85" t="s">
        <v>340</v>
      </c>
      <c r="C85" s="12">
        <v>1</v>
      </c>
      <c r="D85" s="8">
        <v>1.25</v>
      </c>
      <c r="E85" s="12">
        <v>0</v>
      </c>
      <c r="F85" s="8">
        <v>0</v>
      </c>
      <c r="G85" s="12">
        <v>1</v>
      </c>
      <c r="H85" s="8">
        <v>4</v>
      </c>
      <c r="I85" s="12">
        <v>0</v>
      </c>
    </row>
    <row r="86" spans="2:9" ht="15" customHeight="1" x14ac:dyDescent="0.2">
      <c r="B86" t="s">
        <v>202</v>
      </c>
      <c r="C86" s="12">
        <v>1</v>
      </c>
      <c r="D86" s="8">
        <v>1.25</v>
      </c>
      <c r="E86" s="12">
        <v>1</v>
      </c>
      <c r="F86" s="8">
        <v>1.92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277</v>
      </c>
      <c r="C87" s="12">
        <v>1</v>
      </c>
      <c r="D87" s="8">
        <v>1.25</v>
      </c>
      <c r="E87" s="12">
        <v>1</v>
      </c>
      <c r="F87" s="8">
        <v>1.92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341</v>
      </c>
      <c r="C88" s="12">
        <v>1</v>
      </c>
      <c r="D88" s="8">
        <v>1.25</v>
      </c>
      <c r="E88" s="12">
        <v>0</v>
      </c>
      <c r="F88" s="8">
        <v>0</v>
      </c>
      <c r="G88" s="12">
        <v>1</v>
      </c>
      <c r="H88" s="8">
        <v>4</v>
      </c>
      <c r="I88" s="12">
        <v>0</v>
      </c>
    </row>
    <row r="89" spans="2:9" ht="15" customHeight="1" x14ac:dyDescent="0.2">
      <c r="B89" t="s">
        <v>221</v>
      </c>
      <c r="C89" s="12">
        <v>1</v>
      </c>
      <c r="D89" s="8">
        <v>1.25</v>
      </c>
      <c r="E89" s="12">
        <v>1</v>
      </c>
      <c r="F89" s="8">
        <v>1.92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304</v>
      </c>
      <c r="C90" s="12">
        <v>1</v>
      </c>
      <c r="D90" s="8">
        <v>1.25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240</v>
      </c>
      <c r="C91" s="12">
        <v>1</v>
      </c>
      <c r="D91" s="8">
        <v>1.25</v>
      </c>
      <c r="E91" s="12">
        <v>0</v>
      </c>
      <c r="F91" s="8">
        <v>0</v>
      </c>
      <c r="G91" s="12">
        <v>1</v>
      </c>
      <c r="H91" s="8">
        <v>4</v>
      </c>
      <c r="I91" s="12">
        <v>0</v>
      </c>
    </row>
    <row r="92" spans="2:9" ht="15" customHeight="1" x14ac:dyDescent="0.2">
      <c r="B92" t="s">
        <v>342</v>
      </c>
      <c r="C92" s="12">
        <v>1</v>
      </c>
      <c r="D92" s="8">
        <v>1.25</v>
      </c>
      <c r="E92" s="12">
        <v>1</v>
      </c>
      <c r="F92" s="8">
        <v>1.92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343</v>
      </c>
      <c r="C93" s="12">
        <v>1</v>
      </c>
      <c r="D93" s="8">
        <v>1.25</v>
      </c>
      <c r="E93" s="12">
        <v>0</v>
      </c>
      <c r="F93" s="8">
        <v>0</v>
      </c>
      <c r="G93" s="12">
        <v>1</v>
      </c>
      <c r="H93" s="8">
        <v>4</v>
      </c>
      <c r="I93" s="12">
        <v>0</v>
      </c>
    </row>
    <row r="94" spans="2:9" ht="15" customHeight="1" x14ac:dyDescent="0.2">
      <c r="B94" t="s">
        <v>211</v>
      </c>
      <c r="C94" s="12">
        <v>1</v>
      </c>
      <c r="D94" s="8">
        <v>1.25</v>
      </c>
      <c r="E94" s="12">
        <v>0</v>
      </c>
      <c r="F94" s="8">
        <v>0</v>
      </c>
      <c r="G94" s="12">
        <v>1</v>
      </c>
      <c r="H94" s="8">
        <v>4</v>
      </c>
      <c r="I94" s="12">
        <v>0</v>
      </c>
    </row>
    <row r="95" spans="2:9" ht="15" customHeight="1" x14ac:dyDescent="0.2">
      <c r="B95" t="s">
        <v>295</v>
      </c>
      <c r="C95" s="12">
        <v>1</v>
      </c>
      <c r="D95" s="8">
        <v>1.25</v>
      </c>
      <c r="E95" s="12">
        <v>0</v>
      </c>
      <c r="F95" s="8">
        <v>0</v>
      </c>
      <c r="G95" s="12">
        <v>1</v>
      </c>
      <c r="H95" s="8">
        <v>4</v>
      </c>
      <c r="I95" s="12">
        <v>0</v>
      </c>
    </row>
    <row r="96" spans="2:9" ht="15" customHeight="1" x14ac:dyDescent="0.2">
      <c r="B96" t="s">
        <v>196</v>
      </c>
      <c r="C96" s="12">
        <v>1</v>
      </c>
      <c r="D96" s="8">
        <v>1.25</v>
      </c>
      <c r="E96" s="12">
        <v>1</v>
      </c>
      <c r="F96" s="8">
        <v>1.92</v>
      </c>
      <c r="G96" s="12">
        <v>0</v>
      </c>
      <c r="H96" s="8">
        <v>0</v>
      </c>
      <c r="I96" s="12">
        <v>0</v>
      </c>
    </row>
    <row r="97" spans="2:9" ht="15" customHeight="1" x14ac:dyDescent="0.2">
      <c r="B97" t="s">
        <v>345</v>
      </c>
      <c r="C97" s="12">
        <v>1</v>
      </c>
      <c r="D97" s="8">
        <v>1.25</v>
      </c>
      <c r="E97" s="12">
        <v>0</v>
      </c>
      <c r="F97" s="8">
        <v>0</v>
      </c>
      <c r="G97" s="12">
        <v>1</v>
      </c>
      <c r="H97" s="8">
        <v>4</v>
      </c>
      <c r="I97" s="12">
        <v>0</v>
      </c>
    </row>
    <row r="98" spans="2:9" ht="15" customHeight="1" x14ac:dyDescent="0.2">
      <c r="B98" t="s">
        <v>205</v>
      </c>
      <c r="C98" s="12">
        <v>1</v>
      </c>
      <c r="D98" s="8">
        <v>1.25</v>
      </c>
      <c r="E98" s="12">
        <v>0</v>
      </c>
      <c r="F98" s="8">
        <v>0</v>
      </c>
      <c r="G98" s="12">
        <v>1</v>
      </c>
      <c r="H98" s="8">
        <v>4</v>
      </c>
      <c r="I98" s="12">
        <v>0</v>
      </c>
    </row>
    <row r="99" spans="2:9" ht="15" customHeight="1" x14ac:dyDescent="0.2">
      <c r="B99" t="s">
        <v>219</v>
      </c>
      <c r="C99" s="12">
        <v>1</v>
      </c>
      <c r="D99" s="8">
        <v>1.25</v>
      </c>
      <c r="E99" s="12">
        <v>1</v>
      </c>
      <c r="F99" s="8">
        <v>1.92</v>
      </c>
      <c r="G99" s="12">
        <v>0</v>
      </c>
      <c r="H99" s="8">
        <v>0</v>
      </c>
      <c r="I99" s="12">
        <v>0</v>
      </c>
    </row>
    <row r="100" spans="2:9" ht="15" customHeight="1" x14ac:dyDescent="0.2">
      <c r="B100" t="s">
        <v>215</v>
      </c>
      <c r="C100" s="12">
        <v>1</v>
      </c>
      <c r="D100" s="8">
        <v>1.25</v>
      </c>
      <c r="E100" s="12">
        <v>1</v>
      </c>
      <c r="F100" s="8">
        <v>1.92</v>
      </c>
      <c r="G100" s="12">
        <v>0</v>
      </c>
      <c r="H100" s="8">
        <v>0</v>
      </c>
      <c r="I100" s="12">
        <v>0</v>
      </c>
    </row>
    <row r="101" spans="2:9" ht="15" customHeight="1" x14ac:dyDescent="0.2">
      <c r="B101" t="s">
        <v>256</v>
      </c>
      <c r="C101" s="12">
        <v>1</v>
      </c>
      <c r="D101" s="8">
        <v>1.25</v>
      </c>
      <c r="E101" s="12">
        <v>0</v>
      </c>
      <c r="F101" s="8">
        <v>0</v>
      </c>
      <c r="G101" s="12">
        <v>1</v>
      </c>
      <c r="H101" s="8">
        <v>4</v>
      </c>
      <c r="I101" s="12">
        <v>0</v>
      </c>
    </row>
    <row r="102" spans="2:9" ht="15" customHeight="1" x14ac:dyDescent="0.2">
      <c r="B102" t="s">
        <v>245</v>
      </c>
      <c r="C102" s="12">
        <v>1</v>
      </c>
      <c r="D102" s="8">
        <v>1.25</v>
      </c>
      <c r="E102" s="12">
        <v>1</v>
      </c>
      <c r="F102" s="8">
        <v>1.92</v>
      </c>
      <c r="G102" s="12">
        <v>0</v>
      </c>
      <c r="H102" s="8">
        <v>0</v>
      </c>
      <c r="I102" s="12">
        <v>0</v>
      </c>
    </row>
    <row r="103" spans="2:9" ht="15" customHeight="1" x14ac:dyDescent="0.2">
      <c r="B103" t="s">
        <v>184</v>
      </c>
      <c r="C103" s="12">
        <v>1</v>
      </c>
      <c r="D103" s="8">
        <v>1.25</v>
      </c>
      <c r="E103" s="12">
        <v>1</v>
      </c>
      <c r="F103" s="8">
        <v>1.92</v>
      </c>
      <c r="G103" s="12">
        <v>0</v>
      </c>
      <c r="H103" s="8">
        <v>0</v>
      </c>
      <c r="I103" s="12">
        <v>0</v>
      </c>
    </row>
    <row r="104" spans="2:9" ht="15" customHeight="1" x14ac:dyDescent="0.2">
      <c r="B104" t="s">
        <v>326</v>
      </c>
      <c r="C104" s="12">
        <v>1</v>
      </c>
      <c r="D104" s="8">
        <v>1.25</v>
      </c>
      <c r="E104" s="12">
        <v>1</v>
      </c>
      <c r="F104" s="8">
        <v>1.92</v>
      </c>
      <c r="G104" s="12">
        <v>0</v>
      </c>
      <c r="H104" s="8">
        <v>0</v>
      </c>
      <c r="I104" s="12">
        <v>0</v>
      </c>
    </row>
    <row r="105" spans="2:9" ht="15" customHeight="1" x14ac:dyDescent="0.2">
      <c r="B105" t="s">
        <v>220</v>
      </c>
      <c r="C105" s="12">
        <v>1</v>
      </c>
      <c r="D105" s="8">
        <v>1.25</v>
      </c>
      <c r="E105" s="12">
        <v>1</v>
      </c>
      <c r="F105" s="8">
        <v>1.92</v>
      </c>
      <c r="G105" s="12">
        <v>0</v>
      </c>
      <c r="H105" s="8">
        <v>0</v>
      </c>
      <c r="I105" s="12">
        <v>0</v>
      </c>
    </row>
    <row r="106" spans="2:9" ht="15" customHeight="1" x14ac:dyDescent="0.2">
      <c r="B106" t="s">
        <v>188</v>
      </c>
      <c r="C106" s="12">
        <v>1</v>
      </c>
      <c r="D106" s="8">
        <v>1.25</v>
      </c>
      <c r="E106" s="12">
        <v>1</v>
      </c>
      <c r="F106" s="8">
        <v>1.92</v>
      </c>
      <c r="G106" s="12">
        <v>0</v>
      </c>
      <c r="H106" s="8">
        <v>0</v>
      </c>
      <c r="I106" s="12">
        <v>0</v>
      </c>
    </row>
    <row r="107" spans="2:9" ht="15" customHeight="1" x14ac:dyDescent="0.2">
      <c r="B107" t="s">
        <v>190</v>
      </c>
      <c r="C107" s="12">
        <v>1</v>
      </c>
      <c r="D107" s="8">
        <v>1.25</v>
      </c>
      <c r="E107" s="12">
        <v>1</v>
      </c>
      <c r="F107" s="8">
        <v>1.92</v>
      </c>
      <c r="G107" s="12">
        <v>0</v>
      </c>
      <c r="H107" s="8">
        <v>0</v>
      </c>
      <c r="I107" s="12">
        <v>0</v>
      </c>
    </row>
    <row r="108" spans="2:9" ht="15" customHeight="1" x14ac:dyDescent="0.2">
      <c r="B108" t="s">
        <v>191</v>
      </c>
      <c r="C108" s="12">
        <v>1</v>
      </c>
      <c r="D108" s="8">
        <v>1.25</v>
      </c>
      <c r="E108" s="12">
        <v>1</v>
      </c>
      <c r="F108" s="8">
        <v>1.92</v>
      </c>
      <c r="G108" s="12">
        <v>0</v>
      </c>
      <c r="H108" s="8">
        <v>0</v>
      </c>
      <c r="I108" s="12">
        <v>0</v>
      </c>
    </row>
    <row r="109" spans="2:9" ht="15" customHeight="1" x14ac:dyDescent="0.2">
      <c r="B109" t="s">
        <v>283</v>
      </c>
      <c r="C109" s="12">
        <v>1</v>
      </c>
      <c r="D109" s="8">
        <v>1.25</v>
      </c>
      <c r="E109" s="12">
        <v>1</v>
      </c>
      <c r="F109" s="8">
        <v>1.92</v>
      </c>
      <c r="G109" s="12">
        <v>0</v>
      </c>
      <c r="H109" s="8">
        <v>0</v>
      </c>
      <c r="I109" s="12">
        <v>0</v>
      </c>
    </row>
    <row r="110" spans="2:9" ht="15" customHeight="1" x14ac:dyDescent="0.2">
      <c r="B110" t="s">
        <v>270</v>
      </c>
      <c r="C110" s="12">
        <v>1</v>
      </c>
      <c r="D110" s="8">
        <v>1.25</v>
      </c>
      <c r="E110" s="12">
        <v>1</v>
      </c>
      <c r="F110" s="8">
        <v>1.92</v>
      </c>
      <c r="G110" s="12">
        <v>0</v>
      </c>
      <c r="H110" s="8">
        <v>0</v>
      </c>
      <c r="I110" s="12">
        <v>0</v>
      </c>
    </row>
    <row r="112" spans="2:9" ht="15" customHeight="1" x14ac:dyDescent="0.2">
      <c r="B112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72632-A203-40FF-B558-1CEDF88B362D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429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34</v>
      </c>
      <c r="D6" s="8">
        <v>26.77</v>
      </c>
      <c r="E6" s="12">
        <v>24</v>
      </c>
      <c r="F6" s="8">
        <v>26.67</v>
      </c>
      <c r="G6" s="12">
        <v>10</v>
      </c>
      <c r="H6" s="8">
        <v>33.33</v>
      </c>
      <c r="I6" s="12">
        <v>0</v>
      </c>
    </row>
    <row r="7" spans="2:9" ht="15" customHeight="1" x14ac:dyDescent="0.2">
      <c r="B7" t="s">
        <v>80</v>
      </c>
      <c r="C7" s="12">
        <v>6</v>
      </c>
      <c r="D7" s="8">
        <v>4.72</v>
      </c>
      <c r="E7" s="12">
        <v>4</v>
      </c>
      <c r="F7" s="8">
        <v>4.4400000000000004</v>
      </c>
      <c r="G7" s="12">
        <v>2</v>
      </c>
      <c r="H7" s="8">
        <v>6.67</v>
      </c>
      <c r="I7" s="12">
        <v>0</v>
      </c>
    </row>
    <row r="8" spans="2:9" ht="15" customHeight="1" x14ac:dyDescent="0.2">
      <c r="B8" t="s">
        <v>81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8</v>
      </c>
      <c r="D10" s="8">
        <v>6.3</v>
      </c>
      <c r="E10" s="12">
        <v>4</v>
      </c>
      <c r="F10" s="8">
        <v>4.4400000000000004</v>
      </c>
      <c r="G10" s="12">
        <v>1</v>
      </c>
      <c r="H10" s="8">
        <v>3.33</v>
      </c>
      <c r="I10" s="12">
        <v>0</v>
      </c>
    </row>
    <row r="11" spans="2:9" ht="15" customHeight="1" x14ac:dyDescent="0.2">
      <c r="B11" t="s">
        <v>84</v>
      </c>
      <c r="C11" s="12">
        <v>42</v>
      </c>
      <c r="D11" s="8">
        <v>33.07</v>
      </c>
      <c r="E11" s="12">
        <v>31</v>
      </c>
      <c r="F11" s="8">
        <v>34.44</v>
      </c>
      <c r="G11" s="12">
        <v>11</v>
      </c>
      <c r="H11" s="8">
        <v>36.67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2</v>
      </c>
      <c r="D13" s="8">
        <v>1.57</v>
      </c>
      <c r="E13" s="12">
        <v>2</v>
      </c>
      <c r="F13" s="8">
        <v>2.2200000000000002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87</v>
      </c>
      <c r="C14" s="12">
        <v>3</v>
      </c>
      <c r="D14" s="8">
        <v>2.36</v>
      </c>
      <c r="E14" s="12">
        <v>1</v>
      </c>
      <c r="F14" s="8">
        <v>1.1100000000000001</v>
      </c>
      <c r="G14" s="12">
        <v>2</v>
      </c>
      <c r="H14" s="8">
        <v>6.67</v>
      </c>
      <c r="I14" s="12">
        <v>0</v>
      </c>
    </row>
    <row r="15" spans="2:9" ht="15" customHeight="1" x14ac:dyDescent="0.2">
      <c r="B15" t="s">
        <v>88</v>
      </c>
      <c r="C15" s="12">
        <v>10</v>
      </c>
      <c r="D15" s="8">
        <v>7.87</v>
      </c>
      <c r="E15" s="12">
        <v>9</v>
      </c>
      <c r="F15" s="8">
        <v>10</v>
      </c>
      <c r="G15" s="12">
        <v>1</v>
      </c>
      <c r="H15" s="8">
        <v>3.33</v>
      </c>
      <c r="I15" s="12">
        <v>0</v>
      </c>
    </row>
    <row r="16" spans="2:9" ht="15" customHeight="1" x14ac:dyDescent="0.2">
      <c r="B16" t="s">
        <v>89</v>
      </c>
      <c r="C16" s="12">
        <v>12</v>
      </c>
      <c r="D16" s="8">
        <v>9.4499999999999993</v>
      </c>
      <c r="E16" s="12">
        <v>11</v>
      </c>
      <c r="F16" s="8">
        <v>12.22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90</v>
      </c>
      <c r="C17" s="12">
        <v>2</v>
      </c>
      <c r="D17" s="8">
        <v>1.57</v>
      </c>
      <c r="E17" s="12">
        <v>0</v>
      </c>
      <c r="F17" s="8">
        <v>0</v>
      </c>
      <c r="G17" s="12">
        <v>1</v>
      </c>
      <c r="H17" s="8">
        <v>3.33</v>
      </c>
      <c r="I17" s="12">
        <v>0</v>
      </c>
    </row>
    <row r="18" spans="2:9" ht="15" customHeight="1" x14ac:dyDescent="0.2">
      <c r="B18" t="s">
        <v>91</v>
      </c>
      <c r="C18" s="12">
        <v>5</v>
      </c>
      <c r="D18" s="8">
        <v>3.94</v>
      </c>
      <c r="E18" s="12">
        <v>2</v>
      </c>
      <c r="F18" s="8">
        <v>2.2200000000000002</v>
      </c>
      <c r="G18" s="12">
        <v>1</v>
      </c>
      <c r="H18" s="8">
        <v>3.33</v>
      </c>
      <c r="I18" s="12">
        <v>0</v>
      </c>
    </row>
    <row r="19" spans="2:9" ht="15" customHeight="1" x14ac:dyDescent="0.2">
      <c r="B19" t="s">
        <v>92</v>
      </c>
      <c r="C19" s="12">
        <v>3</v>
      </c>
      <c r="D19" s="8">
        <v>2.36</v>
      </c>
      <c r="E19" s="12">
        <v>2</v>
      </c>
      <c r="F19" s="8">
        <v>2.2200000000000002</v>
      </c>
      <c r="G19" s="12">
        <v>1</v>
      </c>
      <c r="H19" s="8">
        <v>3.33</v>
      </c>
      <c r="I19" s="12">
        <v>0</v>
      </c>
    </row>
    <row r="20" spans="2:9" ht="15" customHeight="1" x14ac:dyDescent="0.2">
      <c r="B20" s="9" t="s">
        <v>363</v>
      </c>
      <c r="C20" s="12">
        <f>SUM(LTBL_20452[総数／事業所数])</f>
        <v>127</v>
      </c>
      <c r="E20" s="12">
        <f>SUBTOTAL(109,LTBL_20452[個人／事業所数])</f>
        <v>90</v>
      </c>
      <c r="G20" s="12">
        <f>SUBTOTAL(109,LTBL_20452[法人／事業所数])</f>
        <v>30</v>
      </c>
      <c r="I20" s="12">
        <f>SUBTOTAL(109,LTBL_20452[法人以外の団体／事業所数])</f>
        <v>0</v>
      </c>
    </row>
    <row r="21" spans="2:9" ht="15" customHeight="1" x14ac:dyDescent="0.2">
      <c r="E21" s="11">
        <f>LTBL_20452[[#Totals],[個人／事業所数]]/LTBL_20452[[#Totals],[総数／事業所数]]</f>
        <v>0.70866141732283461</v>
      </c>
      <c r="G21" s="11">
        <f>LTBL_20452[[#Totals],[法人／事業所数]]/LTBL_20452[[#Totals],[総数／事業所数]]</f>
        <v>0.23622047244094488</v>
      </c>
      <c r="I21" s="11">
        <f>LTBL_20452[[#Totals],[法人以外の団体／事業所数]]/LTBL_20452[[#Totals],[総数／事業所数]]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102</v>
      </c>
      <c r="C24" s="12">
        <v>13</v>
      </c>
      <c r="D24" s="8">
        <v>10.24</v>
      </c>
      <c r="E24" s="12">
        <v>13</v>
      </c>
      <c r="F24" s="8">
        <v>14.44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108</v>
      </c>
      <c r="C25" s="12">
        <v>13</v>
      </c>
      <c r="D25" s="8">
        <v>10.24</v>
      </c>
      <c r="E25" s="12">
        <v>12</v>
      </c>
      <c r="F25" s="8">
        <v>13.33</v>
      </c>
      <c r="G25" s="12">
        <v>1</v>
      </c>
      <c r="H25" s="8">
        <v>3.33</v>
      </c>
      <c r="I25" s="12">
        <v>0</v>
      </c>
    </row>
    <row r="26" spans="2:9" ht="15" customHeight="1" x14ac:dyDescent="0.2">
      <c r="B26" t="s">
        <v>101</v>
      </c>
      <c r="C26" s="12">
        <v>12</v>
      </c>
      <c r="D26" s="8">
        <v>9.4499999999999993</v>
      </c>
      <c r="E26" s="12">
        <v>6</v>
      </c>
      <c r="F26" s="8">
        <v>6.67</v>
      </c>
      <c r="G26" s="12">
        <v>6</v>
      </c>
      <c r="H26" s="8">
        <v>20</v>
      </c>
      <c r="I26" s="12">
        <v>0</v>
      </c>
    </row>
    <row r="27" spans="2:9" ht="15" customHeight="1" x14ac:dyDescent="0.2">
      <c r="B27" t="s">
        <v>110</v>
      </c>
      <c r="C27" s="12">
        <v>10</v>
      </c>
      <c r="D27" s="8">
        <v>7.87</v>
      </c>
      <c r="E27" s="12">
        <v>7</v>
      </c>
      <c r="F27" s="8">
        <v>7.78</v>
      </c>
      <c r="G27" s="12">
        <v>3</v>
      </c>
      <c r="H27" s="8">
        <v>10</v>
      </c>
      <c r="I27" s="12">
        <v>0</v>
      </c>
    </row>
    <row r="28" spans="2:9" ht="15" customHeight="1" x14ac:dyDescent="0.2">
      <c r="B28" t="s">
        <v>103</v>
      </c>
      <c r="C28" s="12">
        <v>9</v>
      </c>
      <c r="D28" s="8">
        <v>7.09</v>
      </c>
      <c r="E28" s="12">
        <v>5</v>
      </c>
      <c r="F28" s="8">
        <v>5.56</v>
      </c>
      <c r="G28" s="12">
        <v>4</v>
      </c>
      <c r="H28" s="8">
        <v>13.33</v>
      </c>
      <c r="I28" s="12">
        <v>0</v>
      </c>
    </row>
    <row r="29" spans="2:9" ht="15" customHeight="1" x14ac:dyDescent="0.2">
      <c r="B29" t="s">
        <v>116</v>
      </c>
      <c r="C29" s="12">
        <v>9</v>
      </c>
      <c r="D29" s="8">
        <v>7.09</v>
      </c>
      <c r="E29" s="12">
        <v>9</v>
      </c>
      <c r="F29" s="8">
        <v>10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115</v>
      </c>
      <c r="C30" s="12">
        <v>8</v>
      </c>
      <c r="D30" s="8">
        <v>6.3</v>
      </c>
      <c r="E30" s="12">
        <v>8</v>
      </c>
      <c r="F30" s="8">
        <v>8.89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109</v>
      </c>
      <c r="C31" s="12">
        <v>6</v>
      </c>
      <c r="D31" s="8">
        <v>4.72</v>
      </c>
      <c r="E31" s="12">
        <v>5</v>
      </c>
      <c r="F31" s="8">
        <v>5.56</v>
      </c>
      <c r="G31" s="12">
        <v>1</v>
      </c>
      <c r="H31" s="8">
        <v>3.33</v>
      </c>
      <c r="I31" s="12">
        <v>0</v>
      </c>
    </row>
    <row r="32" spans="2:9" ht="15" customHeight="1" x14ac:dyDescent="0.2">
      <c r="B32" t="s">
        <v>145</v>
      </c>
      <c r="C32" s="12">
        <v>5</v>
      </c>
      <c r="D32" s="8">
        <v>3.94</v>
      </c>
      <c r="E32" s="12">
        <v>4</v>
      </c>
      <c r="F32" s="8">
        <v>4.4400000000000004</v>
      </c>
      <c r="G32" s="12">
        <v>1</v>
      </c>
      <c r="H32" s="8">
        <v>3.33</v>
      </c>
      <c r="I32" s="12">
        <v>0</v>
      </c>
    </row>
    <row r="33" spans="2:9" ht="15" customHeight="1" x14ac:dyDescent="0.2">
      <c r="B33" t="s">
        <v>106</v>
      </c>
      <c r="C33" s="12">
        <v>4</v>
      </c>
      <c r="D33" s="8">
        <v>3.15</v>
      </c>
      <c r="E33" s="12">
        <v>0</v>
      </c>
      <c r="F33" s="8">
        <v>0</v>
      </c>
      <c r="G33" s="12">
        <v>4</v>
      </c>
      <c r="H33" s="8">
        <v>13.33</v>
      </c>
      <c r="I33" s="12">
        <v>0</v>
      </c>
    </row>
    <row r="34" spans="2:9" ht="15" customHeight="1" x14ac:dyDescent="0.2">
      <c r="B34" t="s">
        <v>146</v>
      </c>
      <c r="C34" s="12">
        <v>3</v>
      </c>
      <c r="D34" s="8">
        <v>2.36</v>
      </c>
      <c r="E34" s="12">
        <v>0</v>
      </c>
      <c r="F34" s="8">
        <v>0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121</v>
      </c>
      <c r="C35" s="12">
        <v>3</v>
      </c>
      <c r="D35" s="8">
        <v>2.36</v>
      </c>
      <c r="E35" s="12">
        <v>2</v>
      </c>
      <c r="F35" s="8">
        <v>2.2200000000000002</v>
      </c>
      <c r="G35" s="12">
        <v>1</v>
      </c>
      <c r="H35" s="8">
        <v>3.33</v>
      </c>
      <c r="I35" s="12">
        <v>0</v>
      </c>
    </row>
    <row r="36" spans="2:9" ht="15" customHeight="1" x14ac:dyDescent="0.2">
      <c r="B36" t="s">
        <v>122</v>
      </c>
      <c r="C36" s="12">
        <v>3</v>
      </c>
      <c r="D36" s="8">
        <v>2.36</v>
      </c>
      <c r="E36" s="12">
        <v>2</v>
      </c>
      <c r="F36" s="8">
        <v>2.2200000000000002</v>
      </c>
      <c r="G36" s="12">
        <v>1</v>
      </c>
      <c r="H36" s="8">
        <v>3.33</v>
      </c>
      <c r="I36" s="12">
        <v>0</v>
      </c>
    </row>
    <row r="37" spans="2:9" ht="15" customHeight="1" x14ac:dyDescent="0.2">
      <c r="B37" t="s">
        <v>118</v>
      </c>
      <c r="C37" s="12">
        <v>3</v>
      </c>
      <c r="D37" s="8">
        <v>2.36</v>
      </c>
      <c r="E37" s="12">
        <v>2</v>
      </c>
      <c r="F37" s="8">
        <v>2.2200000000000002</v>
      </c>
      <c r="G37" s="12">
        <v>1</v>
      </c>
      <c r="H37" s="8">
        <v>3.33</v>
      </c>
      <c r="I37" s="12">
        <v>0</v>
      </c>
    </row>
    <row r="38" spans="2:9" ht="15" customHeight="1" x14ac:dyDescent="0.2">
      <c r="B38" t="s">
        <v>155</v>
      </c>
      <c r="C38" s="12">
        <v>2</v>
      </c>
      <c r="D38" s="8">
        <v>1.57</v>
      </c>
      <c r="E38" s="12">
        <v>2</v>
      </c>
      <c r="F38" s="8">
        <v>2.2200000000000002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111</v>
      </c>
      <c r="C39" s="12">
        <v>2</v>
      </c>
      <c r="D39" s="8">
        <v>1.57</v>
      </c>
      <c r="E39" s="12">
        <v>2</v>
      </c>
      <c r="F39" s="8">
        <v>2.2200000000000002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113</v>
      </c>
      <c r="C40" s="12">
        <v>2</v>
      </c>
      <c r="D40" s="8">
        <v>1.57</v>
      </c>
      <c r="E40" s="12">
        <v>0</v>
      </c>
      <c r="F40" s="8">
        <v>0</v>
      </c>
      <c r="G40" s="12">
        <v>2</v>
      </c>
      <c r="H40" s="8">
        <v>6.67</v>
      </c>
      <c r="I40" s="12">
        <v>0</v>
      </c>
    </row>
    <row r="41" spans="2:9" ht="15" customHeight="1" x14ac:dyDescent="0.2">
      <c r="B41" t="s">
        <v>131</v>
      </c>
      <c r="C41" s="12">
        <v>2</v>
      </c>
      <c r="D41" s="8">
        <v>1.57</v>
      </c>
      <c r="E41" s="12">
        <v>2</v>
      </c>
      <c r="F41" s="8">
        <v>2.2200000000000002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117</v>
      </c>
      <c r="C42" s="12">
        <v>2</v>
      </c>
      <c r="D42" s="8">
        <v>1.57</v>
      </c>
      <c r="E42" s="12">
        <v>0</v>
      </c>
      <c r="F42" s="8">
        <v>0</v>
      </c>
      <c r="G42" s="12">
        <v>1</v>
      </c>
      <c r="H42" s="8">
        <v>3.33</v>
      </c>
      <c r="I42" s="12">
        <v>0</v>
      </c>
    </row>
    <row r="43" spans="2:9" ht="15" customHeight="1" x14ac:dyDescent="0.2">
      <c r="B43" t="s">
        <v>119</v>
      </c>
      <c r="C43" s="12">
        <v>2</v>
      </c>
      <c r="D43" s="8">
        <v>1.57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147</v>
      </c>
      <c r="C44" s="12">
        <v>2</v>
      </c>
      <c r="D44" s="8">
        <v>1.57</v>
      </c>
      <c r="E44" s="12">
        <v>1</v>
      </c>
      <c r="F44" s="8">
        <v>1.1100000000000001</v>
      </c>
      <c r="G44" s="12">
        <v>1</v>
      </c>
      <c r="H44" s="8">
        <v>3.33</v>
      </c>
      <c r="I44" s="12">
        <v>0</v>
      </c>
    </row>
    <row r="47" spans="2:9" ht="33" customHeight="1" x14ac:dyDescent="0.2">
      <c r="B47" t="s">
        <v>365</v>
      </c>
      <c r="C47" s="10" t="s">
        <v>94</v>
      </c>
      <c r="D47" s="10" t="s">
        <v>95</v>
      </c>
      <c r="E47" s="10" t="s">
        <v>96</v>
      </c>
      <c r="F47" s="10" t="s">
        <v>97</v>
      </c>
      <c r="G47" s="10" t="s">
        <v>98</v>
      </c>
      <c r="H47" s="10" t="s">
        <v>99</v>
      </c>
      <c r="I47" s="10" t="s">
        <v>100</v>
      </c>
    </row>
    <row r="48" spans="2:9" ht="15" customHeight="1" x14ac:dyDescent="0.2">
      <c r="B48" t="s">
        <v>176</v>
      </c>
      <c r="C48" s="12">
        <v>5</v>
      </c>
      <c r="D48" s="8">
        <v>3.94</v>
      </c>
      <c r="E48" s="12">
        <v>4</v>
      </c>
      <c r="F48" s="8">
        <v>4.4400000000000004</v>
      </c>
      <c r="G48" s="12">
        <v>1</v>
      </c>
      <c r="H48" s="8">
        <v>3.33</v>
      </c>
      <c r="I48" s="12">
        <v>0</v>
      </c>
    </row>
    <row r="49" spans="2:9" ht="15" customHeight="1" x14ac:dyDescent="0.2">
      <c r="B49" t="s">
        <v>210</v>
      </c>
      <c r="C49" s="12">
        <v>5</v>
      </c>
      <c r="D49" s="8">
        <v>3.94</v>
      </c>
      <c r="E49" s="12">
        <v>5</v>
      </c>
      <c r="F49" s="8">
        <v>5.56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214</v>
      </c>
      <c r="C50" s="12">
        <v>5</v>
      </c>
      <c r="D50" s="8">
        <v>3.94</v>
      </c>
      <c r="E50" s="12">
        <v>4</v>
      </c>
      <c r="F50" s="8">
        <v>4.4400000000000004</v>
      </c>
      <c r="G50" s="12">
        <v>1</v>
      </c>
      <c r="H50" s="8">
        <v>3.33</v>
      </c>
      <c r="I50" s="12">
        <v>0</v>
      </c>
    </row>
    <row r="51" spans="2:9" ht="15" customHeight="1" x14ac:dyDescent="0.2">
      <c r="B51" t="s">
        <v>174</v>
      </c>
      <c r="C51" s="12">
        <v>4</v>
      </c>
      <c r="D51" s="8">
        <v>3.15</v>
      </c>
      <c r="E51" s="12">
        <v>0</v>
      </c>
      <c r="F51" s="8">
        <v>0</v>
      </c>
      <c r="G51" s="12">
        <v>4</v>
      </c>
      <c r="H51" s="8">
        <v>13.33</v>
      </c>
      <c r="I51" s="12">
        <v>0</v>
      </c>
    </row>
    <row r="52" spans="2:9" ht="15" customHeight="1" x14ac:dyDescent="0.2">
      <c r="B52" t="s">
        <v>177</v>
      </c>
      <c r="C52" s="12">
        <v>4</v>
      </c>
      <c r="D52" s="8">
        <v>3.15</v>
      </c>
      <c r="E52" s="12">
        <v>3</v>
      </c>
      <c r="F52" s="8">
        <v>3.33</v>
      </c>
      <c r="G52" s="12">
        <v>1</v>
      </c>
      <c r="H52" s="8">
        <v>3.33</v>
      </c>
      <c r="I52" s="12">
        <v>0</v>
      </c>
    </row>
    <row r="53" spans="2:9" ht="15" customHeight="1" x14ac:dyDescent="0.2">
      <c r="B53" t="s">
        <v>180</v>
      </c>
      <c r="C53" s="12">
        <v>4</v>
      </c>
      <c r="D53" s="8">
        <v>3.15</v>
      </c>
      <c r="E53" s="12">
        <v>3</v>
      </c>
      <c r="F53" s="8">
        <v>3.33</v>
      </c>
      <c r="G53" s="12">
        <v>1</v>
      </c>
      <c r="H53" s="8">
        <v>3.33</v>
      </c>
      <c r="I53" s="12">
        <v>0</v>
      </c>
    </row>
    <row r="54" spans="2:9" ht="15" customHeight="1" x14ac:dyDescent="0.2">
      <c r="B54" t="s">
        <v>186</v>
      </c>
      <c r="C54" s="12">
        <v>4</v>
      </c>
      <c r="D54" s="8">
        <v>3.15</v>
      </c>
      <c r="E54" s="12">
        <v>4</v>
      </c>
      <c r="F54" s="8">
        <v>4.4400000000000004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190</v>
      </c>
      <c r="C55" s="12">
        <v>4</v>
      </c>
      <c r="D55" s="8">
        <v>3.15</v>
      </c>
      <c r="E55" s="12">
        <v>4</v>
      </c>
      <c r="F55" s="8">
        <v>4.4400000000000004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191</v>
      </c>
      <c r="C56" s="12">
        <v>4</v>
      </c>
      <c r="D56" s="8">
        <v>3.15</v>
      </c>
      <c r="E56" s="12">
        <v>4</v>
      </c>
      <c r="F56" s="8">
        <v>4.4400000000000004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178</v>
      </c>
      <c r="C57" s="12">
        <v>3</v>
      </c>
      <c r="D57" s="8">
        <v>2.36</v>
      </c>
      <c r="E57" s="12">
        <v>2</v>
      </c>
      <c r="F57" s="8">
        <v>2.2200000000000002</v>
      </c>
      <c r="G57" s="12">
        <v>1</v>
      </c>
      <c r="H57" s="8">
        <v>3.33</v>
      </c>
      <c r="I57" s="12">
        <v>0</v>
      </c>
    </row>
    <row r="58" spans="2:9" ht="15" customHeight="1" x14ac:dyDescent="0.2">
      <c r="B58" t="s">
        <v>346</v>
      </c>
      <c r="C58" s="12">
        <v>3</v>
      </c>
      <c r="D58" s="8">
        <v>2.36</v>
      </c>
      <c r="E58" s="12">
        <v>3</v>
      </c>
      <c r="F58" s="8">
        <v>3.33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316</v>
      </c>
      <c r="C59" s="12">
        <v>3</v>
      </c>
      <c r="D59" s="8">
        <v>2.36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233</v>
      </c>
      <c r="C60" s="12">
        <v>3</v>
      </c>
      <c r="D60" s="8">
        <v>2.36</v>
      </c>
      <c r="E60" s="12">
        <v>3</v>
      </c>
      <c r="F60" s="8">
        <v>3.33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197</v>
      </c>
      <c r="C61" s="12">
        <v>3</v>
      </c>
      <c r="D61" s="8">
        <v>2.36</v>
      </c>
      <c r="E61" s="12">
        <v>3</v>
      </c>
      <c r="F61" s="8">
        <v>3.33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175</v>
      </c>
      <c r="C62" s="12">
        <v>2</v>
      </c>
      <c r="D62" s="8">
        <v>1.57</v>
      </c>
      <c r="E62" s="12">
        <v>1</v>
      </c>
      <c r="F62" s="8">
        <v>1.1100000000000001</v>
      </c>
      <c r="G62" s="12">
        <v>1</v>
      </c>
      <c r="H62" s="8">
        <v>3.33</v>
      </c>
      <c r="I62" s="12">
        <v>0</v>
      </c>
    </row>
    <row r="63" spans="2:9" ht="15" customHeight="1" x14ac:dyDescent="0.2">
      <c r="B63" t="s">
        <v>266</v>
      </c>
      <c r="C63" s="12">
        <v>2</v>
      </c>
      <c r="D63" s="8">
        <v>1.57</v>
      </c>
      <c r="E63" s="12">
        <v>2</v>
      </c>
      <c r="F63" s="8">
        <v>2.2200000000000002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279</v>
      </c>
      <c r="C64" s="12">
        <v>2</v>
      </c>
      <c r="D64" s="8">
        <v>1.57</v>
      </c>
      <c r="E64" s="12">
        <v>2</v>
      </c>
      <c r="F64" s="8">
        <v>2.2200000000000002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342</v>
      </c>
      <c r="C65" s="12">
        <v>2</v>
      </c>
      <c r="D65" s="8">
        <v>1.57</v>
      </c>
      <c r="E65" s="12">
        <v>1</v>
      </c>
      <c r="F65" s="8">
        <v>1.1100000000000001</v>
      </c>
      <c r="G65" s="12">
        <v>1</v>
      </c>
      <c r="H65" s="8">
        <v>3.33</v>
      </c>
      <c r="I65" s="12">
        <v>0</v>
      </c>
    </row>
    <row r="66" spans="2:9" ht="15" customHeight="1" x14ac:dyDescent="0.2">
      <c r="B66" t="s">
        <v>211</v>
      </c>
      <c r="C66" s="12">
        <v>2</v>
      </c>
      <c r="D66" s="8">
        <v>1.57</v>
      </c>
      <c r="E66" s="12">
        <v>1</v>
      </c>
      <c r="F66" s="8">
        <v>1.1100000000000001</v>
      </c>
      <c r="G66" s="12">
        <v>1</v>
      </c>
      <c r="H66" s="8">
        <v>3.33</v>
      </c>
      <c r="I66" s="12">
        <v>0</v>
      </c>
    </row>
    <row r="67" spans="2:9" ht="15" customHeight="1" x14ac:dyDescent="0.2">
      <c r="B67" t="s">
        <v>206</v>
      </c>
      <c r="C67" s="12">
        <v>2</v>
      </c>
      <c r="D67" s="8">
        <v>1.57</v>
      </c>
      <c r="E67" s="12">
        <v>0</v>
      </c>
      <c r="F67" s="8">
        <v>0</v>
      </c>
      <c r="G67" s="12">
        <v>2</v>
      </c>
      <c r="H67" s="8">
        <v>6.67</v>
      </c>
      <c r="I67" s="12">
        <v>0</v>
      </c>
    </row>
    <row r="68" spans="2:9" ht="15" customHeight="1" x14ac:dyDescent="0.2">
      <c r="B68" t="s">
        <v>295</v>
      </c>
      <c r="C68" s="12">
        <v>2</v>
      </c>
      <c r="D68" s="8">
        <v>1.57</v>
      </c>
      <c r="E68" s="12">
        <v>2</v>
      </c>
      <c r="F68" s="8">
        <v>2.2200000000000002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205</v>
      </c>
      <c r="C69" s="12">
        <v>2</v>
      </c>
      <c r="D69" s="8">
        <v>1.57</v>
      </c>
      <c r="E69" s="12">
        <v>2</v>
      </c>
      <c r="F69" s="8">
        <v>2.2200000000000002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219</v>
      </c>
      <c r="C70" s="12">
        <v>2</v>
      </c>
      <c r="D70" s="8">
        <v>1.57</v>
      </c>
      <c r="E70" s="12">
        <v>2</v>
      </c>
      <c r="F70" s="8">
        <v>2.2200000000000002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194</v>
      </c>
      <c r="C71" s="12">
        <v>2</v>
      </c>
      <c r="D71" s="8">
        <v>1.57</v>
      </c>
      <c r="E71" s="12">
        <v>1</v>
      </c>
      <c r="F71" s="8">
        <v>1.1100000000000001</v>
      </c>
      <c r="G71" s="12">
        <v>1</v>
      </c>
      <c r="H71" s="8">
        <v>3.33</v>
      </c>
      <c r="I71" s="12">
        <v>0</v>
      </c>
    </row>
    <row r="72" spans="2:9" ht="15" customHeight="1" x14ac:dyDescent="0.2">
      <c r="B72" t="s">
        <v>216</v>
      </c>
      <c r="C72" s="12">
        <v>2</v>
      </c>
      <c r="D72" s="8">
        <v>1.57</v>
      </c>
      <c r="E72" s="12">
        <v>0</v>
      </c>
      <c r="F72" s="8">
        <v>0</v>
      </c>
      <c r="G72" s="12">
        <v>2</v>
      </c>
      <c r="H72" s="8">
        <v>6.67</v>
      </c>
      <c r="I72" s="12">
        <v>0</v>
      </c>
    </row>
    <row r="73" spans="2:9" ht="15" customHeight="1" x14ac:dyDescent="0.2">
      <c r="B73" t="s">
        <v>181</v>
      </c>
      <c r="C73" s="12">
        <v>2</v>
      </c>
      <c r="D73" s="8">
        <v>1.57</v>
      </c>
      <c r="E73" s="12">
        <v>2</v>
      </c>
      <c r="F73" s="8">
        <v>2.2200000000000002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182</v>
      </c>
      <c r="C74" s="12">
        <v>2</v>
      </c>
      <c r="D74" s="8">
        <v>1.57</v>
      </c>
      <c r="E74" s="12">
        <v>2</v>
      </c>
      <c r="F74" s="8">
        <v>2.2200000000000002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228</v>
      </c>
      <c r="C75" s="12">
        <v>2</v>
      </c>
      <c r="D75" s="8">
        <v>1.57</v>
      </c>
      <c r="E75" s="12">
        <v>2</v>
      </c>
      <c r="F75" s="8">
        <v>2.2200000000000002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223</v>
      </c>
      <c r="C76" s="12">
        <v>2</v>
      </c>
      <c r="D76" s="8">
        <v>1.57</v>
      </c>
      <c r="E76" s="12">
        <v>0</v>
      </c>
      <c r="F76" s="8">
        <v>0</v>
      </c>
      <c r="G76" s="12">
        <v>1</v>
      </c>
      <c r="H76" s="8">
        <v>3.33</v>
      </c>
      <c r="I76" s="12">
        <v>0</v>
      </c>
    </row>
    <row r="77" spans="2:9" ht="15" customHeight="1" x14ac:dyDescent="0.2">
      <c r="B77" t="s">
        <v>217</v>
      </c>
      <c r="C77" s="12">
        <v>2</v>
      </c>
      <c r="D77" s="8">
        <v>1.57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9" spans="2:9" ht="15" customHeight="1" x14ac:dyDescent="0.2">
      <c r="B79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22193-7926-4BEA-8ED3-B344D5063BA9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430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1</v>
      </c>
      <c r="D5" s="8">
        <v>0.3</v>
      </c>
      <c r="E5" s="12">
        <v>1</v>
      </c>
      <c r="F5" s="8">
        <v>0.46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72</v>
      </c>
      <c r="D6" s="8">
        <v>21.88</v>
      </c>
      <c r="E6" s="12">
        <v>43</v>
      </c>
      <c r="F6" s="8">
        <v>19.63</v>
      </c>
      <c r="G6" s="12">
        <v>29</v>
      </c>
      <c r="H6" s="8">
        <v>28.43</v>
      </c>
      <c r="I6" s="12">
        <v>0</v>
      </c>
    </row>
    <row r="7" spans="2:9" ht="15" customHeight="1" x14ac:dyDescent="0.2">
      <c r="B7" t="s">
        <v>80</v>
      </c>
      <c r="C7" s="12">
        <v>26</v>
      </c>
      <c r="D7" s="8">
        <v>7.9</v>
      </c>
      <c r="E7" s="12">
        <v>17</v>
      </c>
      <c r="F7" s="8">
        <v>7.76</v>
      </c>
      <c r="G7" s="12">
        <v>9</v>
      </c>
      <c r="H7" s="8">
        <v>8.82</v>
      </c>
      <c r="I7" s="12">
        <v>0</v>
      </c>
    </row>
    <row r="8" spans="2:9" ht="15" customHeight="1" x14ac:dyDescent="0.2">
      <c r="B8" t="s">
        <v>81</v>
      </c>
      <c r="C8" s="12">
        <v>2</v>
      </c>
      <c r="D8" s="8">
        <v>0.61</v>
      </c>
      <c r="E8" s="12">
        <v>1</v>
      </c>
      <c r="F8" s="8">
        <v>0.46</v>
      </c>
      <c r="G8" s="12">
        <v>1</v>
      </c>
      <c r="H8" s="8">
        <v>0.98</v>
      </c>
      <c r="I8" s="12">
        <v>0</v>
      </c>
    </row>
    <row r="9" spans="2:9" ht="15" customHeight="1" x14ac:dyDescent="0.2">
      <c r="B9" t="s">
        <v>82</v>
      </c>
      <c r="C9" s="12">
        <v>3</v>
      </c>
      <c r="D9" s="8">
        <v>0.91</v>
      </c>
      <c r="E9" s="12">
        <v>2</v>
      </c>
      <c r="F9" s="8">
        <v>0.91</v>
      </c>
      <c r="G9" s="12">
        <v>1</v>
      </c>
      <c r="H9" s="8">
        <v>0.98</v>
      </c>
      <c r="I9" s="12">
        <v>0</v>
      </c>
    </row>
    <row r="10" spans="2:9" ht="15" customHeight="1" x14ac:dyDescent="0.2">
      <c r="B10" t="s">
        <v>83</v>
      </c>
      <c r="C10" s="12">
        <v>7</v>
      </c>
      <c r="D10" s="8">
        <v>2.13</v>
      </c>
      <c r="E10" s="12">
        <v>5</v>
      </c>
      <c r="F10" s="8">
        <v>2.2799999999999998</v>
      </c>
      <c r="G10" s="12">
        <v>1</v>
      </c>
      <c r="H10" s="8">
        <v>0.98</v>
      </c>
      <c r="I10" s="12">
        <v>1</v>
      </c>
    </row>
    <row r="11" spans="2:9" ht="15" customHeight="1" x14ac:dyDescent="0.2">
      <c r="B11" t="s">
        <v>84</v>
      </c>
      <c r="C11" s="12">
        <v>71</v>
      </c>
      <c r="D11" s="8">
        <v>21.58</v>
      </c>
      <c r="E11" s="12">
        <v>44</v>
      </c>
      <c r="F11" s="8">
        <v>20.09</v>
      </c>
      <c r="G11" s="12">
        <v>27</v>
      </c>
      <c r="H11" s="8">
        <v>26.47</v>
      </c>
      <c r="I11" s="12">
        <v>0</v>
      </c>
    </row>
    <row r="12" spans="2:9" ht="15" customHeight="1" x14ac:dyDescent="0.2">
      <c r="B12" t="s">
        <v>85</v>
      </c>
      <c r="C12" s="12">
        <v>3</v>
      </c>
      <c r="D12" s="8">
        <v>0.91</v>
      </c>
      <c r="E12" s="12">
        <v>1</v>
      </c>
      <c r="F12" s="8">
        <v>0.46</v>
      </c>
      <c r="G12" s="12">
        <v>1</v>
      </c>
      <c r="H12" s="8">
        <v>0.98</v>
      </c>
      <c r="I12" s="12">
        <v>0</v>
      </c>
    </row>
    <row r="13" spans="2:9" ht="15" customHeight="1" x14ac:dyDescent="0.2">
      <c r="B13" t="s">
        <v>86</v>
      </c>
      <c r="C13" s="12">
        <v>10</v>
      </c>
      <c r="D13" s="8">
        <v>3.04</v>
      </c>
      <c r="E13" s="12">
        <v>3</v>
      </c>
      <c r="F13" s="8">
        <v>1.37</v>
      </c>
      <c r="G13" s="12">
        <v>7</v>
      </c>
      <c r="H13" s="8">
        <v>6.86</v>
      </c>
      <c r="I13" s="12">
        <v>0</v>
      </c>
    </row>
    <row r="14" spans="2:9" ht="15" customHeight="1" x14ac:dyDescent="0.2">
      <c r="B14" t="s">
        <v>87</v>
      </c>
      <c r="C14" s="12">
        <v>19</v>
      </c>
      <c r="D14" s="8">
        <v>5.78</v>
      </c>
      <c r="E14" s="12">
        <v>12</v>
      </c>
      <c r="F14" s="8">
        <v>5.48</v>
      </c>
      <c r="G14" s="12">
        <v>6</v>
      </c>
      <c r="H14" s="8">
        <v>5.88</v>
      </c>
      <c r="I14" s="12">
        <v>1</v>
      </c>
    </row>
    <row r="15" spans="2:9" ht="15" customHeight="1" x14ac:dyDescent="0.2">
      <c r="B15" t="s">
        <v>88</v>
      </c>
      <c r="C15" s="12">
        <v>25</v>
      </c>
      <c r="D15" s="8">
        <v>7.6</v>
      </c>
      <c r="E15" s="12">
        <v>24</v>
      </c>
      <c r="F15" s="8">
        <v>10.96</v>
      </c>
      <c r="G15" s="12">
        <v>1</v>
      </c>
      <c r="H15" s="8">
        <v>0.98</v>
      </c>
      <c r="I15" s="12">
        <v>0</v>
      </c>
    </row>
    <row r="16" spans="2:9" ht="15" customHeight="1" x14ac:dyDescent="0.2">
      <c r="B16" t="s">
        <v>89</v>
      </c>
      <c r="C16" s="12">
        <v>44</v>
      </c>
      <c r="D16" s="8">
        <v>13.37</v>
      </c>
      <c r="E16" s="12">
        <v>34</v>
      </c>
      <c r="F16" s="8">
        <v>15.53</v>
      </c>
      <c r="G16" s="12">
        <v>8</v>
      </c>
      <c r="H16" s="8">
        <v>7.84</v>
      </c>
      <c r="I16" s="12">
        <v>1</v>
      </c>
    </row>
    <row r="17" spans="2:9" ht="15" customHeight="1" x14ac:dyDescent="0.2">
      <c r="B17" t="s">
        <v>90</v>
      </c>
      <c r="C17" s="12">
        <v>18</v>
      </c>
      <c r="D17" s="8">
        <v>5.47</v>
      </c>
      <c r="E17" s="12">
        <v>14</v>
      </c>
      <c r="F17" s="8">
        <v>6.39</v>
      </c>
      <c r="G17" s="12">
        <v>2</v>
      </c>
      <c r="H17" s="8">
        <v>1.96</v>
      </c>
      <c r="I17" s="12">
        <v>0</v>
      </c>
    </row>
    <row r="18" spans="2:9" ht="15" customHeight="1" x14ac:dyDescent="0.2">
      <c r="B18" t="s">
        <v>91</v>
      </c>
      <c r="C18" s="12">
        <v>17</v>
      </c>
      <c r="D18" s="8">
        <v>5.17</v>
      </c>
      <c r="E18" s="12">
        <v>12</v>
      </c>
      <c r="F18" s="8">
        <v>5.48</v>
      </c>
      <c r="G18" s="12">
        <v>5</v>
      </c>
      <c r="H18" s="8">
        <v>4.9000000000000004</v>
      </c>
      <c r="I18" s="12">
        <v>0</v>
      </c>
    </row>
    <row r="19" spans="2:9" ht="15" customHeight="1" x14ac:dyDescent="0.2">
      <c r="B19" t="s">
        <v>92</v>
      </c>
      <c r="C19" s="12">
        <v>11</v>
      </c>
      <c r="D19" s="8">
        <v>3.34</v>
      </c>
      <c r="E19" s="12">
        <v>6</v>
      </c>
      <c r="F19" s="8">
        <v>2.74</v>
      </c>
      <c r="G19" s="12">
        <v>4</v>
      </c>
      <c r="H19" s="8">
        <v>3.92</v>
      </c>
      <c r="I19" s="12">
        <v>0</v>
      </c>
    </row>
    <row r="20" spans="2:9" ht="15" customHeight="1" x14ac:dyDescent="0.2">
      <c r="B20" s="9" t="s">
        <v>363</v>
      </c>
      <c r="C20" s="12">
        <f>SUM(LTBL_20481[総数／事業所数])</f>
        <v>329</v>
      </c>
      <c r="E20" s="12">
        <f>SUBTOTAL(109,LTBL_20481[個人／事業所数])</f>
        <v>219</v>
      </c>
      <c r="G20" s="12">
        <f>SUBTOTAL(109,LTBL_20481[法人／事業所数])</f>
        <v>102</v>
      </c>
      <c r="I20" s="12">
        <f>SUBTOTAL(109,LTBL_20481[法人以外の団体／事業所数])</f>
        <v>3</v>
      </c>
    </row>
    <row r="21" spans="2:9" ht="15" customHeight="1" x14ac:dyDescent="0.2">
      <c r="E21" s="11">
        <f>LTBL_20481[[#Totals],[個人／事業所数]]/LTBL_20481[[#Totals],[総数／事業所数]]</f>
        <v>0.66565349544072949</v>
      </c>
      <c r="G21" s="11">
        <f>LTBL_20481[[#Totals],[法人／事業所数]]/LTBL_20481[[#Totals],[総数／事業所数]]</f>
        <v>0.3100303951367781</v>
      </c>
      <c r="I21" s="11">
        <f>LTBL_20481[[#Totals],[法人以外の団体／事業所数]]/LTBL_20481[[#Totals],[総数／事業所数]]</f>
        <v>9.11854103343465E-3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116</v>
      </c>
      <c r="C24" s="12">
        <v>35</v>
      </c>
      <c r="D24" s="8">
        <v>10.64</v>
      </c>
      <c r="E24" s="12">
        <v>29</v>
      </c>
      <c r="F24" s="8">
        <v>13.24</v>
      </c>
      <c r="G24" s="12">
        <v>6</v>
      </c>
      <c r="H24" s="8">
        <v>5.88</v>
      </c>
      <c r="I24" s="12">
        <v>0</v>
      </c>
    </row>
    <row r="25" spans="2:9" ht="15" customHeight="1" x14ac:dyDescent="0.2">
      <c r="B25" t="s">
        <v>110</v>
      </c>
      <c r="C25" s="12">
        <v>29</v>
      </c>
      <c r="D25" s="8">
        <v>8.81</v>
      </c>
      <c r="E25" s="12">
        <v>16</v>
      </c>
      <c r="F25" s="8">
        <v>7.31</v>
      </c>
      <c r="G25" s="12">
        <v>13</v>
      </c>
      <c r="H25" s="8">
        <v>12.75</v>
      </c>
      <c r="I25" s="12">
        <v>0</v>
      </c>
    </row>
    <row r="26" spans="2:9" ht="15" customHeight="1" x14ac:dyDescent="0.2">
      <c r="B26" t="s">
        <v>101</v>
      </c>
      <c r="C26" s="12">
        <v>28</v>
      </c>
      <c r="D26" s="8">
        <v>8.51</v>
      </c>
      <c r="E26" s="12">
        <v>13</v>
      </c>
      <c r="F26" s="8">
        <v>5.94</v>
      </c>
      <c r="G26" s="12">
        <v>15</v>
      </c>
      <c r="H26" s="8">
        <v>14.71</v>
      </c>
      <c r="I26" s="12">
        <v>0</v>
      </c>
    </row>
    <row r="27" spans="2:9" ht="15" customHeight="1" x14ac:dyDescent="0.2">
      <c r="B27" t="s">
        <v>102</v>
      </c>
      <c r="C27" s="12">
        <v>26</v>
      </c>
      <c r="D27" s="8">
        <v>7.9</v>
      </c>
      <c r="E27" s="12">
        <v>20</v>
      </c>
      <c r="F27" s="8">
        <v>9.1300000000000008</v>
      </c>
      <c r="G27" s="12">
        <v>6</v>
      </c>
      <c r="H27" s="8">
        <v>5.88</v>
      </c>
      <c r="I27" s="12">
        <v>0</v>
      </c>
    </row>
    <row r="28" spans="2:9" ht="15" customHeight="1" x14ac:dyDescent="0.2">
      <c r="B28" t="s">
        <v>103</v>
      </c>
      <c r="C28" s="12">
        <v>18</v>
      </c>
      <c r="D28" s="8">
        <v>5.47</v>
      </c>
      <c r="E28" s="12">
        <v>10</v>
      </c>
      <c r="F28" s="8">
        <v>4.57</v>
      </c>
      <c r="G28" s="12">
        <v>8</v>
      </c>
      <c r="H28" s="8">
        <v>7.84</v>
      </c>
      <c r="I28" s="12">
        <v>0</v>
      </c>
    </row>
    <row r="29" spans="2:9" ht="15" customHeight="1" x14ac:dyDescent="0.2">
      <c r="B29" t="s">
        <v>115</v>
      </c>
      <c r="C29" s="12">
        <v>18</v>
      </c>
      <c r="D29" s="8">
        <v>5.47</v>
      </c>
      <c r="E29" s="12">
        <v>18</v>
      </c>
      <c r="F29" s="8">
        <v>8.2200000000000006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117</v>
      </c>
      <c r="C30" s="12">
        <v>18</v>
      </c>
      <c r="D30" s="8">
        <v>5.47</v>
      </c>
      <c r="E30" s="12">
        <v>14</v>
      </c>
      <c r="F30" s="8">
        <v>6.39</v>
      </c>
      <c r="G30" s="12">
        <v>2</v>
      </c>
      <c r="H30" s="8">
        <v>1.96</v>
      </c>
      <c r="I30" s="12">
        <v>0</v>
      </c>
    </row>
    <row r="31" spans="2:9" ht="15" customHeight="1" x14ac:dyDescent="0.2">
      <c r="B31" t="s">
        <v>108</v>
      </c>
      <c r="C31" s="12">
        <v>16</v>
      </c>
      <c r="D31" s="8">
        <v>4.8600000000000003</v>
      </c>
      <c r="E31" s="12">
        <v>13</v>
      </c>
      <c r="F31" s="8">
        <v>5.94</v>
      </c>
      <c r="G31" s="12">
        <v>3</v>
      </c>
      <c r="H31" s="8">
        <v>2.94</v>
      </c>
      <c r="I31" s="12">
        <v>0</v>
      </c>
    </row>
    <row r="32" spans="2:9" ht="15" customHeight="1" x14ac:dyDescent="0.2">
      <c r="B32" t="s">
        <v>118</v>
      </c>
      <c r="C32" s="12">
        <v>13</v>
      </c>
      <c r="D32" s="8">
        <v>3.95</v>
      </c>
      <c r="E32" s="12">
        <v>11</v>
      </c>
      <c r="F32" s="8">
        <v>5.0199999999999996</v>
      </c>
      <c r="G32" s="12">
        <v>2</v>
      </c>
      <c r="H32" s="8">
        <v>1.96</v>
      </c>
      <c r="I32" s="12">
        <v>0</v>
      </c>
    </row>
    <row r="33" spans="2:9" ht="15" customHeight="1" x14ac:dyDescent="0.2">
      <c r="B33" t="s">
        <v>112</v>
      </c>
      <c r="C33" s="12">
        <v>10</v>
      </c>
      <c r="D33" s="8">
        <v>3.04</v>
      </c>
      <c r="E33" s="12">
        <v>8</v>
      </c>
      <c r="F33" s="8">
        <v>3.65</v>
      </c>
      <c r="G33" s="12">
        <v>2</v>
      </c>
      <c r="H33" s="8">
        <v>1.96</v>
      </c>
      <c r="I33" s="12">
        <v>0</v>
      </c>
    </row>
    <row r="34" spans="2:9" ht="15" customHeight="1" x14ac:dyDescent="0.2">
      <c r="B34" t="s">
        <v>107</v>
      </c>
      <c r="C34" s="12">
        <v>8</v>
      </c>
      <c r="D34" s="8">
        <v>2.4300000000000002</v>
      </c>
      <c r="E34" s="12">
        <v>3</v>
      </c>
      <c r="F34" s="8">
        <v>1.37</v>
      </c>
      <c r="G34" s="12">
        <v>5</v>
      </c>
      <c r="H34" s="8">
        <v>4.9000000000000004</v>
      </c>
      <c r="I34" s="12">
        <v>0</v>
      </c>
    </row>
    <row r="35" spans="2:9" ht="15" customHeight="1" x14ac:dyDescent="0.2">
      <c r="B35" t="s">
        <v>109</v>
      </c>
      <c r="C35" s="12">
        <v>8</v>
      </c>
      <c r="D35" s="8">
        <v>2.4300000000000002</v>
      </c>
      <c r="E35" s="12">
        <v>5</v>
      </c>
      <c r="F35" s="8">
        <v>2.2799999999999998</v>
      </c>
      <c r="G35" s="12">
        <v>3</v>
      </c>
      <c r="H35" s="8">
        <v>2.94</v>
      </c>
      <c r="I35" s="12">
        <v>0</v>
      </c>
    </row>
    <row r="36" spans="2:9" ht="15" customHeight="1" x14ac:dyDescent="0.2">
      <c r="B36" t="s">
        <v>111</v>
      </c>
      <c r="C36" s="12">
        <v>8</v>
      </c>
      <c r="D36" s="8">
        <v>2.4300000000000002</v>
      </c>
      <c r="E36" s="12">
        <v>3</v>
      </c>
      <c r="F36" s="8">
        <v>1.37</v>
      </c>
      <c r="G36" s="12">
        <v>5</v>
      </c>
      <c r="H36" s="8">
        <v>4.9000000000000004</v>
      </c>
      <c r="I36" s="12">
        <v>0</v>
      </c>
    </row>
    <row r="37" spans="2:9" ht="15" customHeight="1" x14ac:dyDescent="0.2">
      <c r="B37" t="s">
        <v>113</v>
      </c>
      <c r="C37" s="12">
        <v>7</v>
      </c>
      <c r="D37" s="8">
        <v>2.13</v>
      </c>
      <c r="E37" s="12">
        <v>4</v>
      </c>
      <c r="F37" s="8">
        <v>1.83</v>
      </c>
      <c r="G37" s="12">
        <v>2</v>
      </c>
      <c r="H37" s="8">
        <v>1.96</v>
      </c>
      <c r="I37" s="12">
        <v>1</v>
      </c>
    </row>
    <row r="38" spans="2:9" ht="15" customHeight="1" x14ac:dyDescent="0.2">
      <c r="B38" t="s">
        <v>105</v>
      </c>
      <c r="C38" s="12">
        <v>6</v>
      </c>
      <c r="D38" s="8">
        <v>1.82</v>
      </c>
      <c r="E38" s="12">
        <v>2</v>
      </c>
      <c r="F38" s="8">
        <v>0.91</v>
      </c>
      <c r="G38" s="12">
        <v>4</v>
      </c>
      <c r="H38" s="8">
        <v>3.92</v>
      </c>
      <c r="I38" s="12">
        <v>0</v>
      </c>
    </row>
    <row r="39" spans="2:9" ht="15" customHeight="1" x14ac:dyDescent="0.2">
      <c r="B39" t="s">
        <v>145</v>
      </c>
      <c r="C39" s="12">
        <v>5</v>
      </c>
      <c r="D39" s="8">
        <v>1.52</v>
      </c>
      <c r="E39" s="12">
        <v>4</v>
      </c>
      <c r="F39" s="8">
        <v>1.83</v>
      </c>
      <c r="G39" s="12">
        <v>1</v>
      </c>
      <c r="H39" s="8">
        <v>0.98</v>
      </c>
      <c r="I39" s="12">
        <v>0</v>
      </c>
    </row>
    <row r="40" spans="2:9" ht="15" customHeight="1" x14ac:dyDescent="0.2">
      <c r="B40" t="s">
        <v>114</v>
      </c>
      <c r="C40" s="12">
        <v>5</v>
      </c>
      <c r="D40" s="8">
        <v>1.52</v>
      </c>
      <c r="E40" s="12">
        <v>4</v>
      </c>
      <c r="F40" s="8">
        <v>1.83</v>
      </c>
      <c r="G40" s="12">
        <v>1</v>
      </c>
      <c r="H40" s="8">
        <v>0.98</v>
      </c>
      <c r="I40" s="12">
        <v>0</v>
      </c>
    </row>
    <row r="41" spans="2:9" ht="15" customHeight="1" x14ac:dyDescent="0.2">
      <c r="B41" t="s">
        <v>131</v>
      </c>
      <c r="C41" s="12">
        <v>5</v>
      </c>
      <c r="D41" s="8">
        <v>1.52</v>
      </c>
      <c r="E41" s="12">
        <v>4</v>
      </c>
      <c r="F41" s="8">
        <v>1.83</v>
      </c>
      <c r="G41" s="12">
        <v>1</v>
      </c>
      <c r="H41" s="8">
        <v>0.98</v>
      </c>
      <c r="I41" s="12">
        <v>0</v>
      </c>
    </row>
    <row r="42" spans="2:9" ht="15" customHeight="1" x14ac:dyDescent="0.2">
      <c r="B42" t="s">
        <v>133</v>
      </c>
      <c r="C42" s="12">
        <v>4</v>
      </c>
      <c r="D42" s="8">
        <v>1.22</v>
      </c>
      <c r="E42" s="12">
        <v>2</v>
      </c>
      <c r="F42" s="8">
        <v>0.91</v>
      </c>
      <c r="G42" s="12">
        <v>2</v>
      </c>
      <c r="H42" s="8">
        <v>1.96</v>
      </c>
      <c r="I42" s="12">
        <v>0</v>
      </c>
    </row>
    <row r="43" spans="2:9" ht="15" customHeight="1" x14ac:dyDescent="0.2">
      <c r="B43" t="s">
        <v>132</v>
      </c>
      <c r="C43" s="12">
        <v>4</v>
      </c>
      <c r="D43" s="8">
        <v>1.22</v>
      </c>
      <c r="E43" s="12">
        <v>1</v>
      </c>
      <c r="F43" s="8">
        <v>0.46</v>
      </c>
      <c r="G43" s="12">
        <v>1</v>
      </c>
      <c r="H43" s="8">
        <v>0.98</v>
      </c>
      <c r="I43" s="12">
        <v>1</v>
      </c>
    </row>
    <row r="44" spans="2:9" ht="15" customHeight="1" x14ac:dyDescent="0.2">
      <c r="B44" t="s">
        <v>119</v>
      </c>
      <c r="C44" s="12">
        <v>4</v>
      </c>
      <c r="D44" s="8">
        <v>1.22</v>
      </c>
      <c r="E44" s="12">
        <v>1</v>
      </c>
      <c r="F44" s="8">
        <v>0.46</v>
      </c>
      <c r="G44" s="12">
        <v>3</v>
      </c>
      <c r="H44" s="8">
        <v>2.94</v>
      </c>
      <c r="I44" s="12">
        <v>0</v>
      </c>
    </row>
    <row r="45" spans="2:9" ht="15" customHeight="1" x14ac:dyDescent="0.2">
      <c r="B45" t="s">
        <v>147</v>
      </c>
      <c r="C45" s="12">
        <v>4</v>
      </c>
      <c r="D45" s="8">
        <v>1.22</v>
      </c>
      <c r="E45" s="12">
        <v>2</v>
      </c>
      <c r="F45" s="8">
        <v>0.91</v>
      </c>
      <c r="G45" s="12">
        <v>2</v>
      </c>
      <c r="H45" s="8">
        <v>1.96</v>
      </c>
      <c r="I45" s="12">
        <v>0</v>
      </c>
    </row>
    <row r="48" spans="2:9" ht="33" customHeight="1" x14ac:dyDescent="0.2">
      <c r="B48" t="s">
        <v>365</v>
      </c>
      <c r="C48" s="10" t="s">
        <v>94</v>
      </c>
      <c r="D48" s="10" t="s">
        <v>95</v>
      </c>
      <c r="E48" s="10" t="s">
        <v>96</v>
      </c>
      <c r="F48" s="10" t="s">
        <v>97</v>
      </c>
      <c r="G48" s="10" t="s">
        <v>98</v>
      </c>
      <c r="H48" s="10" t="s">
        <v>99</v>
      </c>
      <c r="I48" s="10" t="s">
        <v>100</v>
      </c>
    </row>
    <row r="49" spans="2:9" ht="15" customHeight="1" x14ac:dyDescent="0.2">
      <c r="B49" t="s">
        <v>191</v>
      </c>
      <c r="C49" s="12">
        <v>21</v>
      </c>
      <c r="D49" s="8">
        <v>6.38</v>
      </c>
      <c r="E49" s="12">
        <v>18</v>
      </c>
      <c r="F49" s="8">
        <v>8.2200000000000006</v>
      </c>
      <c r="G49" s="12">
        <v>3</v>
      </c>
      <c r="H49" s="8">
        <v>2.94</v>
      </c>
      <c r="I49" s="12">
        <v>0</v>
      </c>
    </row>
    <row r="50" spans="2:9" ht="15" customHeight="1" x14ac:dyDescent="0.2">
      <c r="B50" t="s">
        <v>192</v>
      </c>
      <c r="C50" s="12">
        <v>12</v>
      </c>
      <c r="D50" s="8">
        <v>3.65</v>
      </c>
      <c r="E50" s="12">
        <v>11</v>
      </c>
      <c r="F50" s="8">
        <v>5.0199999999999996</v>
      </c>
      <c r="G50" s="12">
        <v>1</v>
      </c>
      <c r="H50" s="8">
        <v>0.98</v>
      </c>
      <c r="I50" s="12">
        <v>0</v>
      </c>
    </row>
    <row r="51" spans="2:9" ht="15" customHeight="1" x14ac:dyDescent="0.2">
      <c r="B51" t="s">
        <v>175</v>
      </c>
      <c r="C51" s="12">
        <v>11</v>
      </c>
      <c r="D51" s="8">
        <v>3.34</v>
      </c>
      <c r="E51" s="12">
        <v>5</v>
      </c>
      <c r="F51" s="8">
        <v>2.2799999999999998</v>
      </c>
      <c r="G51" s="12">
        <v>6</v>
      </c>
      <c r="H51" s="8">
        <v>5.88</v>
      </c>
      <c r="I51" s="12">
        <v>0</v>
      </c>
    </row>
    <row r="52" spans="2:9" ht="15" customHeight="1" x14ac:dyDescent="0.2">
      <c r="B52" t="s">
        <v>176</v>
      </c>
      <c r="C52" s="12">
        <v>11</v>
      </c>
      <c r="D52" s="8">
        <v>3.34</v>
      </c>
      <c r="E52" s="12">
        <v>8</v>
      </c>
      <c r="F52" s="8">
        <v>3.65</v>
      </c>
      <c r="G52" s="12">
        <v>3</v>
      </c>
      <c r="H52" s="8">
        <v>2.94</v>
      </c>
      <c r="I52" s="12">
        <v>0</v>
      </c>
    </row>
    <row r="53" spans="2:9" ht="15" customHeight="1" x14ac:dyDescent="0.2">
      <c r="B53" t="s">
        <v>190</v>
      </c>
      <c r="C53" s="12">
        <v>10</v>
      </c>
      <c r="D53" s="8">
        <v>3.04</v>
      </c>
      <c r="E53" s="12">
        <v>8</v>
      </c>
      <c r="F53" s="8">
        <v>3.65</v>
      </c>
      <c r="G53" s="12">
        <v>2</v>
      </c>
      <c r="H53" s="8">
        <v>1.96</v>
      </c>
      <c r="I53" s="12">
        <v>0</v>
      </c>
    </row>
    <row r="54" spans="2:9" ht="15" customHeight="1" x14ac:dyDescent="0.2">
      <c r="B54" t="s">
        <v>193</v>
      </c>
      <c r="C54" s="12">
        <v>10</v>
      </c>
      <c r="D54" s="8">
        <v>3.04</v>
      </c>
      <c r="E54" s="12">
        <v>8</v>
      </c>
      <c r="F54" s="8">
        <v>3.65</v>
      </c>
      <c r="G54" s="12">
        <v>2</v>
      </c>
      <c r="H54" s="8">
        <v>1.96</v>
      </c>
      <c r="I54" s="12">
        <v>0</v>
      </c>
    </row>
    <row r="55" spans="2:9" ht="15" customHeight="1" x14ac:dyDescent="0.2">
      <c r="B55" t="s">
        <v>178</v>
      </c>
      <c r="C55" s="12">
        <v>9</v>
      </c>
      <c r="D55" s="8">
        <v>2.74</v>
      </c>
      <c r="E55" s="12">
        <v>3</v>
      </c>
      <c r="F55" s="8">
        <v>1.37</v>
      </c>
      <c r="G55" s="12">
        <v>6</v>
      </c>
      <c r="H55" s="8">
        <v>5.88</v>
      </c>
      <c r="I55" s="12">
        <v>0</v>
      </c>
    </row>
    <row r="56" spans="2:9" ht="15" customHeight="1" x14ac:dyDescent="0.2">
      <c r="B56" t="s">
        <v>177</v>
      </c>
      <c r="C56" s="12">
        <v>8</v>
      </c>
      <c r="D56" s="8">
        <v>2.4300000000000002</v>
      </c>
      <c r="E56" s="12">
        <v>7</v>
      </c>
      <c r="F56" s="8">
        <v>3.2</v>
      </c>
      <c r="G56" s="12">
        <v>1</v>
      </c>
      <c r="H56" s="8">
        <v>0.98</v>
      </c>
      <c r="I56" s="12">
        <v>0</v>
      </c>
    </row>
    <row r="57" spans="2:9" ht="15" customHeight="1" x14ac:dyDescent="0.2">
      <c r="B57" t="s">
        <v>197</v>
      </c>
      <c r="C57" s="12">
        <v>8</v>
      </c>
      <c r="D57" s="8">
        <v>2.4300000000000002</v>
      </c>
      <c r="E57" s="12">
        <v>7</v>
      </c>
      <c r="F57" s="8">
        <v>3.2</v>
      </c>
      <c r="G57" s="12">
        <v>1</v>
      </c>
      <c r="H57" s="8">
        <v>0.98</v>
      </c>
      <c r="I57" s="12">
        <v>0</v>
      </c>
    </row>
    <row r="58" spans="2:9" ht="15" customHeight="1" x14ac:dyDescent="0.2">
      <c r="B58" t="s">
        <v>194</v>
      </c>
      <c r="C58" s="12">
        <v>8</v>
      </c>
      <c r="D58" s="8">
        <v>2.4300000000000002</v>
      </c>
      <c r="E58" s="12">
        <v>4</v>
      </c>
      <c r="F58" s="8">
        <v>1.83</v>
      </c>
      <c r="G58" s="12">
        <v>4</v>
      </c>
      <c r="H58" s="8">
        <v>3.92</v>
      </c>
      <c r="I58" s="12">
        <v>0</v>
      </c>
    </row>
    <row r="59" spans="2:9" ht="15" customHeight="1" x14ac:dyDescent="0.2">
      <c r="B59" t="s">
        <v>210</v>
      </c>
      <c r="C59" s="12">
        <v>6</v>
      </c>
      <c r="D59" s="8">
        <v>1.82</v>
      </c>
      <c r="E59" s="12">
        <v>6</v>
      </c>
      <c r="F59" s="8">
        <v>2.74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222</v>
      </c>
      <c r="C60" s="12">
        <v>6</v>
      </c>
      <c r="D60" s="8">
        <v>1.82</v>
      </c>
      <c r="E60" s="12">
        <v>6</v>
      </c>
      <c r="F60" s="8">
        <v>2.74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181</v>
      </c>
      <c r="C61" s="12">
        <v>6</v>
      </c>
      <c r="D61" s="8">
        <v>1.82</v>
      </c>
      <c r="E61" s="12">
        <v>3</v>
      </c>
      <c r="F61" s="8">
        <v>1.37</v>
      </c>
      <c r="G61" s="12">
        <v>3</v>
      </c>
      <c r="H61" s="8">
        <v>2.94</v>
      </c>
      <c r="I61" s="12">
        <v>0</v>
      </c>
    </row>
    <row r="62" spans="2:9" ht="15" customHeight="1" x14ac:dyDescent="0.2">
      <c r="B62" t="s">
        <v>201</v>
      </c>
      <c r="C62" s="12">
        <v>5</v>
      </c>
      <c r="D62" s="8">
        <v>1.52</v>
      </c>
      <c r="E62" s="12">
        <v>5</v>
      </c>
      <c r="F62" s="8">
        <v>2.2799999999999998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261</v>
      </c>
      <c r="C63" s="12">
        <v>5</v>
      </c>
      <c r="D63" s="8">
        <v>1.52</v>
      </c>
      <c r="E63" s="12">
        <v>2</v>
      </c>
      <c r="F63" s="8">
        <v>0.91</v>
      </c>
      <c r="G63" s="12">
        <v>3</v>
      </c>
      <c r="H63" s="8">
        <v>2.94</v>
      </c>
      <c r="I63" s="12">
        <v>0</v>
      </c>
    </row>
    <row r="64" spans="2:9" ht="15" customHeight="1" x14ac:dyDescent="0.2">
      <c r="B64" t="s">
        <v>183</v>
      </c>
      <c r="C64" s="12">
        <v>5</v>
      </c>
      <c r="D64" s="8">
        <v>1.52</v>
      </c>
      <c r="E64" s="12">
        <v>1</v>
      </c>
      <c r="F64" s="8">
        <v>0.46</v>
      </c>
      <c r="G64" s="12">
        <v>4</v>
      </c>
      <c r="H64" s="8">
        <v>3.92</v>
      </c>
      <c r="I64" s="12">
        <v>0</v>
      </c>
    </row>
    <row r="65" spans="2:9" ht="15" customHeight="1" x14ac:dyDescent="0.2">
      <c r="B65" t="s">
        <v>184</v>
      </c>
      <c r="C65" s="12">
        <v>5</v>
      </c>
      <c r="D65" s="8">
        <v>1.52</v>
      </c>
      <c r="E65" s="12">
        <v>3</v>
      </c>
      <c r="F65" s="8">
        <v>1.37</v>
      </c>
      <c r="G65" s="12">
        <v>2</v>
      </c>
      <c r="H65" s="8">
        <v>1.96</v>
      </c>
      <c r="I65" s="12">
        <v>0</v>
      </c>
    </row>
    <row r="66" spans="2:9" ht="15" customHeight="1" x14ac:dyDescent="0.2">
      <c r="B66" t="s">
        <v>187</v>
      </c>
      <c r="C66" s="12">
        <v>5</v>
      </c>
      <c r="D66" s="8">
        <v>1.52</v>
      </c>
      <c r="E66" s="12">
        <v>5</v>
      </c>
      <c r="F66" s="8">
        <v>2.2799999999999998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220</v>
      </c>
      <c r="C67" s="12">
        <v>5</v>
      </c>
      <c r="D67" s="8">
        <v>1.52</v>
      </c>
      <c r="E67" s="12">
        <v>5</v>
      </c>
      <c r="F67" s="8">
        <v>2.2799999999999998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174</v>
      </c>
      <c r="C68" s="12">
        <v>4</v>
      </c>
      <c r="D68" s="8">
        <v>1.22</v>
      </c>
      <c r="E68" s="12">
        <v>0</v>
      </c>
      <c r="F68" s="8">
        <v>0</v>
      </c>
      <c r="G68" s="12">
        <v>4</v>
      </c>
      <c r="H68" s="8">
        <v>3.92</v>
      </c>
      <c r="I68" s="12">
        <v>0</v>
      </c>
    </row>
    <row r="69" spans="2:9" ht="15" customHeight="1" x14ac:dyDescent="0.2">
      <c r="B69" t="s">
        <v>204</v>
      </c>
      <c r="C69" s="12">
        <v>4</v>
      </c>
      <c r="D69" s="8">
        <v>1.22</v>
      </c>
      <c r="E69" s="12">
        <v>2</v>
      </c>
      <c r="F69" s="8">
        <v>0.91</v>
      </c>
      <c r="G69" s="12">
        <v>2</v>
      </c>
      <c r="H69" s="8">
        <v>1.96</v>
      </c>
      <c r="I69" s="12">
        <v>0</v>
      </c>
    </row>
    <row r="70" spans="2:9" ht="15" customHeight="1" x14ac:dyDescent="0.2">
      <c r="B70" t="s">
        <v>216</v>
      </c>
      <c r="C70" s="12">
        <v>4</v>
      </c>
      <c r="D70" s="8">
        <v>1.22</v>
      </c>
      <c r="E70" s="12">
        <v>0</v>
      </c>
      <c r="F70" s="8">
        <v>0</v>
      </c>
      <c r="G70" s="12">
        <v>4</v>
      </c>
      <c r="H70" s="8">
        <v>3.92</v>
      </c>
      <c r="I70" s="12">
        <v>0</v>
      </c>
    </row>
    <row r="71" spans="2:9" ht="15" customHeight="1" x14ac:dyDescent="0.2">
      <c r="B71" t="s">
        <v>242</v>
      </c>
      <c r="C71" s="12">
        <v>4</v>
      </c>
      <c r="D71" s="8">
        <v>1.22</v>
      </c>
      <c r="E71" s="12">
        <v>2</v>
      </c>
      <c r="F71" s="8">
        <v>0.91</v>
      </c>
      <c r="G71" s="12">
        <v>2</v>
      </c>
      <c r="H71" s="8">
        <v>1.96</v>
      </c>
      <c r="I71" s="12">
        <v>0</v>
      </c>
    </row>
    <row r="72" spans="2:9" ht="15" customHeight="1" x14ac:dyDescent="0.2">
      <c r="B72" t="s">
        <v>198</v>
      </c>
      <c r="C72" s="12">
        <v>4</v>
      </c>
      <c r="D72" s="8">
        <v>1.22</v>
      </c>
      <c r="E72" s="12">
        <v>4</v>
      </c>
      <c r="F72" s="8">
        <v>1.83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250</v>
      </c>
      <c r="C73" s="12">
        <v>4</v>
      </c>
      <c r="D73" s="8">
        <v>1.22</v>
      </c>
      <c r="E73" s="12">
        <v>2</v>
      </c>
      <c r="F73" s="8">
        <v>0.91</v>
      </c>
      <c r="G73" s="12">
        <v>2</v>
      </c>
      <c r="H73" s="8">
        <v>1.96</v>
      </c>
      <c r="I73" s="12">
        <v>0</v>
      </c>
    </row>
    <row r="75" spans="2:9" ht="15" customHeight="1" x14ac:dyDescent="0.2">
      <c r="B75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1D554-0FE3-44C2-BD77-EF3D865BF15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368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796</v>
      </c>
      <c r="D6" s="8">
        <v>10.83</v>
      </c>
      <c r="E6" s="12">
        <v>169</v>
      </c>
      <c r="F6" s="8">
        <v>4.6900000000000004</v>
      </c>
      <c r="G6" s="12">
        <v>627</v>
      </c>
      <c r="H6" s="8">
        <v>17.28</v>
      </c>
      <c r="I6" s="12">
        <v>0</v>
      </c>
    </row>
    <row r="7" spans="2:9" ht="15" customHeight="1" x14ac:dyDescent="0.2">
      <c r="B7" t="s">
        <v>80</v>
      </c>
      <c r="C7" s="12">
        <v>445</v>
      </c>
      <c r="D7" s="8">
        <v>6.05</v>
      </c>
      <c r="E7" s="12">
        <v>140</v>
      </c>
      <c r="F7" s="8">
        <v>3.88</v>
      </c>
      <c r="G7" s="12">
        <v>305</v>
      </c>
      <c r="H7" s="8">
        <v>8.4</v>
      </c>
      <c r="I7" s="12">
        <v>0</v>
      </c>
    </row>
    <row r="8" spans="2:9" ht="15" customHeight="1" x14ac:dyDescent="0.2">
      <c r="B8" t="s">
        <v>81</v>
      </c>
      <c r="C8" s="12">
        <v>12</v>
      </c>
      <c r="D8" s="8">
        <v>0.16</v>
      </c>
      <c r="E8" s="12">
        <v>1</v>
      </c>
      <c r="F8" s="8">
        <v>0.03</v>
      </c>
      <c r="G8" s="12">
        <v>10</v>
      </c>
      <c r="H8" s="8">
        <v>0.28000000000000003</v>
      </c>
      <c r="I8" s="12">
        <v>0</v>
      </c>
    </row>
    <row r="9" spans="2:9" ht="15" customHeight="1" x14ac:dyDescent="0.2">
      <c r="B9" t="s">
        <v>82</v>
      </c>
      <c r="C9" s="12">
        <v>77</v>
      </c>
      <c r="D9" s="8">
        <v>1.05</v>
      </c>
      <c r="E9" s="12">
        <v>4</v>
      </c>
      <c r="F9" s="8">
        <v>0.11</v>
      </c>
      <c r="G9" s="12">
        <v>73</v>
      </c>
      <c r="H9" s="8">
        <v>2.0099999999999998</v>
      </c>
      <c r="I9" s="12">
        <v>0</v>
      </c>
    </row>
    <row r="10" spans="2:9" ht="15" customHeight="1" x14ac:dyDescent="0.2">
      <c r="B10" t="s">
        <v>83</v>
      </c>
      <c r="C10" s="12">
        <v>63</v>
      </c>
      <c r="D10" s="8">
        <v>0.86</v>
      </c>
      <c r="E10" s="12">
        <v>9</v>
      </c>
      <c r="F10" s="8">
        <v>0.25</v>
      </c>
      <c r="G10" s="12">
        <v>51</v>
      </c>
      <c r="H10" s="8">
        <v>1.41</v>
      </c>
      <c r="I10" s="12">
        <v>3</v>
      </c>
    </row>
    <row r="11" spans="2:9" ht="15" customHeight="1" x14ac:dyDescent="0.2">
      <c r="B11" t="s">
        <v>84</v>
      </c>
      <c r="C11" s="12">
        <v>1651</v>
      </c>
      <c r="D11" s="8">
        <v>22.46</v>
      </c>
      <c r="E11" s="12">
        <v>600</v>
      </c>
      <c r="F11" s="8">
        <v>16.63</v>
      </c>
      <c r="G11" s="12">
        <v>1049</v>
      </c>
      <c r="H11" s="8">
        <v>28.91</v>
      </c>
      <c r="I11" s="12">
        <v>2</v>
      </c>
    </row>
    <row r="12" spans="2:9" ht="15" customHeight="1" x14ac:dyDescent="0.2">
      <c r="B12" t="s">
        <v>85</v>
      </c>
      <c r="C12" s="12">
        <v>56</v>
      </c>
      <c r="D12" s="8">
        <v>0.76</v>
      </c>
      <c r="E12" s="12">
        <v>7</v>
      </c>
      <c r="F12" s="8">
        <v>0.19</v>
      </c>
      <c r="G12" s="12">
        <v>49</v>
      </c>
      <c r="H12" s="8">
        <v>1.35</v>
      </c>
      <c r="I12" s="12">
        <v>0</v>
      </c>
    </row>
    <row r="13" spans="2:9" ht="15" customHeight="1" x14ac:dyDescent="0.2">
      <c r="B13" t="s">
        <v>86</v>
      </c>
      <c r="C13" s="12">
        <v>932</v>
      </c>
      <c r="D13" s="8">
        <v>12.68</v>
      </c>
      <c r="E13" s="12">
        <v>492</v>
      </c>
      <c r="F13" s="8">
        <v>13.64</v>
      </c>
      <c r="G13" s="12">
        <v>439</v>
      </c>
      <c r="H13" s="8">
        <v>12.1</v>
      </c>
      <c r="I13" s="12">
        <v>1</v>
      </c>
    </row>
    <row r="14" spans="2:9" ht="15" customHeight="1" x14ac:dyDescent="0.2">
      <c r="B14" t="s">
        <v>87</v>
      </c>
      <c r="C14" s="12">
        <v>389</v>
      </c>
      <c r="D14" s="8">
        <v>5.29</v>
      </c>
      <c r="E14" s="12">
        <v>190</v>
      </c>
      <c r="F14" s="8">
        <v>5.27</v>
      </c>
      <c r="G14" s="12">
        <v>193</v>
      </c>
      <c r="H14" s="8">
        <v>5.32</v>
      </c>
      <c r="I14" s="12">
        <v>2</v>
      </c>
    </row>
    <row r="15" spans="2:9" ht="15" customHeight="1" x14ac:dyDescent="0.2">
      <c r="B15" t="s">
        <v>88</v>
      </c>
      <c r="C15" s="12">
        <v>1131</v>
      </c>
      <c r="D15" s="8">
        <v>15.39</v>
      </c>
      <c r="E15" s="12">
        <v>896</v>
      </c>
      <c r="F15" s="8">
        <v>24.84</v>
      </c>
      <c r="G15" s="12">
        <v>234</v>
      </c>
      <c r="H15" s="8">
        <v>6.45</v>
      </c>
      <c r="I15" s="12">
        <v>1</v>
      </c>
    </row>
    <row r="16" spans="2:9" ht="15" customHeight="1" x14ac:dyDescent="0.2">
      <c r="B16" t="s">
        <v>89</v>
      </c>
      <c r="C16" s="12">
        <v>831</v>
      </c>
      <c r="D16" s="8">
        <v>11.31</v>
      </c>
      <c r="E16" s="12">
        <v>616</v>
      </c>
      <c r="F16" s="8">
        <v>17.079999999999998</v>
      </c>
      <c r="G16" s="12">
        <v>211</v>
      </c>
      <c r="H16" s="8">
        <v>5.81</v>
      </c>
      <c r="I16" s="12">
        <v>2</v>
      </c>
    </row>
    <row r="17" spans="2:9" ht="15" customHeight="1" x14ac:dyDescent="0.2">
      <c r="B17" t="s">
        <v>90</v>
      </c>
      <c r="C17" s="12">
        <v>311</v>
      </c>
      <c r="D17" s="8">
        <v>4.2300000000000004</v>
      </c>
      <c r="E17" s="12">
        <v>183</v>
      </c>
      <c r="F17" s="8">
        <v>5.07</v>
      </c>
      <c r="G17" s="12">
        <v>85</v>
      </c>
      <c r="H17" s="8">
        <v>2.34</v>
      </c>
      <c r="I17" s="12">
        <v>1</v>
      </c>
    </row>
    <row r="18" spans="2:9" ht="15" customHeight="1" x14ac:dyDescent="0.2">
      <c r="B18" t="s">
        <v>91</v>
      </c>
      <c r="C18" s="12">
        <v>382</v>
      </c>
      <c r="D18" s="8">
        <v>5.2</v>
      </c>
      <c r="E18" s="12">
        <v>219</v>
      </c>
      <c r="F18" s="8">
        <v>6.07</v>
      </c>
      <c r="G18" s="12">
        <v>122</v>
      </c>
      <c r="H18" s="8">
        <v>3.36</v>
      </c>
      <c r="I18" s="12">
        <v>0</v>
      </c>
    </row>
    <row r="19" spans="2:9" ht="15" customHeight="1" x14ac:dyDescent="0.2">
      <c r="B19" t="s">
        <v>92</v>
      </c>
      <c r="C19" s="12">
        <v>274</v>
      </c>
      <c r="D19" s="8">
        <v>3.73</v>
      </c>
      <c r="E19" s="12">
        <v>81</v>
      </c>
      <c r="F19" s="8">
        <v>2.25</v>
      </c>
      <c r="G19" s="12">
        <v>181</v>
      </c>
      <c r="H19" s="8">
        <v>4.99</v>
      </c>
      <c r="I19" s="12">
        <v>6</v>
      </c>
    </row>
    <row r="20" spans="2:9" ht="15" customHeight="1" x14ac:dyDescent="0.2">
      <c r="B20" s="9" t="s">
        <v>363</v>
      </c>
      <c r="C20" s="12">
        <f>SUM(LTBL_20202[総数／事業所数])</f>
        <v>7350</v>
      </c>
      <c r="E20" s="12">
        <f>SUBTOTAL(109,LTBL_20202[個人／事業所数])</f>
        <v>3607</v>
      </c>
      <c r="G20" s="12">
        <f>SUBTOTAL(109,LTBL_20202[法人／事業所数])</f>
        <v>3629</v>
      </c>
      <c r="I20" s="12">
        <f>SUBTOTAL(109,LTBL_20202[法人以外の団体／事業所数])</f>
        <v>18</v>
      </c>
    </row>
    <row r="21" spans="2:9" ht="15" customHeight="1" x14ac:dyDescent="0.2">
      <c r="E21" s="11">
        <f>LTBL_20202[[#Totals],[個人／事業所数]]/LTBL_20202[[#Totals],[総数／事業所数]]</f>
        <v>0.49074829931972791</v>
      </c>
      <c r="G21" s="11">
        <f>LTBL_20202[[#Totals],[法人／事業所数]]/LTBL_20202[[#Totals],[総数／事業所数]]</f>
        <v>0.49374149659863947</v>
      </c>
      <c r="I21" s="11">
        <f>LTBL_20202[[#Totals],[法人以外の団体／事業所数]]/LTBL_20202[[#Totals],[総数／事業所数]]</f>
        <v>2.4489795918367346E-3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928</v>
      </c>
      <c r="D24" s="8">
        <v>12.63</v>
      </c>
      <c r="E24" s="12">
        <v>794</v>
      </c>
      <c r="F24" s="8">
        <v>22.01</v>
      </c>
      <c r="G24" s="12">
        <v>133</v>
      </c>
      <c r="H24" s="8">
        <v>3.66</v>
      </c>
      <c r="I24" s="12">
        <v>1</v>
      </c>
    </row>
    <row r="25" spans="2:9" ht="15" customHeight="1" x14ac:dyDescent="0.2">
      <c r="B25" t="s">
        <v>111</v>
      </c>
      <c r="C25" s="12">
        <v>789</v>
      </c>
      <c r="D25" s="8">
        <v>10.73</v>
      </c>
      <c r="E25" s="12">
        <v>475</v>
      </c>
      <c r="F25" s="8">
        <v>13.17</v>
      </c>
      <c r="G25" s="12">
        <v>313</v>
      </c>
      <c r="H25" s="8">
        <v>8.6199999999999992</v>
      </c>
      <c r="I25" s="12">
        <v>1</v>
      </c>
    </row>
    <row r="26" spans="2:9" ht="15" customHeight="1" x14ac:dyDescent="0.2">
      <c r="B26" t="s">
        <v>116</v>
      </c>
      <c r="C26" s="12">
        <v>717</v>
      </c>
      <c r="D26" s="8">
        <v>9.76</v>
      </c>
      <c r="E26" s="12">
        <v>575</v>
      </c>
      <c r="F26" s="8">
        <v>15.94</v>
      </c>
      <c r="G26" s="12">
        <v>141</v>
      </c>
      <c r="H26" s="8">
        <v>3.89</v>
      </c>
      <c r="I26" s="12">
        <v>1</v>
      </c>
    </row>
    <row r="27" spans="2:9" ht="15" customHeight="1" x14ac:dyDescent="0.2">
      <c r="B27" t="s">
        <v>110</v>
      </c>
      <c r="C27" s="12">
        <v>465</v>
      </c>
      <c r="D27" s="8">
        <v>6.33</v>
      </c>
      <c r="E27" s="12">
        <v>211</v>
      </c>
      <c r="F27" s="8">
        <v>5.85</v>
      </c>
      <c r="G27" s="12">
        <v>254</v>
      </c>
      <c r="H27" s="8">
        <v>7</v>
      </c>
      <c r="I27" s="12">
        <v>0</v>
      </c>
    </row>
    <row r="28" spans="2:9" ht="15" customHeight="1" x14ac:dyDescent="0.2">
      <c r="B28" t="s">
        <v>101</v>
      </c>
      <c r="C28" s="12">
        <v>329</v>
      </c>
      <c r="D28" s="8">
        <v>4.4800000000000004</v>
      </c>
      <c r="E28" s="12">
        <v>54</v>
      </c>
      <c r="F28" s="8">
        <v>1.5</v>
      </c>
      <c r="G28" s="12">
        <v>275</v>
      </c>
      <c r="H28" s="8">
        <v>7.58</v>
      </c>
      <c r="I28" s="12">
        <v>0</v>
      </c>
    </row>
    <row r="29" spans="2:9" ht="15" customHeight="1" x14ac:dyDescent="0.2">
      <c r="B29" t="s">
        <v>117</v>
      </c>
      <c r="C29" s="12">
        <v>311</v>
      </c>
      <c r="D29" s="8">
        <v>4.2300000000000004</v>
      </c>
      <c r="E29" s="12">
        <v>183</v>
      </c>
      <c r="F29" s="8">
        <v>5.07</v>
      </c>
      <c r="G29" s="12">
        <v>85</v>
      </c>
      <c r="H29" s="8">
        <v>2.34</v>
      </c>
      <c r="I29" s="12">
        <v>1</v>
      </c>
    </row>
    <row r="30" spans="2:9" ht="15" customHeight="1" x14ac:dyDescent="0.2">
      <c r="B30" t="s">
        <v>108</v>
      </c>
      <c r="C30" s="12">
        <v>279</v>
      </c>
      <c r="D30" s="8">
        <v>3.8</v>
      </c>
      <c r="E30" s="12">
        <v>166</v>
      </c>
      <c r="F30" s="8">
        <v>4.5999999999999996</v>
      </c>
      <c r="G30" s="12">
        <v>111</v>
      </c>
      <c r="H30" s="8">
        <v>3.06</v>
      </c>
      <c r="I30" s="12">
        <v>2</v>
      </c>
    </row>
    <row r="31" spans="2:9" ht="15" customHeight="1" x14ac:dyDescent="0.2">
      <c r="B31" t="s">
        <v>102</v>
      </c>
      <c r="C31" s="12">
        <v>257</v>
      </c>
      <c r="D31" s="8">
        <v>3.5</v>
      </c>
      <c r="E31" s="12">
        <v>95</v>
      </c>
      <c r="F31" s="8">
        <v>2.63</v>
      </c>
      <c r="G31" s="12">
        <v>162</v>
      </c>
      <c r="H31" s="8">
        <v>4.46</v>
      </c>
      <c r="I31" s="12">
        <v>0</v>
      </c>
    </row>
    <row r="32" spans="2:9" ht="15" customHeight="1" x14ac:dyDescent="0.2">
      <c r="B32" t="s">
        <v>118</v>
      </c>
      <c r="C32" s="12">
        <v>234</v>
      </c>
      <c r="D32" s="8">
        <v>3.18</v>
      </c>
      <c r="E32" s="12">
        <v>216</v>
      </c>
      <c r="F32" s="8">
        <v>5.99</v>
      </c>
      <c r="G32" s="12">
        <v>18</v>
      </c>
      <c r="H32" s="8">
        <v>0.5</v>
      </c>
      <c r="I32" s="12">
        <v>0</v>
      </c>
    </row>
    <row r="33" spans="2:9" ht="15" customHeight="1" x14ac:dyDescent="0.2">
      <c r="B33" t="s">
        <v>112</v>
      </c>
      <c r="C33" s="12">
        <v>223</v>
      </c>
      <c r="D33" s="8">
        <v>3.03</v>
      </c>
      <c r="E33" s="12">
        <v>152</v>
      </c>
      <c r="F33" s="8">
        <v>4.21</v>
      </c>
      <c r="G33" s="12">
        <v>71</v>
      </c>
      <c r="H33" s="8">
        <v>1.96</v>
      </c>
      <c r="I33" s="12">
        <v>0</v>
      </c>
    </row>
    <row r="34" spans="2:9" ht="15" customHeight="1" x14ac:dyDescent="0.2">
      <c r="B34" t="s">
        <v>103</v>
      </c>
      <c r="C34" s="12">
        <v>210</v>
      </c>
      <c r="D34" s="8">
        <v>2.86</v>
      </c>
      <c r="E34" s="12">
        <v>20</v>
      </c>
      <c r="F34" s="8">
        <v>0.55000000000000004</v>
      </c>
      <c r="G34" s="12">
        <v>190</v>
      </c>
      <c r="H34" s="8">
        <v>5.24</v>
      </c>
      <c r="I34" s="12">
        <v>0</v>
      </c>
    </row>
    <row r="35" spans="2:9" ht="15" customHeight="1" x14ac:dyDescent="0.2">
      <c r="B35" t="s">
        <v>109</v>
      </c>
      <c r="C35" s="12">
        <v>196</v>
      </c>
      <c r="D35" s="8">
        <v>2.67</v>
      </c>
      <c r="E35" s="12">
        <v>91</v>
      </c>
      <c r="F35" s="8">
        <v>2.52</v>
      </c>
      <c r="G35" s="12">
        <v>105</v>
      </c>
      <c r="H35" s="8">
        <v>2.89</v>
      </c>
      <c r="I35" s="12">
        <v>0</v>
      </c>
    </row>
    <row r="36" spans="2:9" ht="15" customHeight="1" x14ac:dyDescent="0.2">
      <c r="B36" t="s">
        <v>107</v>
      </c>
      <c r="C36" s="12">
        <v>191</v>
      </c>
      <c r="D36" s="8">
        <v>2.6</v>
      </c>
      <c r="E36" s="12">
        <v>78</v>
      </c>
      <c r="F36" s="8">
        <v>2.16</v>
      </c>
      <c r="G36" s="12">
        <v>113</v>
      </c>
      <c r="H36" s="8">
        <v>3.11</v>
      </c>
      <c r="I36" s="12">
        <v>0</v>
      </c>
    </row>
    <row r="37" spans="2:9" ht="15" customHeight="1" x14ac:dyDescent="0.2">
      <c r="B37" t="s">
        <v>106</v>
      </c>
      <c r="C37" s="12">
        <v>179</v>
      </c>
      <c r="D37" s="8">
        <v>2.44</v>
      </c>
      <c r="E37" s="12">
        <v>6</v>
      </c>
      <c r="F37" s="8">
        <v>0.17</v>
      </c>
      <c r="G37" s="12">
        <v>173</v>
      </c>
      <c r="H37" s="8">
        <v>4.7699999999999996</v>
      </c>
      <c r="I37" s="12">
        <v>0</v>
      </c>
    </row>
    <row r="38" spans="2:9" ht="15" customHeight="1" x14ac:dyDescent="0.2">
      <c r="B38" t="s">
        <v>114</v>
      </c>
      <c r="C38" s="12">
        <v>162</v>
      </c>
      <c r="D38" s="8">
        <v>2.2000000000000002</v>
      </c>
      <c r="E38" s="12">
        <v>95</v>
      </c>
      <c r="F38" s="8">
        <v>2.63</v>
      </c>
      <c r="G38" s="12">
        <v>67</v>
      </c>
      <c r="H38" s="8">
        <v>1.85</v>
      </c>
      <c r="I38" s="12">
        <v>0</v>
      </c>
    </row>
    <row r="39" spans="2:9" ht="15" customHeight="1" x14ac:dyDescent="0.2">
      <c r="B39" t="s">
        <v>119</v>
      </c>
      <c r="C39" s="12">
        <v>148</v>
      </c>
      <c r="D39" s="8">
        <v>2.0099999999999998</v>
      </c>
      <c r="E39" s="12">
        <v>3</v>
      </c>
      <c r="F39" s="8">
        <v>0.08</v>
      </c>
      <c r="G39" s="12">
        <v>104</v>
      </c>
      <c r="H39" s="8">
        <v>2.87</v>
      </c>
      <c r="I39" s="12">
        <v>0</v>
      </c>
    </row>
    <row r="40" spans="2:9" ht="15" customHeight="1" x14ac:dyDescent="0.2">
      <c r="B40" t="s">
        <v>113</v>
      </c>
      <c r="C40" s="12">
        <v>137</v>
      </c>
      <c r="D40" s="8">
        <v>1.86</v>
      </c>
      <c r="E40" s="12">
        <v>38</v>
      </c>
      <c r="F40" s="8">
        <v>1.05</v>
      </c>
      <c r="G40" s="12">
        <v>93</v>
      </c>
      <c r="H40" s="8">
        <v>2.56</v>
      </c>
      <c r="I40" s="12">
        <v>2</v>
      </c>
    </row>
    <row r="41" spans="2:9" ht="15" customHeight="1" x14ac:dyDescent="0.2">
      <c r="B41" t="s">
        <v>122</v>
      </c>
      <c r="C41" s="12">
        <v>107</v>
      </c>
      <c r="D41" s="8">
        <v>1.46</v>
      </c>
      <c r="E41" s="12">
        <v>18</v>
      </c>
      <c r="F41" s="8">
        <v>0.5</v>
      </c>
      <c r="G41" s="12">
        <v>89</v>
      </c>
      <c r="H41" s="8">
        <v>2.4500000000000002</v>
      </c>
      <c r="I41" s="12">
        <v>0</v>
      </c>
    </row>
    <row r="42" spans="2:9" ht="15" customHeight="1" x14ac:dyDescent="0.2">
      <c r="B42" t="s">
        <v>123</v>
      </c>
      <c r="C42" s="12">
        <v>104</v>
      </c>
      <c r="D42" s="8">
        <v>1.41</v>
      </c>
      <c r="E42" s="12">
        <v>17</v>
      </c>
      <c r="F42" s="8">
        <v>0.47</v>
      </c>
      <c r="G42" s="12">
        <v>87</v>
      </c>
      <c r="H42" s="8">
        <v>2.4</v>
      </c>
      <c r="I42" s="12">
        <v>0</v>
      </c>
    </row>
    <row r="43" spans="2:9" ht="15" customHeight="1" x14ac:dyDescent="0.2">
      <c r="B43" t="s">
        <v>125</v>
      </c>
      <c r="C43" s="12">
        <v>90</v>
      </c>
      <c r="D43" s="8">
        <v>1.22</v>
      </c>
      <c r="E43" s="12">
        <v>10</v>
      </c>
      <c r="F43" s="8">
        <v>0.28000000000000003</v>
      </c>
      <c r="G43" s="12">
        <v>80</v>
      </c>
      <c r="H43" s="8">
        <v>2.2000000000000002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183</v>
      </c>
      <c r="C47" s="12">
        <v>511</v>
      </c>
      <c r="D47" s="8">
        <v>6.95</v>
      </c>
      <c r="E47" s="12">
        <v>385</v>
      </c>
      <c r="F47" s="8">
        <v>10.67</v>
      </c>
      <c r="G47" s="12">
        <v>126</v>
      </c>
      <c r="H47" s="8">
        <v>3.47</v>
      </c>
      <c r="I47" s="12">
        <v>0</v>
      </c>
    </row>
    <row r="48" spans="2:9" ht="15" customHeight="1" x14ac:dyDescent="0.2">
      <c r="B48" t="s">
        <v>191</v>
      </c>
      <c r="C48" s="12">
        <v>397</v>
      </c>
      <c r="D48" s="8">
        <v>5.4</v>
      </c>
      <c r="E48" s="12">
        <v>353</v>
      </c>
      <c r="F48" s="8">
        <v>9.7899999999999991</v>
      </c>
      <c r="G48" s="12">
        <v>44</v>
      </c>
      <c r="H48" s="8">
        <v>1.21</v>
      </c>
      <c r="I48" s="12">
        <v>0</v>
      </c>
    </row>
    <row r="49" spans="2:9" ht="15" customHeight="1" x14ac:dyDescent="0.2">
      <c r="B49" t="s">
        <v>187</v>
      </c>
      <c r="C49" s="12">
        <v>255</v>
      </c>
      <c r="D49" s="8">
        <v>3.47</v>
      </c>
      <c r="E49" s="12">
        <v>204</v>
      </c>
      <c r="F49" s="8">
        <v>5.66</v>
      </c>
      <c r="G49" s="12">
        <v>51</v>
      </c>
      <c r="H49" s="8">
        <v>1.41</v>
      </c>
      <c r="I49" s="12">
        <v>0</v>
      </c>
    </row>
    <row r="50" spans="2:9" ht="15" customHeight="1" x14ac:dyDescent="0.2">
      <c r="B50" t="s">
        <v>188</v>
      </c>
      <c r="C50" s="12">
        <v>212</v>
      </c>
      <c r="D50" s="8">
        <v>2.88</v>
      </c>
      <c r="E50" s="12">
        <v>193</v>
      </c>
      <c r="F50" s="8">
        <v>5.35</v>
      </c>
      <c r="G50" s="12">
        <v>19</v>
      </c>
      <c r="H50" s="8">
        <v>0.52</v>
      </c>
      <c r="I50" s="12">
        <v>0</v>
      </c>
    </row>
    <row r="51" spans="2:9" ht="15" customHeight="1" x14ac:dyDescent="0.2">
      <c r="B51" t="s">
        <v>189</v>
      </c>
      <c r="C51" s="12">
        <v>192</v>
      </c>
      <c r="D51" s="8">
        <v>2.61</v>
      </c>
      <c r="E51" s="12">
        <v>185</v>
      </c>
      <c r="F51" s="8">
        <v>5.13</v>
      </c>
      <c r="G51" s="12">
        <v>7</v>
      </c>
      <c r="H51" s="8">
        <v>0.19</v>
      </c>
      <c r="I51" s="12">
        <v>0</v>
      </c>
    </row>
    <row r="52" spans="2:9" ht="15" customHeight="1" x14ac:dyDescent="0.2">
      <c r="B52" t="s">
        <v>192</v>
      </c>
      <c r="C52" s="12">
        <v>166</v>
      </c>
      <c r="D52" s="8">
        <v>2.2599999999999998</v>
      </c>
      <c r="E52" s="12">
        <v>126</v>
      </c>
      <c r="F52" s="8">
        <v>3.49</v>
      </c>
      <c r="G52" s="12">
        <v>39</v>
      </c>
      <c r="H52" s="8">
        <v>1.07</v>
      </c>
      <c r="I52" s="12">
        <v>1</v>
      </c>
    </row>
    <row r="53" spans="2:9" ht="15" customHeight="1" x14ac:dyDescent="0.2">
      <c r="B53" t="s">
        <v>193</v>
      </c>
      <c r="C53" s="12">
        <v>163</v>
      </c>
      <c r="D53" s="8">
        <v>2.2200000000000002</v>
      </c>
      <c r="E53" s="12">
        <v>155</v>
      </c>
      <c r="F53" s="8">
        <v>4.3</v>
      </c>
      <c r="G53" s="12">
        <v>8</v>
      </c>
      <c r="H53" s="8">
        <v>0.22</v>
      </c>
      <c r="I53" s="12">
        <v>0</v>
      </c>
    </row>
    <row r="54" spans="2:9" ht="15" customHeight="1" x14ac:dyDescent="0.2">
      <c r="B54" t="s">
        <v>190</v>
      </c>
      <c r="C54" s="12">
        <v>155</v>
      </c>
      <c r="D54" s="8">
        <v>2.11</v>
      </c>
      <c r="E54" s="12">
        <v>139</v>
      </c>
      <c r="F54" s="8">
        <v>3.85</v>
      </c>
      <c r="G54" s="12">
        <v>16</v>
      </c>
      <c r="H54" s="8">
        <v>0.44</v>
      </c>
      <c r="I54" s="12">
        <v>0</v>
      </c>
    </row>
    <row r="55" spans="2:9" ht="15" customHeight="1" x14ac:dyDescent="0.2">
      <c r="B55" t="s">
        <v>181</v>
      </c>
      <c r="C55" s="12">
        <v>151</v>
      </c>
      <c r="D55" s="8">
        <v>2.0499999999999998</v>
      </c>
      <c r="E55" s="12">
        <v>81</v>
      </c>
      <c r="F55" s="8">
        <v>2.25</v>
      </c>
      <c r="G55" s="12">
        <v>70</v>
      </c>
      <c r="H55" s="8">
        <v>1.93</v>
      </c>
      <c r="I55" s="12">
        <v>0</v>
      </c>
    </row>
    <row r="56" spans="2:9" ht="15" customHeight="1" x14ac:dyDescent="0.2">
      <c r="B56" t="s">
        <v>182</v>
      </c>
      <c r="C56" s="12">
        <v>148</v>
      </c>
      <c r="D56" s="8">
        <v>2.0099999999999998</v>
      </c>
      <c r="E56" s="12">
        <v>34</v>
      </c>
      <c r="F56" s="8">
        <v>0.94</v>
      </c>
      <c r="G56" s="12">
        <v>113</v>
      </c>
      <c r="H56" s="8">
        <v>3.11</v>
      </c>
      <c r="I56" s="12">
        <v>1</v>
      </c>
    </row>
    <row r="57" spans="2:9" ht="15" customHeight="1" x14ac:dyDescent="0.2">
      <c r="B57" t="s">
        <v>180</v>
      </c>
      <c r="C57" s="12">
        <v>123</v>
      </c>
      <c r="D57" s="8">
        <v>1.67</v>
      </c>
      <c r="E57" s="12">
        <v>54</v>
      </c>
      <c r="F57" s="8">
        <v>1.5</v>
      </c>
      <c r="G57" s="12">
        <v>69</v>
      </c>
      <c r="H57" s="8">
        <v>1.9</v>
      </c>
      <c r="I57" s="12">
        <v>0</v>
      </c>
    </row>
    <row r="58" spans="2:9" ht="15" customHeight="1" x14ac:dyDescent="0.2">
      <c r="B58" t="s">
        <v>185</v>
      </c>
      <c r="C58" s="12">
        <v>120</v>
      </c>
      <c r="D58" s="8">
        <v>1.63</v>
      </c>
      <c r="E58" s="12">
        <v>72</v>
      </c>
      <c r="F58" s="8">
        <v>2</v>
      </c>
      <c r="G58" s="12">
        <v>48</v>
      </c>
      <c r="H58" s="8">
        <v>1.32</v>
      </c>
      <c r="I58" s="12">
        <v>0</v>
      </c>
    </row>
    <row r="59" spans="2:9" ht="15" customHeight="1" x14ac:dyDescent="0.2">
      <c r="B59" t="s">
        <v>184</v>
      </c>
      <c r="C59" s="12">
        <v>101</v>
      </c>
      <c r="D59" s="8">
        <v>1.37</v>
      </c>
      <c r="E59" s="12">
        <v>30</v>
      </c>
      <c r="F59" s="8">
        <v>0.83</v>
      </c>
      <c r="G59" s="12">
        <v>67</v>
      </c>
      <c r="H59" s="8">
        <v>1.85</v>
      </c>
      <c r="I59" s="12">
        <v>0</v>
      </c>
    </row>
    <row r="60" spans="2:9" ht="15" customHeight="1" x14ac:dyDescent="0.2">
      <c r="B60" t="s">
        <v>179</v>
      </c>
      <c r="C60" s="12">
        <v>98</v>
      </c>
      <c r="D60" s="8">
        <v>1.33</v>
      </c>
      <c r="E60" s="12">
        <v>53</v>
      </c>
      <c r="F60" s="8">
        <v>1.47</v>
      </c>
      <c r="G60" s="12">
        <v>43</v>
      </c>
      <c r="H60" s="8">
        <v>1.18</v>
      </c>
      <c r="I60" s="12">
        <v>2</v>
      </c>
    </row>
    <row r="61" spans="2:9" ht="15" customHeight="1" x14ac:dyDescent="0.2">
      <c r="B61" t="s">
        <v>175</v>
      </c>
      <c r="C61" s="12">
        <v>94</v>
      </c>
      <c r="D61" s="8">
        <v>1.28</v>
      </c>
      <c r="E61" s="12">
        <v>11</v>
      </c>
      <c r="F61" s="8">
        <v>0.3</v>
      </c>
      <c r="G61" s="12">
        <v>83</v>
      </c>
      <c r="H61" s="8">
        <v>2.29</v>
      </c>
      <c r="I61" s="12">
        <v>0</v>
      </c>
    </row>
    <row r="62" spans="2:9" ht="15" customHeight="1" x14ac:dyDescent="0.2">
      <c r="B62" t="s">
        <v>196</v>
      </c>
      <c r="C62" s="12">
        <v>94</v>
      </c>
      <c r="D62" s="8">
        <v>1.28</v>
      </c>
      <c r="E62" s="12">
        <v>33</v>
      </c>
      <c r="F62" s="8">
        <v>0.91</v>
      </c>
      <c r="G62" s="12">
        <v>61</v>
      </c>
      <c r="H62" s="8">
        <v>1.68</v>
      </c>
      <c r="I62" s="12">
        <v>0</v>
      </c>
    </row>
    <row r="63" spans="2:9" ht="15" customHeight="1" x14ac:dyDescent="0.2">
      <c r="B63" t="s">
        <v>197</v>
      </c>
      <c r="C63" s="12">
        <v>90</v>
      </c>
      <c r="D63" s="8">
        <v>1.22</v>
      </c>
      <c r="E63" s="12">
        <v>52</v>
      </c>
      <c r="F63" s="8">
        <v>1.44</v>
      </c>
      <c r="G63" s="12">
        <v>38</v>
      </c>
      <c r="H63" s="8">
        <v>1.05</v>
      </c>
      <c r="I63" s="12">
        <v>0</v>
      </c>
    </row>
    <row r="64" spans="2:9" ht="15" customHeight="1" x14ac:dyDescent="0.2">
      <c r="B64" t="s">
        <v>199</v>
      </c>
      <c r="C64" s="12">
        <v>87</v>
      </c>
      <c r="D64" s="8">
        <v>1.18</v>
      </c>
      <c r="E64" s="12">
        <v>37</v>
      </c>
      <c r="F64" s="8">
        <v>1.03</v>
      </c>
      <c r="G64" s="12">
        <v>50</v>
      </c>
      <c r="H64" s="8">
        <v>1.38</v>
      </c>
      <c r="I64" s="12">
        <v>0</v>
      </c>
    </row>
    <row r="65" spans="2:9" ht="15" customHeight="1" x14ac:dyDescent="0.2">
      <c r="B65" t="s">
        <v>200</v>
      </c>
      <c r="C65" s="12">
        <v>87</v>
      </c>
      <c r="D65" s="8">
        <v>1.18</v>
      </c>
      <c r="E65" s="12">
        <v>51</v>
      </c>
      <c r="F65" s="8">
        <v>1.41</v>
      </c>
      <c r="G65" s="12">
        <v>36</v>
      </c>
      <c r="H65" s="8">
        <v>0.99</v>
      </c>
      <c r="I65" s="12">
        <v>0</v>
      </c>
    </row>
    <row r="66" spans="2:9" ht="15" customHeight="1" x14ac:dyDescent="0.2">
      <c r="B66" t="s">
        <v>198</v>
      </c>
      <c r="C66" s="12">
        <v>86</v>
      </c>
      <c r="D66" s="8">
        <v>1.17</v>
      </c>
      <c r="E66" s="12">
        <v>74</v>
      </c>
      <c r="F66" s="8">
        <v>2.0499999999999998</v>
      </c>
      <c r="G66" s="12">
        <v>12</v>
      </c>
      <c r="H66" s="8">
        <v>0.33</v>
      </c>
      <c r="I66" s="12">
        <v>0</v>
      </c>
    </row>
    <row r="68" spans="2:9" ht="15" customHeight="1" x14ac:dyDescent="0.2">
      <c r="B68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81D39-E21F-4190-BADA-4A941AF6E084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431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1</v>
      </c>
      <c r="D5" s="8">
        <v>0.34</v>
      </c>
      <c r="E5" s="12">
        <v>1</v>
      </c>
      <c r="F5" s="8">
        <v>0.53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66</v>
      </c>
      <c r="D6" s="8">
        <v>22.68</v>
      </c>
      <c r="E6" s="12">
        <v>36</v>
      </c>
      <c r="F6" s="8">
        <v>18.95</v>
      </c>
      <c r="G6" s="12">
        <v>30</v>
      </c>
      <c r="H6" s="8">
        <v>30.93</v>
      </c>
      <c r="I6" s="12">
        <v>0</v>
      </c>
    </row>
    <row r="7" spans="2:9" ht="15" customHeight="1" x14ac:dyDescent="0.2">
      <c r="B7" t="s">
        <v>80</v>
      </c>
      <c r="C7" s="12">
        <v>35</v>
      </c>
      <c r="D7" s="8">
        <v>12.03</v>
      </c>
      <c r="E7" s="12">
        <v>14</v>
      </c>
      <c r="F7" s="8">
        <v>7.37</v>
      </c>
      <c r="G7" s="12">
        <v>19</v>
      </c>
      <c r="H7" s="8">
        <v>19.59</v>
      </c>
      <c r="I7" s="12">
        <v>2</v>
      </c>
    </row>
    <row r="8" spans="2:9" ht="15" customHeight="1" x14ac:dyDescent="0.2">
      <c r="B8" t="s">
        <v>81</v>
      </c>
      <c r="C8" s="12">
        <v>2</v>
      </c>
      <c r="D8" s="8">
        <v>0.69</v>
      </c>
      <c r="E8" s="12">
        <v>0</v>
      </c>
      <c r="F8" s="8">
        <v>0</v>
      </c>
      <c r="G8" s="12">
        <v>1</v>
      </c>
      <c r="H8" s="8">
        <v>1.03</v>
      </c>
      <c r="I8" s="12">
        <v>0</v>
      </c>
    </row>
    <row r="9" spans="2:9" ht="15" customHeight="1" x14ac:dyDescent="0.2">
      <c r="B9" t="s">
        <v>82</v>
      </c>
      <c r="C9" s="12">
        <v>3</v>
      </c>
      <c r="D9" s="8">
        <v>1.03</v>
      </c>
      <c r="E9" s="12">
        <v>2</v>
      </c>
      <c r="F9" s="8">
        <v>1.05</v>
      </c>
      <c r="G9" s="12">
        <v>1</v>
      </c>
      <c r="H9" s="8">
        <v>1.03</v>
      </c>
      <c r="I9" s="12">
        <v>0</v>
      </c>
    </row>
    <row r="10" spans="2:9" ht="15" customHeight="1" x14ac:dyDescent="0.2">
      <c r="B10" t="s">
        <v>83</v>
      </c>
      <c r="C10" s="12">
        <v>3</v>
      </c>
      <c r="D10" s="8">
        <v>1.03</v>
      </c>
      <c r="E10" s="12">
        <v>1</v>
      </c>
      <c r="F10" s="8">
        <v>0.53</v>
      </c>
      <c r="G10" s="12">
        <v>1</v>
      </c>
      <c r="H10" s="8">
        <v>1.03</v>
      </c>
      <c r="I10" s="12">
        <v>1</v>
      </c>
    </row>
    <row r="11" spans="2:9" ht="15" customHeight="1" x14ac:dyDescent="0.2">
      <c r="B11" t="s">
        <v>84</v>
      </c>
      <c r="C11" s="12">
        <v>61</v>
      </c>
      <c r="D11" s="8">
        <v>20.96</v>
      </c>
      <c r="E11" s="12">
        <v>40</v>
      </c>
      <c r="F11" s="8">
        <v>21.05</v>
      </c>
      <c r="G11" s="12">
        <v>21</v>
      </c>
      <c r="H11" s="8">
        <v>21.65</v>
      </c>
      <c r="I11" s="12">
        <v>0</v>
      </c>
    </row>
    <row r="12" spans="2:9" ht="15" customHeight="1" x14ac:dyDescent="0.2">
      <c r="B12" t="s">
        <v>85</v>
      </c>
      <c r="C12" s="12">
        <v>3</v>
      </c>
      <c r="D12" s="8">
        <v>1.03</v>
      </c>
      <c r="E12" s="12">
        <v>2</v>
      </c>
      <c r="F12" s="8">
        <v>1.05</v>
      </c>
      <c r="G12" s="12">
        <v>1</v>
      </c>
      <c r="H12" s="8">
        <v>1.03</v>
      </c>
      <c r="I12" s="12">
        <v>0</v>
      </c>
    </row>
    <row r="13" spans="2:9" ht="15" customHeight="1" x14ac:dyDescent="0.2">
      <c r="B13" t="s">
        <v>86</v>
      </c>
      <c r="C13" s="12">
        <v>5</v>
      </c>
      <c r="D13" s="8">
        <v>1.72</v>
      </c>
      <c r="E13" s="12">
        <v>2</v>
      </c>
      <c r="F13" s="8">
        <v>1.05</v>
      </c>
      <c r="G13" s="12">
        <v>3</v>
      </c>
      <c r="H13" s="8">
        <v>3.09</v>
      </c>
      <c r="I13" s="12">
        <v>0</v>
      </c>
    </row>
    <row r="14" spans="2:9" ht="15" customHeight="1" x14ac:dyDescent="0.2">
      <c r="B14" t="s">
        <v>87</v>
      </c>
      <c r="C14" s="12">
        <v>16</v>
      </c>
      <c r="D14" s="8">
        <v>5.5</v>
      </c>
      <c r="E14" s="12">
        <v>14</v>
      </c>
      <c r="F14" s="8">
        <v>7.37</v>
      </c>
      <c r="G14" s="12">
        <v>2</v>
      </c>
      <c r="H14" s="8">
        <v>2.06</v>
      </c>
      <c r="I14" s="12">
        <v>0</v>
      </c>
    </row>
    <row r="15" spans="2:9" ht="15" customHeight="1" x14ac:dyDescent="0.2">
      <c r="B15" t="s">
        <v>88</v>
      </c>
      <c r="C15" s="12">
        <v>33</v>
      </c>
      <c r="D15" s="8">
        <v>11.34</v>
      </c>
      <c r="E15" s="12">
        <v>32</v>
      </c>
      <c r="F15" s="8">
        <v>16.84</v>
      </c>
      <c r="G15" s="12">
        <v>1</v>
      </c>
      <c r="H15" s="8">
        <v>1.03</v>
      </c>
      <c r="I15" s="12">
        <v>0</v>
      </c>
    </row>
    <row r="16" spans="2:9" ht="15" customHeight="1" x14ac:dyDescent="0.2">
      <c r="B16" t="s">
        <v>89</v>
      </c>
      <c r="C16" s="12">
        <v>30</v>
      </c>
      <c r="D16" s="8">
        <v>10.31</v>
      </c>
      <c r="E16" s="12">
        <v>24</v>
      </c>
      <c r="F16" s="8">
        <v>12.63</v>
      </c>
      <c r="G16" s="12">
        <v>6</v>
      </c>
      <c r="H16" s="8">
        <v>6.19</v>
      </c>
      <c r="I16" s="12">
        <v>0</v>
      </c>
    </row>
    <row r="17" spans="2:9" ht="15" customHeight="1" x14ac:dyDescent="0.2">
      <c r="B17" t="s">
        <v>90</v>
      </c>
      <c r="C17" s="12">
        <v>9</v>
      </c>
      <c r="D17" s="8">
        <v>3.09</v>
      </c>
      <c r="E17" s="12">
        <v>7</v>
      </c>
      <c r="F17" s="8">
        <v>3.68</v>
      </c>
      <c r="G17" s="12">
        <v>2</v>
      </c>
      <c r="H17" s="8">
        <v>2.06</v>
      </c>
      <c r="I17" s="12">
        <v>0</v>
      </c>
    </row>
    <row r="18" spans="2:9" ht="15" customHeight="1" x14ac:dyDescent="0.2">
      <c r="B18" t="s">
        <v>91</v>
      </c>
      <c r="C18" s="12">
        <v>17</v>
      </c>
      <c r="D18" s="8">
        <v>5.84</v>
      </c>
      <c r="E18" s="12">
        <v>11</v>
      </c>
      <c r="F18" s="8">
        <v>5.79</v>
      </c>
      <c r="G18" s="12">
        <v>6</v>
      </c>
      <c r="H18" s="8">
        <v>6.19</v>
      </c>
      <c r="I18" s="12">
        <v>0</v>
      </c>
    </row>
    <row r="19" spans="2:9" ht="15" customHeight="1" x14ac:dyDescent="0.2">
      <c r="B19" t="s">
        <v>92</v>
      </c>
      <c r="C19" s="12">
        <v>7</v>
      </c>
      <c r="D19" s="8">
        <v>2.41</v>
      </c>
      <c r="E19" s="12">
        <v>4</v>
      </c>
      <c r="F19" s="8">
        <v>2.11</v>
      </c>
      <c r="G19" s="12">
        <v>3</v>
      </c>
      <c r="H19" s="8">
        <v>3.09</v>
      </c>
      <c r="I19" s="12">
        <v>0</v>
      </c>
    </row>
    <row r="20" spans="2:9" ht="15" customHeight="1" x14ac:dyDescent="0.2">
      <c r="B20" s="9" t="s">
        <v>363</v>
      </c>
      <c r="C20" s="12">
        <f>SUM(LTBL_20482[総数／事業所数])</f>
        <v>291</v>
      </c>
      <c r="E20" s="12">
        <f>SUBTOTAL(109,LTBL_20482[個人／事業所数])</f>
        <v>190</v>
      </c>
      <c r="G20" s="12">
        <f>SUBTOTAL(109,LTBL_20482[法人／事業所数])</f>
        <v>97</v>
      </c>
      <c r="I20" s="12">
        <f>SUBTOTAL(109,LTBL_20482[法人以外の団体／事業所数])</f>
        <v>3</v>
      </c>
    </row>
    <row r="21" spans="2:9" ht="15" customHeight="1" x14ac:dyDescent="0.2">
      <c r="E21" s="11">
        <f>LTBL_20482[[#Totals],[個人／事業所数]]/LTBL_20482[[#Totals],[総数／事業所数]]</f>
        <v>0.65292096219931273</v>
      </c>
      <c r="G21" s="11">
        <f>LTBL_20482[[#Totals],[法人／事業所数]]/LTBL_20482[[#Totals],[総数／事業所数]]</f>
        <v>0.33333333333333331</v>
      </c>
      <c r="I21" s="11">
        <f>LTBL_20482[[#Totals],[法人以外の団体／事業所数]]/LTBL_20482[[#Totals],[総数／事業所数]]</f>
        <v>1.0309278350515464E-2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101</v>
      </c>
      <c r="C24" s="12">
        <v>34</v>
      </c>
      <c r="D24" s="8">
        <v>11.68</v>
      </c>
      <c r="E24" s="12">
        <v>15</v>
      </c>
      <c r="F24" s="8">
        <v>7.89</v>
      </c>
      <c r="G24" s="12">
        <v>19</v>
      </c>
      <c r="H24" s="8">
        <v>19.59</v>
      </c>
      <c r="I24" s="12">
        <v>0</v>
      </c>
    </row>
    <row r="25" spans="2:9" ht="15" customHeight="1" x14ac:dyDescent="0.2">
      <c r="B25" t="s">
        <v>115</v>
      </c>
      <c r="C25" s="12">
        <v>30</v>
      </c>
      <c r="D25" s="8">
        <v>10.31</v>
      </c>
      <c r="E25" s="12">
        <v>30</v>
      </c>
      <c r="F25" s="8">
        <v>15.79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116</v>
      </c>
      <c r="C26" s="12">
        <v>29</v>
      </c>
      <c r="D26" s="8">
        <v>9.9700000000000006</v>
      </c>
      <c r="E26" s="12">
        <v>23</v>
      </c>
      <c r="F26" s="8">
        <v>12.11</v>
      </c>
      <c r="G26" s="12">
        <v>6</v>
      </c>
      <c r="H26" s="8">
        <v>6.19</v>
      </c>
      <c r="I26" s="12">
        <v>0</v>
      </c>
    </row>
    <row r="27" spans="2:9" ht="15" customHeight="1" x14ac:dyDescent="0.2">
      <c r="B27" t="s">
        <v>102</v>
      </c>
      <c r="C27" s="12">
        <v>19</v>
      </c>
      <c r="D27" s="8">
        <v>6.53</v>
      </c>
      <c r="E27" s="12">
        <v>15</v>
      </c>
      <c r="F27" s="8">
        <v>7.89</v>
      </c>
      <c r="G27" s="12">
        <v>4</v>
      </c>
      <c r="H27" s="8">
        <v>4.12</v>
      </c>
      <c r="I27" s="12">
        <v>0</v>
      </c>
    </row>
    <row r="28" spans="2:9" ht="15" customHeight="1" x14ac:dyDescent="0.2">
      <c r="B28" t="s">
        <v>108</v>
      </c>
      <c r="C28" s="12">
        <v>18</v>
      </c>
      <c r="D28" s="8">
        <v>6.19</v>
      </c>
      <c r="E28" s="12">
        <v>16</v>
      </c>
      <c r="F28" s="8">
        <v>8.42</v>
      </c>
      <c r="G28" s="12">
        <v>2</v>
      </c>
      <c r="H28" s="8">
        <v>2.06</v>
      </c>
      <c r="I28" s="12">
        <v>0</v>
      </c>
    </row>
    <row r="29" spans="2:9" ht="15" customHeight="1" x14ac:dyDescent="0.2">
      <c r="B29" t="s">
        <v>110</v>
      </c>
      <c r="C29" s="12">
        <v>16</v>
      </c>
      <c r="D29" s="8">
        <v>5.5</v>
      </c>
      <c r="E29" s="12">
        <v>8</v>
      </c>
      <c r="F29" s="8">
        <v>4.21</v>
      </c>
      <c r="G29" s="12">
        <v>8</v>
      </c>
      <c r="H29" s="8">
        <v>8.25</v>
      </c>
      <c r="I29" s="12">
        <v>0</v>
      </c>
    </row>
    <row r="30" spans="2:9" ht="15" customHeight="1" x14ac:dyDescent="0.2">
      <c r="B30" t="s">
        <v>103</v>
      </c>
      <c r="C30" s="12">
        <v>13</v>
      </c>
      <c r="D30" s="8">
        <v>4.47</v>
      </c>
      <c r="E30" s="12">
        <v>6</v>
      </c>
      <c r="F30" s="8">
        <v>3.16</v>
      </c>
      <c r="G30" s="12">
        <v>7</v>
      </c>
      <c r="H30" s="8">
        <v>7.22</v>
      </c>
      <c r="I30" s="12">
        <v>0</v>
      </c>
    </row>
    <row r="31" spans="2:9" ht="15" customHeight="1" x14ac:dyDescent="0.2">
      <c r="B31" t="s">
        <v>109</v>
      </c>
      <c r="C31" s="12">
        <v>13</v>
      </c>
      <c r="D31" s="8">
        <v>4.47</v>
      </c>
      <c r="E31" s="12">
        <v>9</v>
      </c>
      <c r="F31" s="8">
        <v>4.74</v>
      </c>
      <c r="G31" s="12">
        <v>4</v>
      </c>
      <c r="H31" s="8">
        <v>4.12</v>
      </c>
      <c r="I31" s="12">
        <v>0</v>
      </c>
    </row>
    <row r="32" spans="2:9" ht="15" customHeight="1" x14ac:dyDescent="0.2">
      <c r="B32" t="s">
        <v>118</v>
      </c>
      <c r="C32" s="12">
        <v>11</v>
      </c>
      <c r="D32" s="8">
        <v>3.78</v>
      </c>
      <c r="E32" s="12">
        <v>11</v>
      </c>
      <c r="F32" s="8">
        <v>5.79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112</v>
      </c>
      <c r="C33" s="12">
        <v>10</v>
      </c>
      <c r="D33" s="8">
        <v>3.44</v>
      </c>
      <c r="E33" s="12">
        <v>10</v>
      </c>
      <c r="F33" s="8">
        <v>5.26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117</v>
      </c>
      <c r="C34" s="12">
        <v>9</v>
      </c>
      <c r="D34" s="8">
        <v>3.09</v>
      </c>
      <c r="E34" s="12">
        <v>7</v>
      </c>
      <c r="F34" s="8">
        <v>3.68</v>
      </c>
      <c r="G34" s="12">
        <v>2</v>
      </c>
      <c r="H34" s="8">
        <v>2.06</v>
      </c>
      <c r="I34" s="12">
        <v>0</v>
      </c>
    </row>
    <row r="35" spans="2:9" ht="15" customHeight="1" x14ac:dyDescent="0.2">
      <c r="B35" t="s">
        <v>105</v>
      </c>
      <c r="C35" s="12">
        <v>8</v>
      </c>
      <c r="D35" s="8">
        <v>2.75</v>
      </c>
      <c r="E35" s="12">
        <v>0</v>
      </c>
      <c r="F35" s="8">
        <v>0</v>
      </c>
      <c r="G35" s="12">
        <v>8</v>
      </c>
      <c r="H35" s="8">
        <v>8.25</v>
      </c>
      <c r="I35" s="12">
        <v>0</v>
      </c>
    </row>
    <row r="36" spans="2:9" ht="15" customHeight="1" x14ac:dyDescent="0.2">
      <c r="B36" t="s">
        <v>113</v>
      </c>
      <c r="C36" s="12">
        <v>6</v>
      </c>
      <c r="D36" s="8">
        <v>2.06</v>
      </c>
      <c r="E36" s="12">
        <v>4</v>
      </c>
      <c r="F36" s="8">
        <v>2.11</v>
      </c>
      <c r="G36" s="12">
        <v>2</v>
      </c>
      <c r="H36" s="8">
        <v>2.06</v>
      </c>
      <c r="I36" s="12">
        <v>0</v>
      </c>
    </row>
    <row r="37" spans="2:9" ht="15" customHeight="1" x14ac:dyDescent="0.2">
      <c r="B37" t="s">
        <v>119</v>
      </c>
      <c r="C37" s="12">
        <v>6</v>
      </c>
      <c r="D37" s="8">
        <v>2.06</v>
      </c>
      <c r="E37" s="12">
        <v>0</v>
      </c>
      <c r="F37" s="8">
        <v>0</v>
      </c>
      <c r="G37" s="12">
        <v>6</v>
      </c>
      <c r="H37" s="8">
        <v>6.19</v>
      </c>
      <c r="I37" s="12">
        <v>0</v>
      </c>
    </row>
    <row r="38" spans="2:9" ht="15" customHeight="1" x14ac:dyDescent="0.2">
      <c r="B38" t="s">
        <v>104</v>
      </c>
      <c r="C38" s="12">
        <v>4</v>
      </c>
      <c r="D38" s="8">
        <v>1.37</v>
      </c>
      <c r="E38" s="12">
        <v>0</v>
      </c>
      <c r="F38" s="8">
        <v>0</v>
      </c>
      <c r="G38" s="12">
        <v>4</v>
      </c>
      <c r="H38" s="8">
        <v>4.12</v>
      </c>
      <c r="I38" s="12">
        <v>0</v>
      </c>
    </row>
    <row r="39" spans="2:9" ht="15" customHeight="1" x14ac:dyDescent="0.2">
      <c r="B39" t="s">
        <v>125</v>
      </c>
      <c r="C39" s="12">
        <v>4</v>
      </c>
      <c r="D39" s="8">
        <v>1.37</v>
      </c>
      <c r="E39" s="12">
        <v>2</v>
      </c>
      <c r="F39" s="8">
        <v>1.05</v>
      </c>
      <c r="G39" s="12">
        <v>2</v>
      </c>
      <c r="H39" s="8">
        <v>2.06</v>
      </c>
      <c r="I39" s="12">
        <v>0</v>
      </c>
    </row>
    <row r="40" spans="2:9" ht="15" customHeight="1" x14ac:dyDescent="0.2">
      <c r="B40" t="s">
        <v>133</v>
      </c>
      <c r="C40" s="12">
        <v>4</v>
      </c>
      <c r="D40" s="8">
        <v>1.37</v>
      </c>
      <c r="E40" s="12">
        <v>1</v>
      </c>
      <c r="F40" s="8">
        <v>0.53</v>
      </c>
      <c r="G40" s="12">
        <v>3</v>
      </c>
      <c r="H40" s="8">
        <v>3.09</v>
      </c>
      <c r="I40" s="12">
        <v>0</v>
      </c>
    </row>
    <row r="41" spans="2:9" ht="15" customHeight="1" x14ac:dyDescent="0.2">
      <c r="B41" t="s">
        <v>130</v>
      </c>
      <c r="C41" s="12">
        <v>3</v>
      </c>
      <c r="D41" s="8">
        <v>1.03</v>
      </c>
      <c r="E41" s="12">
        <v>2</v>
      </c>
      <c r="F41" s="8">
        <v>1.05</v>
      </c>
      <c r="G41" s="12">
        <v>1</v>
      </c>
      <c r="H41" s="8">
        <v>1.03</v>
      </c>
      <c r="I41" s="12">
        <v>0</v>
      </c>
    </row>
    <row r="42" spans="2:9" ht="15" customHeight="1" x14ac:dyDescent="0.2">
      <c r="B42" t="s">
        <v>158</v>
      </c>
      <c r="C42" s="12">
        <v>3</v>
      </c>
      <c r="D42" s="8">
        <v>1.03</v>
      </c>
      <c r="E42" s="12">
        <v>2</v>
      </c>
      <c r="F42" s="8">
        <v>1.05</v>
      </c>
      <c r="G42" s="12">
        <v>1</v>
      </c>
      <c r="H42" s="8">
        <v>1.03</v>
      </c>
      <c r="I42" s="12">
        <v>0</v>
      </c>
    </row>
    <row r="43" spans="2:9" ht="15" customHeight="1" x14ac:dyDescent="0.2">
      <c r="B43" t="s">
        <v>121</v>
      </c>
      <c r="C43" s="12">
        <v>3</v>
      </c>
      <c r="D43" s="8">
        <v>1.03</v>
      </c>
      <c r="E43" s="12">
        <v>2</v>
      </c>
      <c r="F43" s="8">
        <v>1.05</v>
      </c>
      <c r="G43" s="12">
        <v>1</v>
      </c>
      <c r="H43" s="8">
        <v>1.03</v>
      </c>
      <c r="I43" s="12">
        <v>0</v>
      </c>
    </row>
    <row r="44" spans="2:9" ht="15" customHeight="1" x14ac:dyDescent="0.2">
      <c r="B44" t="s">
        <v>134</v>
      </c>
      <c r="C44" s="12">
        <v>3</v>
      </c>
      <c r="D44" s="8">
        <v>1.03</v>
      </c>
      <c r="E44" s="12">
        <v>2</v>
      </c>
      <c r="F44" s="8">
        <v>1.05</v>
      </c>
      <c r="G44" s="12">
        <v>1</v>
      </c>
      <c r="H44" s="8">
        <v>1.03</v>
      </c>
      <c r="I44" s="12">
        <v>0</v>
      </c>
    </row>
    <row r="45" spans="2:9" ht="15" customHeight="1" x14ac:dyDescent="0.2">
      <c r="B45" t="s">
        <v>123</v>
      </c>
      <c r="C45" s="12">
        <v>3</v>
      </c>
      <c r="D45" s="8">
        <v>1.03</v>
      </c>
      <c r="E45" s="12">
        <v>1</v>
      </c>
      <c r="F45" s="8">
        <v>0.53</v>
      </c>
      <c r="G45" s="12">
        <v>2</v>
      </c>
      <c r="H45" s="8">
        <v>2.06</v>
      </c>
      <c r="I45" s="12">
        <v>0</v>
      </c>
    </row>
    <row r="46" spans="2:9" ht="15" customHeight="1" x14ac:dyDescent="0.2">
      <c r="B46" t="s">
        <v>120</v>
      </c>
      <c r="C46" s="12">
        <v>3</v>
      </c>
      <c r="D46" s="8">
        <v>1.03</v>
      </c>
      <c r="E46" s="12">
        <v>3</v>
      </c>
      <c r="F46" s="8">
        <v>1.58</v>
      </c>
      <c r="G46" s="12">
        <v>0</v>
      </c>
      <c r="H46" s="8">
        <v>0</v>
      </c>
      <c r="I46" s="12">
        <v>0</v>
      </c>
    </row>
    <row r="49" spans="2:9" ht="33" customHeight="1" x14ac:dyDescent="0.2">
      <c r="B49" t="s">
        <v>365</v>
      </c>
      <c r="C49" s="10" t="s">
        <v>94</v>
      </c>
      <c r="D49" s="10" t="s">
        <v>95</v>
      </c>
      <c r="E49" s="10" t="s">
        <v>96</v>
      </c>
      <c r="F49" s="10" t="s">
        <v>97</v>
      </c>
      <c r="G49" s="10" t="s">
        <v>98</v>
      </c>
      <c r="H49" s="10" t="s">
        <v>99</v>
      </c>
      <c r="I49" s="10" t="s">
        <v>100</v>
      </c>
    </row>
    <row r="50" spans="2:9" ht="15" customHeight="1" x14ac:dyDescent="0.2">
      <c r="B50" t="s">
        <v>191</v>
      </c>
      <c r="C50" s="12">
        <v>20</v>
      </c>
      <c r="D50" s="8">
        <v>6.87</v>
      </c>
      <c r="E50" s="12">
        <v>17</v>
      </c>
      <c r="F50" s="8">
        <v>8.9499999999999993</v>
      </c>
      <c r="G50" s="12">
        <v>3</v>
      </c>
      <c r="H50" s="8">
        <v>3.09</v>
      </c>
      <c r="I50" s="12">
        <v>0</v>
      </c>
    </row>
    <row r="51" spans="2:9" ht="15" customHeight="1" x14ac:dyDescent="0.2">
      <c r="B51" t="s">
        <v>174</v>
      </c>
      <c r="C51" s="12">
        <v>16</v>
      </c>
      <c r="D51" s="8">
        <v>5.5</v>
      </c>
      <c r="E51" s="12">
        <v>4</v>
      </c>
      <c r="F51" s="8">
        <v>2.11</v>
      </c>
      <c r="G51" s="12">
        <v>12</v>
      </c>
      <c r="H51" s="8">
        <v>12.37</v>
      </c>
      <c r="I51" s="12">
        <v>0</v>
      </c>
    </row>
    <row r="52" spans="2:9" ht="15" customHeight="1" x14ac:dyDescent="0.2">
      <c r="B52" t="s">
        <v>197</v>
      </c>
      <c r="C52" s="12">
        <v>10</v>
      </c>
      <c r="D52" s="8">
        <v>3.44</v>
      </c>
      <c r="E52" s="12">
        <v>10</v>
      </c>
      <c r="F52" s="8">
        <v>5.26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193</v>
      </c>
      <c r="C53" s="12">
        <v>9</v>
      </c>
      <c r="D53" s="8">
        <v>3.09</v>
      </c>
      <c r="E53" s="12">
        <v>9</v>
      </c>
      <c r="F53" s="8">
        <v>4.74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175</v>
      </c>
      <c r="C54" s="12">
        <v>8</v>
      </c>
      <c r="D54" s="8">
        <v>2.75</v>
      </c>
      <c r="E54" s="12">
        <v>4</v>
      </c>
      <c r="F54" s="8">
        <v>2.11</v>
      </c>
      <c r="G54" s="12">
        <v>4</v>
      </c>
      <c r="H54" s="8">
        <v>4.12</v>
      </c>
      <c r="I54" s="12">
        <v>0</v>
      </c>
    </row>
    <row r="55" spans="2:9" ht="15" customHeight="1" x14ac:dyDescent="0.2">
      <c r="B55" t="s">
        <v>176</v>
      </c>
      <c r="C55" s="12">
        <v>7</v>
      </c>
      <c r="D55" s="8">
        <v>2.41</v>
      </c>
      <c r="E55" s="12">
        <v>6</v>
      </c>
      <c r="F55" s="8">
        <v>3.16</v>
      </c>
      <c r="G55" s="12">
        <v>1</v>
      </c>
      <c r="H55" s="8">
        <v>1.03</v>
      </c>
      <c r="I55" s="12">
        <v>0</v>
      </c>
    </row>
    <row r="56" spans="2:9" ht="15" customHeight="1" x14ac:dyDescent="0.2">
      <c r="B56" t="s">
        <v>180</v>
      </c>
      <c r="C56" s="12">
        <v>7</v>
      </c>
      <c r="D56" s="8">
        <v>2.41</v>
      </c>
      <c r="E56" s="12">
        <v>5</v>
      </c>
      <c r="F56" s="8">
        <v>2.63</v>
      </c>
      <c r="G56" s="12">
        <v>2</v>
      </c>
      <c r="H56" s="8">
        <v>2.06</v>
      </c>
      <c r="I56" s="12">
        <v>0</v>
      </c>
    </row>
    <row r="57" spans="2:9" ht="15" customHeight="1" x14ac:dyDescent="0.2">
      <c r="B57" t="s">
        <v>188</v>
      </c>
      <c r="C57" s="12">
        <v>7</v>
      </c>
      <c r="D57" s="8">
        <v>2.41</v>
      </c>
      <c r="E57" s="12">
        <v>7</v>
      </c>
      <c r="F57" s="8">
        <v>3.68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190</v>
      </c>
      <c r="C58" s="12">
        <v>7</v>
      </c>
      <c r="D58" s="8">
        <v>2.41</v>
      </c>
      <c r="E58" s="12">
        <v>5</v>
      </c>
      <c r="F58" s="8">
        <v>2.63</v>
      </c>
      <c r="G58" s="12">
        <v>2</v>
      </c>
      <c r="H58" s="8">
        <v>2.06</v>
      </c>
      <c r="I58" s="12">
        <v>0</v>
      </c>
    </row>
    <row r="59" spans="2:9" ht="15" customHeight="1" x14ac:dyDescent="0.2">
      <c r="B59" t="s">
        <v>192</v>
      </c>
      <c r="C59" s="12">
        <v>7</v>
      </c>
      <c r="D59" s="8">
        <v>2.41</v>
      </c>
      <c r="E59" s="12">
        <v>5</v>
      </c>
      <c r="F59" s="8">
        <v>2.63</v>
      </c>
      <c r="G59" s="12">
        <v>2</v>
      </c>
      <c r="H59" s="8">
        <v>2.06</v>
      </c>
      <c r="I59" s="12">
        <v>0</v>
      </c>
    </row>
    <row r="60" spans="2:9" ht="15" customHeight="1" x14ac:dyDescent="0.2">
      <c r="B60" t="s">
        <v>187</v>
      </c>
      <c r="C60" s="12">
        <v>6</v>
      </c>
      <c r="D60" s="8">
        <v>2.06</v>
      </c>
      <c r="E60" s="12">
        <v>6</v>
      </c>
      <c r="F60" s="8">
        <v>3.16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261</v>
      </c>
      <c r="C61" s="12">
        <v>5</v>
      </c>
      <c r="D61" s="8">
        <v>1.72</v>
      </c>
      <c r="E61" s="12">
        <v>3</v>
      </c>
      <c r="F61" s="8">
        <v>1.58</v>
      </c>
      <c r="G61" s="12">
        <v>2</v>
      </c>
      <c r="H61" s="8">
        <v>2.06</v>
      </c>
      <c r="I61" s="12">
        <v>0</v>
      </c>
    </row>
    <row r="62" spans="2:9" ht="15" customHeight="1" x14ac:dyDescent="0.2">
      <c r="B62" t="s">
        <v>177</v>
      </c>
      <c r="C62" s="12">
        <v>5</v>
      </c>
      <c r="D62" s="8">
        <v>1.72</v>
      </c>
      <c r="E62" s="12">
        <v>2</v>
      </c>
      <c r="F62" s="8">
        <v>1.05</v>
      </c>
      <c r="G62" s="12">
        <v>3</v>
      </c>
      <c r="H62" s="8">
        <v>3.09</v>
      </c>
      <c r="I62" s="12">
        <v>0</v>
      </c>
    </row>
    <row r="63" spans="2:9" ht="15" customHeight="1" x14ac:dyDescent="0.2">
      <c r="B63" t="s">
        <v>178</v>
      </c>
      <c r="C63" s="12">
        <v>5</v>
      </c>
      <c r="D63" s="8">
        <v>1.72</v>
      </c>
      <c r="E63" s="12">
        <v>3</v>
      </c>
      <c r="F63" s="8">
        <v>1.58</v>
      </c>
      <c r="G63" s="12">
        <v>2</v>
      </c>
      <c r="H63" s="8">
        <v>2.06</v>
      </c>
      <c r="I63" s="12">
        <v>0</v>
      </c>
    </row>
    <row r="64" spans="2:9" ht="15" customHeight="1" x14ac:dyDescent="0.2">
      <c r="B64" t="s">
        <v>204</v>
      </c>
      <c r="C64" s="12">
        <v>5</v>
      </c>
      <c r="D64" s="8">
        <v>1.72</v>
      </c>
      <c r="E64" s="12">
        <v>0</v>
      </c>
      <c r="F64" s="8">
        <v>0</v>
      </c>
      <c r="G64" s="12">
        <v>5</v>
      </c>
      <c r="H64" s="8">
        <v>5.15</v>
      </c>
      <c r="I64" s="12">
        <v>0</v>
      </c>
    </row>
    <row r="65" spans="2:9" ht="15" customHeight="1" x14ac:dyDescent="0.2">
      <c r="B65" t="s">
        <v>220</v>
      </c>
      <c r="C65" s="12">
        <v>5</v>
      </c>
      <c r="D65" s="8">
        <v>1.72</v>
      </c>
      <c r="E65" s="12">
        <v>5</v>
      </c>
      <c r="F65" s="8">
        <v>2.63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210</v>
      </c>
      <c r="C66" s="12">
        <v>4</v>
      </c>
      <c r="D66" s="8">
        <v>1.37</v>
      </c>
      <c r="E66" s="12">
        <v>4</v>
      </c>
      <c r="F66" s="8">
        <v>2.11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205</v>
      </c>
      <c r="C67" s="12">
        <v>4</v>
      </c>
      <c r="D67" s="8">
        <v>1.37</v>
      </c>
      <c r="E67" s="12">
        <v>2</v>
      </c>
      <c r="F67" s="8">
        <v>1.05</v>
      </c>
      <c r="G67" s="12">
        <v>2</v>
      </c>
      <c r="H67" s="8">
        <v>2.06</v>
      </c>
      <c r="I67" s="12">
        <v>0</v>
      </c>
    </row>
    <row r="68" spans="2:9" ht="15" customHeight="1" x14ac:dyDescent="0.2">
      <c r="B68" t="s">
        <v>194</v>
      </c>
      <c r="C68" s="12">
        <v>4</v>
      </c>
      <c r="D68" s="8">
        <v>1.37</v>
      </c>
      <c r="E68" s="12">
        <v>2</v>
      </c>
      <c r="F68" s="8">
        <v>1.05</v>
      </c>
      <c r="G68" s="12">
        <v>2</v>
      </c>
      <c r="H68" s="8">
        <v>2.06</v>
      </c>
      <c r="I68" s="12">
        <v>0</v>
      </c>
    </row>
    <row r="69" spans="2:9" ht="15" customHeight="1" x14ac:dyDescent="0.2">
      <c r="B69" t="s">
        <v>242</v>
      </c>
      <c r="C69" s="12">
        <v>4</v>
      </c>
      <c r="D69" s="8">
        <v>1.37</v>
      </c>
      <c r="E69" s="12">
        <v>1</v>
      </c>
      <c r="F69" s="8">
        <v>0.53</v>
      </c>
      <c r="G69" s="12">
        <v>3</v>
      </c>
      <c r="H69" s="8">
        <v>3.09</v>
      </c>
      <c r="I69" s="12">
        <v>0</v>
      </c>
    </row>
    <row r="70" spans="2:9" ht="15" customHeight="1" x14ac:dyDescent="0.2">
      <c r="B70" t="s">
        <v>186</v>
      </c>
      <c r="C70" s="12">
        <v>4</v>
      </c>
      <c r="D70" s="8">
        <v>1.37</v>
      </c>
      <c r="E70" s="12">
        <v>4</v>
      </c>
      <c r="F70" s="8">
        <v>2.11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189</v>
      </c>
      <c r="C71" s="12">
        <v>4</v>
      </c>
      <c r="D71" s="8">
        <v>1.37</v>
      </c>
      <c r="E71" s="12">
        <v>4</v>
      </c>
      <c r="F71" s="8">
        <v>2.11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3CD4E-8F3D-4F9C-B7B2-1F2EEDB9A6A9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432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55</v>
      </c>
      <c r="D6" s="8">
        <v>6.91</v>
      </c>
      <c r="E6" s="12">
        <v>20</v>
      </c>
      <c r="F6" s="8">
        <v>3.73</v>
      </c>
      <c r="G6" s="12">
        <v>35</v>
      </c>
      <c r="H6" s="8">
        <v>13.89</v>
      </c>
      <c r="I6" s="12">
        <v>0</v>
      </c>
    </row>
    <row r="7" spans="2:9" ht="15" customHeight="1" x14ac:dyDescent="0.2">
      <c r="B7" t="s">
        <v>80</v>
      </c>
      <c r="C7" s="12">
        <v>12</v>
      </c>
      <c r="D7" s="8">
        <v>1.51</v>
      </c>
      <c r="E7" s="12">
        <v>5</v>
      </c>
      <c r="F7" s="8">
        <v>0.93</v>
      </c>
      <c r="G7" s="12">
        <v>7</v>
      </c>
      <c r="H7" s="8">
        <v>2.78</v>
      </c>
      <c r="I7" s="12">
        <v>0</v>
      </c>
    </row>
    <row r="8" spans="2:9" ht="15" customHeight="1" x14ac:dyDescent="0.2">
      <c r="B8" t="s">
        <v>81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5</v>
      </c>
      <c r="D9" s="8">
        <v>0.63</v>
      </c>
      <c r="E9" s="12">
        <v>1</v>
      </c>
      <c r="F9" s="8">
        <v>0.19</v>
      </c>
      <c r="G9" s="12">
        <v>4</v>
      </c>
      <c r="H9" s="8">
        <v>1.59</v>
      </c>
      <c r="I9" s="12">
        <v>0</v>
      </c>
    </row>
    <row r="10" spans="2:9" ht="15" customHeight="1" x14ac:dyDescent="0.2">
      <c r="B10" t="s">
        <v>83</v>
      </c>
      <c r="C10" s="12">
        <v>1</v>
      </c>
      <c r="D10" s="8">
        <v>0.13</v>
      </c>
      <c r="E10" s="12">
        <v>0</v>
      </c>
      <c r="F10" s="8">
        <v>0</v>
      </c>
      <c r="G10" s="12">
        <v>0</v>
      </c>
      <c r="H10" s="8">
        <v>0</v>
      </c>
      <c r="I10" s="12">
        <v>1</v>
      </c>
    </row>
    <row r="11" spans="2:9" ht="15" customHeight="1" x14ac:dyDescent="0.2">
      <c r="B11" t="s">
        <v>84</v>
      </c>
      <c r="C11" s="12">
        <v>75</v>
      </c>
      <c r="D11" s="8">
        <v>9.42</v>
      </c>
      <c r="E11" s="12">
        <v>37</v>
      </c>
      <c r="F11" s="8">
        <v>6.9</v>
      </c>
      <c r="G11" s="12">
        <v>38</v>
      </c>
      <c r="H11" s="8">
        <v>15.08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58</v>
      </c>
      <c r="D13" s="8">
        <v>7.29</v>
      </c>
      <c r="E13" s="12">
        <v>32</v>
      </c>
      <c r="F13" s="8">
        <v>5.97</v>
      </c>
      <c r="G13" s="12">
        <v>26</v>
      </c>
      <c r="H13" s="8">
        <v>10.32</v>
      </c>
      <c r="I13" s="12">
        <v>0</v>
      </c>
    </row>
    <row r="14" spans="2:9" ht="15" customHeight="1" x14ac:dyDescent="0.2">
      <c r="B14" t="s">
        <v>87</v>
      </c>
      <c r="C14" s="12">
        <v>16</v>
      </c>
      <c r="D14" s="8">
        <v>2.0099999999999998</v>
      </c>
      <c r="E14" s="12">
        <v>7</v>
      </c>
      <c r="F14" s="8">
        <v>1.31</v>
      </c>
      <c r="G14" s="12">
        <v>6</v>
      </c>
      <c r="H14" s="8">
        <v>2.38</v>
      </c>
      <c r="I14" s="12">
        <v>0</v>
      </c>
    </row>
    <row r="15" spans="2:9" ht="15" customHeight="1" x14ac:dyDescent="0.2">
      <c r="B15" t="s">
        <v>88</v>
      </c>
      <c r="C15" s="12">
        <v>498</v>
      </c>
      <c r="D15" s="8">
        <v>62.56</v>
      </c>
      <c r="E15" s="12">
        <v>397</v>
      </c>
      <c r="F15" s="8">
        <v>74.069999999999993</v>
      </c>
      <c r="G15" s="12">
        <v>101</v>
      </c>
      <c r="H15" s="8">
        <v>40.08</v>
      </c>
      <c r="I15" s="12">
        <v>0</v>
      </c>
    </row>
    <row r="16" spans="2:9" ht="15" customHeight="1" x14ac:dyDescent="0.2">
      <c r="B16" t="s">
        <v>89</v>
      </c>
      <c r="C16" s="12">
        <v>39</v>
      </c>
      <c r="D16" s="8">
        <v>4.9000000000000004</v>
      </c>
      <c r="E16" s="12">
        <v>22</v>
      </c>
      <c r="F16" s="8">
        <v>4.0999999999999996</v>
      </c>
      <c r="G16" s="12">
        <v>16</v>
      </c>
      <c r="H16" s="8">
        <v>6.35</v>
      </c>
      <c r="I16" s="12">
        <v>0</v>
      </c>
    </row>
    <row r="17" spans="2:9" ht="15" customHeight="1" x14ac:dyDescent="0.2">
      <c r="B17" t="s">
        <v>90</v>
      </c>
      <c r="C17" s="12">
        <v>12</v>
      </c>
      <c r="D17" s="8">
        <v>1.51</v>
      </c>
      <c r="E17" s="12">
        <v>3</v>
      </c>
      <c r="F17" s="8">
        <v>0.56000000000000005</v>
      </c>
      <c r="G17" s="12">
        <v>8</v>
      </c>
      <c r="H17" s="8">
        <v>3.17</v>
      </c>
      <c r="I17" s="12">
        <v>0</v>
      </c>
    </row>
    <row r="18" spans="2:9" ht="15" customHeight="1" x14ac:dyDescent="0.2">
      <c r="B18" t="s">
        <v>91</v>
      </c>
      <c r="C18" s="12">
        <v>16</v>
      </c>
      <c r="D18" s="8">
        <v>2.0099999999999998</v>
      </c>
      <c r="E18" s="12">
        <v>11</v>
      </c>
      <c r="F18" s="8">
        <v>2.0499999999999998</v>
      </c>
      <c r="G18" s="12">
        <v>4</v>
      </c>
      <c r="H18" s="8">
        <v>1.59</v>
      </c>
      <c r="I18" s="12">
        <v>0</v>
      </c>
    </row>
    <row r="19" spans="2:9" ht="15" customHeight="1" x14ac:dyDescent="0.2">
      <c r="B19" t="s">
        <v>92</v>
      </c>
      <c r="C19" s="12">
        <v>9</v>
      </c>
      <c r="D19" s="8">
        <v>1.1299999999999999</v>
      </c>
      <c r="E19" s="12">
        <v>1</v>
      </c>
      <c r="F19" s="8">
        <v>0.19</v>
      </c>
      <c r="G19" s="12">
        <v>7</v>
      </c>
      <c r="H19" s="8">
        <v>2.78</v>
      </c>
      <c r="I19" s="12">
        <v>0</v>
      </c>
    </row>
    <row r="20" spans="2:9" ht="15" customHeight="1" x14ac:dyDescent="0.2">
      <c r="B20" s="9" t="s">
        <v>363</v>
      </c>
      <c r="C20" s="12">
        <f>SUM(LTBL_20485[総数／事業所数])</f>
        <v>796</v>
      </c>
      <c r="E20" s="12">
        <f>SUBTOTAL(109,LTBL_20485[個人／事業所数])</f>
        <v>536</v>
      </c>
      <c r="G20" s="12">
        <f>SUBTOTAL(109,LTBL_20485[法人／事業所数])</f>
        <v>252</v>
      </c>
      <c r="I20" s="12">
        <f>SUBTOTAL(109,LTBL_20485[法人以外の団体／事業所数])</f>
        <v>1</v>
      </c>
    </row>
    <row r="21" spans="2:9" ht="15" customHeight="1" x14ac:dyDescent="0.2">
      <c r="E21" s="11">
        <f>LTBL_20485[[#Totals],[個人／事業所数]]/LTBL_20485[[#Totals],[総数／事業所数]]</f>
        <v>0.6733668341708543</v>
      </c>
      <c r="G21" s="11">
        <f>LTBL_20485[[#Totals],[法人／事業所数]]/LTBL_20485[[#Totals],[総数／事業所数]]</f>
        <v>0.3165829145728643</v>
      </c>
      <c r="I21" s="11">
        <f>LTBL_20485[[#Totals],[法人以外の団体／事業所数]]/LTBL_20485[[#Totals],[総数／事業所数]]</f>
        <v>1.2562814070351759E-3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114</v>
      </c>
      <c r="C24" s="12">
        <v>397</v>
      </c>
      <c r="D24" s="8">
        <v>49.87</v>
      </c>
      <c r="E24" s="12">
        <v>314</v>
      </c>
      <c r="F24" s="8">
        <v>58.58</v>
      </c>
      <c r="G24" s="12">
        <v>83</v>
      </c>
      <c r="H24" s="8">
        <v>32.94</v>
      </c>
      <c r="I24" s="12">
        <v>0</v>
      </c>
    </row>
    <row r="25" spans="2:9" ht="15" customHeight="1" x14ac:dyDescent="0.2">
      <c r="B25" t="s">
        <v>115</v>
      </c>
      <c r="C25" s="12">
        <v>99</v>
      </c>
      <c r="D25" s="8">
        <v>12.44</v>
      </c>
      <c r="E25" s="12">
        <v>81</v>
      </c>
      <c r="F25" s="8">
        <v>15.11</v>
      </c>
      <c r="G25" s="12">
        <v>18</v>
      </c>
      <c r="H25" s="8">
        <v>7.14</v>
      </c>
      <c r="I25" s="12">
        <v>0</v>
      </c>
    </row>
    <row r="26" spans="2:9" ht="15" customHeight="1" x14ac:dyDescent="0.2">
      <c r="B26" t="s">
        <v>111</v>
      </c>
      <c r="C26" s="12">
        <v>41</v>
      </c>
      <c r="D26" s="8">
        <v>5.15</v>
      </c>
      <c r="E26" s="12">
        <v>28</v>
      </c>
      <c r="F26" s="8">
        <v>5.22</v>
      </c>
      <c r="G26" s="12">
        <v>13</v>
      </c>
      <c r="H26" s="8">
        <v>5.16</v>
      </c>
      <c r="I26" s="12">
        <v>0</v>
      </c>
    </row>
    <row r="27" spans="2:9" ht="15" customHeight="1" x14ac:dyDescent="0.2">
      <c r="B27" t="s">
        <v>110</v>
      </c>
      <c r="C27" s="12">
        <v>32</v>
      </c>
      <c r="D27" s="8">
        <v>4.0199999999999996</v>
      </c>
      <c r="E27" s="12">
        <v>13</v>
      </c>
      <c r="F27" s="8">
        <v>2.4300000000000002</v>
      </c>
      <c r="G27" s="12">
        <v>19</v>
      </c>
      <c r="H27" s="8">
        <v>7.54</v>
      </c>
      <c r="I27" s="12">
        <v>0</v>
      </c>
    </row>
    <row r="28" spans="2:9" ht="15" customHeight="1" x14ac:dyDescent="0.2">
      <c r="B28" t="s">
        <v>101</v>
      </c>
      <c r="C28" s="12">
        <v>28</v>
      </c>
      <c r="D28" s="8">
        <v>3.52</v>
      </c>
      <c r="E28" s="12">
        <v>8</v>
      </c>
      <c r="F28" s="8">
        <v>1.49</v>
      </c>
      <c r="G28" s="12">
        <v>20</v>
      </c>
      <c r="H28" s="8">
        <v>7.94</v>
      </c>
      <c r="I28" s="12">
        <v>0</v>
      </c>
    </row>
    <row r="29" spans="2:9" ht="15" customHeight="1" x14ac:dyDescent="0.2">
      <c r="B29" t="s">
        <v>116</v>
      </c>
      <c r="C29" s="12">
        <v>28</v>
      </c>
      <c r="D29" s="8">
        <v>3.52</v>
      </c>
      <c r="E29" s="12">
        <v>21</v>
      </c>
      <c r="F29" s="8">
        <v>3.92</v>
      </c>
      <c r="G29" s="12">
        <v>7</v>
      </c>
      <c r="H29" s="8">
        <v>2.78</v>
      </c>
      <c r="I29" s="12">
        <v>0</v>
      </c>
    </row>
    <row r="30" spans="2:9" ht="15" customHeight="1" x14ac:dyDescent="0.2">
      <c r="B30" t="s">
        <v>108</v>
      </c>
      <c r="C30" s="12">
        <v>22</v>
      </c>
      <c r="D30" s="8">
        <v>2.76</v>
      </c>
      <c r="E30" s="12">
        <v>13</v>
      </c>
      <c r="F30" s="8">
        <v>2.4300000000000002</v>
      </c>
      <c r="G30" s="12">
        <v>9</v>
      </c>
      <c r="H30" s="8">
        <v>3.57</v>
      </c>
      <c r="I30" s="12">
        <v>0</v>
      </c>
    </row>
    <row r="31" spans="2:9" ht="15" customHeight="1" x14ac:dyDescent="0.2">
      <c r="B31" t="s">
        <v>103</v>
      </c>
      <c r="C31" s="12">
        <v>15</v>
      </c>
      <c r="D31" s="8">
        <v>1.88</v>
      </c>
      <c r="E31" s="12">
        <v>6</v>
      </c>
      <c r="F31" s="8">
        <v>1.1200000000000001</v>
      </c>
      <c r="G31" s="12">
        <v>9</v>
      </c>
      <c r="H31" s="8">
        <v>3.57</v>
      </c>
      <c r="I31" s="12">
        <v>0</v>
      </c>
    </row>
    <row r="32" spans="2:9" ht="15" customHeight="1" x14ac:dyDescent="0.2">
      <c r="B32" t="s">
        <v>102</v>
      </c>
      <c r="C32" s="12">
        <v>12</v>
      </c>
      <c r="D32" s="8">
        <v>1.51</v>
      </c>
      <c r="E32" s="12">
        <v>6</v>
      </c>
      <c r="F32" s="8">
        <v>1.1200000000000001</v>
      </c>
      <c r="G32" s="12">
        <v>6</v>
      </c>
      <c r="H32" s="8">
        <v>2.38</v>
      </c>
      <c r="I32" s="12">
        <v>0</v>
      </c>
    </row>
    <row r="33" spans="2:9" ht="15" customHeight="1" x14ac:dyDescent="0.2">
      <c r="B33" t="s">
        <v>117</v>
      </c>
      <c r="C33" s="12">
        <v>12</v>
      </c>
      <c r="D33" s="8">
        <v>1.51</v>
      </c>
      <c r="E33" s="12">
        <v>3</v>
      </c>
      <c r="F33" s="8">
        <v>0.56000000000000005</v>
      </c>
      <c r="G33" s="12">
        <v>8</v>
      </c>
      <c r="H33" s="8">
        <v>3.17</v>
      </c>
      <c r="I33" s="12">
        <v>0</v>
      </c>
    </row>
    <row r="34" spans="2:9" ht="15" customHeight="1" x14ac:dyDescent="0.2">
      <c r="B34" t="s">
        <v>118</v>
      </c>
      <c r="C34" s="12">
        <v>10</v>
      </c>
      <c r="D34" s="8">
        <v>1.26</v>
      </c>
      <c r="E34" s="12">
        <v>10</v>
      </c>
      <c r="F34" s="8">
        <v>1.87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123</v>
      </c>
      <c r="C35" s="12">
        <v>9</v>
      </c>
      <c r="D35" s="8">
        <v>1.1299999999999999</v>
      </c>
      <c r="E35" s="12">
        <v>1</v>
      </c>
      <c r="F35" s="8">
        <v>0.19</v>
      </c>
      <c r="G35" s="12">
        <v>8</v>
      </c>
      <c r="H35" s="8">
        <v>3.17</v>
      </c>
      <c r="I35" s="12">
        <v>0</v>
      </c>
    </row>
    <row r="36" spans="2:9" ht="15" customHeight="1" x14ac:dyDescent="0.2">
      <c r="B36" t="s">
        <v>113</v>
      </c>
      <c r="C36" s="12">
        <v>9</v>
      </c>
      <c r="D36" s="8">
        <v>1.1299999999999999</v>
      </c>
      <c r="E36" s="12">
        <v>4</v>
      </c>
      <c r="F36" s="8">
        <v>0.75</v>
      </c>
      <c r="G36" s="12">
        <v>2</v>
      </c>
      <c r="H36" s="8">
        <v>0.79</v>
      </c>
      <c r="I36" s="12">
        <v>0</v>
      </c>
    </row>
    <row r="37" spans="2:9" ht="15" customHeight="1" x14ac:dyDescent="0.2">
      <c r="B37" t="s">
        <v>107</v>
      </c>
      <c r="C37" s="12">
        <v>8</v>
      </c>
      <c r="D37" s="8">
        <v>1.01</v>
      </c>
      <c r="E37" s="12">
        <v>6</v>
      </c>
      <c r="F37" s="8">
        <v>1.1200000000000001</v>
      </c>
      <c r="G37" s="12">
        <v>2</v>
      </c>
      <c r="H37" s="8">
        <v>0.79</v>
      </c>
      <c r="I37" s="12">
        <v>0</v>
      </c>
    </row>
    <row r="38" spans="2:9" ht="15" customHeight="1" x14ac:dyDescent="0.2">
      <c r="B38" t="s">
        <v>153</v>
      </c>
      <c r="C38" s="12">
        <v>8</v>
      </c>
      <c r="D38" s="8">
        <v>1.01</v>
      </c>
      <c r="E38" s="12">
        <v>3</v>
      </c>
      <c r="F38" s="8">
        <v>0.56000000000000005</v>
      </c>
      <c r="G38" s="12">
        <v>5</v>
      </c>
      <c r="H38" s="8">
        <v>1.98</v>
      </c>
      <c r="I38" s="12">
        <v>0</v>
      </c>
    </row>
    <row r="39" spans="2:9" ht="15" customHeight="1" x14ac:dyDescent="0.2">
      <c r="B39" t="s">
        <v>132</v>
      </c>
      <c r="C39" s="12">
        <v>8</v>
      </c>
      <c r="D39" s="8">
        <v>1.01</v>
      </c>
      <c r="E39" s="12">
        <v>1</v>
      </c>
      <c r="F39" s="8">
        <v>0.19</v>
      </c>
      <c r="G39" s="12">
        <v>6</v>
      </c>
      <c r="H39" s="8">
        <v>2.38</v>
      </c>
      <c r="I39" s="12">
        <v>0</v>
      </c>
    </row>
    <row r="40" spans="2:9" ht="15" customHeight="1" x14ac:dyDescent="0.2">
      <c r="B40" t="s">
        <v>119</v>
      </c>
      <c r="C40" s="12">
        <v>6</v>
      </c>
      <c r="D40" s="8">
        <v>0.75</v>
      </c>
      <c r="E40" s="12">
        <v>1</v>
      </c>
      <c r="F40" s="8">
        <v>0.19</v>
      </c>
      <c r="G40" s="12">
        <v>4</v>
      </c>
      <c r="H40" s="8">
        <v>1.59</v>
      </c>
      <c r="I40" s="12">
        <v>0</v>
      </c>
    </row>
    <row r="41" spans="2:9" ht="15" customHeight="1" x14ac:dyDescent="0.2">
      <c r="B41" t="s">
        <v>112</v>
      </c>
      <c r="C41" s="12">
        <v>5</v>
      </c>
      <c r="D41" s="8">
        <v>0.63</v>
      </c>
      <c r="E41" s="12">
        <v>3</v>
      </c>
      <c r="F41" s="8">
        <v>0.56000000000000005</v>
      </c>
      <c r="G41" s="12">
        <v>2</v>
      </c>
      <c r="H41" s="8">
        <v>0.79</v>
      </c>
      <c r="I41" s="12">
        <v>0</v>
      </c>
    </row>
    <row r="42" spans="2:9" ht="15" customHeight="1" x14ac:dyDescent="0.2">
      <c r="B42" t="s">
        <v>127</v>
      </c>
      <c r="C42" s="12">
        <v>4</v>
      </c>
      <c r="D42" s="8">
        <v>0.5</v>
      </c>
      <c r="E42" s="12">
        <v>3</v>
      </c>
      <c r="F42" s="8">
        <v>0.56000000000000005</v>
      </c>
      <c r="G42" s="12">
        <v>1</v>
      </c>
      <c r="H42" s="8">
        <v>0.4</v>
      </c>
      <c r="I42" s="12">
        <v>0</v>
      </c>
    </row>
    <row r="43" spans="2:9" ht="15" customHeight="1" x14ac:dyDescent="0.2">
      <c r="B43" t="s">
        <v>122</v>
      </c>
      <c r="C43" s="12">
        <v>4</v>
      </c>
      <c r="D43" s="8">
        <v>0.5</v>
      </c>
      <c r="E43" s="12">
        <v>2</v>
      </c>
      <c r="F43" s="8">
        <v>0.37</v>
      </c>
      <c r="G43" s="12">
        <v>2</v>
      </c>
      <c r="H43" s="8">
        <v>0.79</v>
      </c>
      <c r="I43" s="12">
        <v>0</v>
      </c>
    </row>
    <row r="44" spans="2:9" ht="15" customHeight="1" x14ac:dyDescent="0.2">
      <c r="B44" t="s">
        <v>124</v>
      </c>
      <c r="C44" s="12">
        <v>4</v>
      </c>
      <c r="D44" s="8">
        <v>0.5</v>
      </c>
      <c r="E44" s="12">
        <v>0</v>
      </c>
      <c r="F44" s="8">
        <v>0</v>
      </c>
      <c r="G44" s="12">
        <v>4</v>
      </c>
      <c r="H44" s="8">
        <v>1.59</v>
      </c>
      <c r="I44" s="12">
        <v>0</v>
      </c>
    </row>
    <row r="47" spans="2:9" ht="33" customHeight="1" x14ac:dyDescent="0.2">
      <c r="B47" t="s">
        <v>365</v>
      </c>
      <c r="C47" s="10" t="s">
        <v>94</v>
      </c>
      <c r="D47" s="10" t="s">
        <v>95</v>
      </c>
      <c r="E47" s="10" t="s">
        <v>96</v>
      </c>
      <c r="F47" s="10" t="s">
        <v>97</v>
      </c>
      <c r="G47" s="10" t="s">
        <v>98</v>
      </c>
      <c r="H47" s="10" t="s">
        <v>99</v>
      </c>
      <c r="I47" s="10" t="s">
        <v>100</v>
      </c>
    </row>
    <row r="48" spans="2:9" ht="15" customHeight="1" x14ac:dyDescent="0.2">
      <c r="B48" t="s">
        <v>185</v>
      </c>
      <c r="C48" s="12">
        <v>319</v>
      </c>
      <c r="D48" s="8">
        <v>40.08</v>
      </c>
      <c r="E48" s="12">
        <v>261</v>
      </c>
      <c r="F48" s="8">
        <v>48.69</v>
      </c>
      <c r="G48" s="12">
        <v>58</v>
      </c>
      <c r="H48" s="8">
        <v>23.02</v>
      </c>
      <c r="I48" s="12">
        <v>0</v>
      </c>
    </row>
    <row r="49" spans="2:9" ht="15" customHeight="1" x14ac:dyDescent="0.2">
      <c r="B49" t="s">
        <v>247</v>
      </c>
      <c r="C49" s="12">
        <v>73</v>
      </c>
      <c r="D49" s="8">
        <v>9.17</v>
      </c>
      <c r="E49" s="12">
        <v>51</v>
      </c>
      <c r="F49" s="8">
        <v>9.51</v>
      </c>
      <c r="G49" s="12">
        <v>22</v>
      </c>
      <c r="H49" s="8">
        <v>8.73</v>
      </c>
      <c r="I49" s="12">
        <v>0</v>
      </c>
    </row>
    <row r="50" spans="2:9" ht="15" customHeight="1" x14ac:dyDescent="0.2">
      <c r="B50" t="s">
        <v>183</v>
      </c>
      <c r="C50" s="12">
        <v>36</v>
      </c>
      <c r="D50" s="8">
        <v>4.5199999999999996</v>
      </c>
      <c r="E50" s="12">
        <v>27</v>
      </c>
      <c r="F50" s="8">
        <v>5.04</v>
      </c>
      <c r="G50" s="12">
        <v>9</v>
      </c>
      <c r="H50" s="8">
        <v>3.57</v>
      </c>
      <c r="I50" s="12">
        <v>0</v>
      </c>
    </row>
    <row r="51" spans="2:9" ht="15" customHeight="1" x14ac:dyDescent="0.2">
      <c r="B51" t="s">
        <v>187</v>
      </c>
      <c r="C51" s="12">
        <v>29</v>
      </c>
      <c r="D51" s="8">
        <v>3.64</v>
      </c>
      <c r="E51" s="12">
        <v>19</v>
      </c>
      <c r="F51" s="8">
        <v>3.54</v>
      </c>
      <c r="G51" s="12">
        <v>10</v>
      </c>
      <c r="H51" s="8">
        <v>3.97</v>
      </c>
      <c r="I51" s="12">
        <v>0</v>
      </c>
    </row>
    <row r="52" spans="2:9" ht="15" customHeight="1" x14ac:dyDescent="0.2">
      <c r="B52" t="s">
        <v>188</v>
      </c>
      <c r="C52" s="12">
        <v>22</v>
      </c>
      <c r="D52" s="8">
        <v>2.76</v>
      </c>
      <c r="E52" s="12">
        <v>20</v>
      </c>
      <c r="F52" s="8">
        <v>3.73</v>
      </c>
      <c r="G52" s="12">
        <v>2</v>
      </c>
      <c r="H52" s="8">
        <v>0.79</v>
      </c>
      <c r="I52" s="12">
        <v>0</v>
      </c>
    </row>
    <row r="53" spans="2:9" ht="15" customHeight="1" x14ac:dyDescent="0.2">
      <c r="B53" t="s">
        <v>186</v>
      </c>
      <c r="C53" s="12">
        <v>17</v>
      </c>
      <c r="D53" s="8">
        <v>2.14</v>
      </c>
      <c r="E53" s="12">
        <v>15</v>
      </c>
      <c r="F53" s="8">
        <v>2.8</v>
      </c>
      <c r="G53" s="12">
        <v>2</v>
      </c>
      <c r="H53" s="8">
        <v>0.79</v>
      </c>
      <c r="I53" s="12">
        <v>0</v>
      </c>
    </row>
    <row r="54" spans="2:9" ht="15" customHeight="1" x14ac:dyDescent="0.2">
      <c r="B54" t="s">
        <v>198</v>
      </c>
      <c r="C54" s="12">
        <v>13</v>
      </c>
      <c r="D54" s="8">
        <v>1.63</v>
      </c>
      <c r="E54" s="12">
        <v>11</v>
      </c>
      <c r="F54" s="8">
        <v>2.0499999999999998</v>
      </c>
      <c r="G54" s="12">
        <v>2</v>
      </c>
      <c r="H54" s="8">
        <v>0.79</v>
      </c>
      <c r="I54" s="12">
        <v>0</v>
      </c>
    </row>
    <row r="55" spans="2:9" ht="15" customHeight="1" x14ac:dyDescent="0.2">
      <c r="B55" t="s">
        <v>191</v>
      </c>
      <c r="C55" s="12">
        <v>13</v>
      </c>
      <c r="D55" s="8">
        <v>1.63</v>
      </c>
      <c r="E55" s="12">
        <v>12</v>
      </c>
      <c r="F55" s="8">
        <v>2.2400000000000002</v>
      </c>
      <c r="G55" s="12">
        <v>1</v>
      </c>
      <c r="H55" s="8">
        <v>0.4</v>
      </c>
      <c r="I55" s="12">
        <v>0</v>
      </c>
    </row>
    <row r="56" spans="2:9" ht="15" customHeight="1" x14ac:dyDescent="0.2">
      <c r="B56" t="s">
        <v>282</v>
      </c>
      <c r="C56" s="12">
        <v>12</v>
      </c>
      <c r="D56" s="8">
        <v>1.51</v>
      </c>
      <c r="E56" s="12">
        <v>5</v>
      </c>
      <c r="F56" s="8">
        <v>0.93</v>
      </c>
      <c r="G56" s="12">
        <v>7</v>
      </c>
      <c r="H56" s="8">
        <v>2.78</v>
      </c>
      <c r="I56" s="12">
        <v>0</v>
      </c>
    </row>
    <row r="57" spans="2:9" ht="15" customHeight="1" x14ac:dyDescent="0.2">
      <c r="B57" t="s">
        <v>175</v>
      </c>
      <c r="C57" s="12">
        <v>10</v>
      </c>
      <c r="D57" s="8">
        <v>1.26</v>
      </c>
      <c r="E57" s="12">
        <v>2</v>
      </c>
      <c r="F57" s="8">
        <v>0.37</v>
      </c>
      <c r="G57" s="12">
        <v>8</v>
      </c>
      <c r="H57" s="8">
        <v>3.17</v>
      </c>
      <c r="I57" s="12">
        <v>0</v>
      </c>
    </row>
    <row r="58" spans="2:9" ht="15" customHeight="1" x14ac:dyDescent="0.2">
      <c r="B58" t="s">
        <v>197</v>
      </c>
      <c r="C58" s="12">
        <v>9</v>
      </c>
      <c r="D58" s="8">
        <v>1.1299999999999999</v>
      </c>
      <c r="E58" s="12">
        <v>7</v>
      </c>
      <c r="F58" s="8">
        <v>1.31</v>
      </c>
      <c r="G58" s="12">
        <v>2</v>
      </c>
      <c r="H58" s="8">
        <v>0.79</v>
      </c>
      <c r="I58" s="12">
        <v>0</v>
      </c>
    </row>
    <row r="59" spans="2:9" ht="15" customHeight="1" x14ac:dyDescent="0.2">
      <c r="B59" t="s">
        <v>181</v>
      </c>
      <c r="C59" s="12">
        <v>9</v>
      </c>
      <c r="D59" s="8">
        <v>1.1299999999999999</v>
      </c>
      <c r="E59" s="12">
        <v>4</v>
      </c>
      <c r="F59" s="8">
        <v>0.75</v>
      </c>
      <c r="G59" s="12">
        <v>5</v>
      </c>
      <c r="H59" s="8">
        <v>1.98</v>
      </c>
      <c r="I59" s="12">
        <v>0</v>
      </c>
    </row>
    <row r="60" spans="2:9" ht="15" customHeight="1" x14ac:dyDescent="0.2">
      <c r="B60" t="s">
        <v>220</v>
      </c>
      <c r="C60" s="12">
        <v>9</v>
      </c>
      <c r="D60" s="8">
        <v>1.1299999999999999</v>
      </c>
      <c r="E60" s="12">
        <v>9</v>
      </c>
      <c r="F60" s="8">
        <v>1.68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192</v>
      </c>
      <c r="C61" s="12">
        <v>8</v>
      </c>
      <c r="D61" s="8">
        <v>1.01</v>
      </c>
      <c r="E61" s="12">
        <v>2</v>
      </c>
      <c r="F61" s="8">
        <v>0.37</v>
      </c>
      <c r="G61" s="12">
        <v>6</v>
      </c>
      <c r="H61" s="8">
        <v>2.38</v>
      </c>
      <c r="I61" s="12">
        <v>0</v>
      </c>
    </row>
    <row r="62" spans="2:9" ht="15" customHeight="1" x14ac:dyDescent="0.2">
      <c r="B62" t="s">
        <v>174</v>
      </c>
      <c r="C62" s="12">
        <v>7</v>
      </c>
      <c r="D62" s="8">
        <v>0.88</v>
      </c>
      <c r="E62" s="12">
        <v>0</v>
      </c>
      <c r="F62" s="8">
        <v>0</v>
      </c>
      <c r="G62" s="12">
        <v>7</v>
      </c>
      <c r="H62" s="8">
        <v>2.78</v>
      </c>
      <c r="I62" s="12">
        <v>0</v>
      </c>
    </row>
    <row r="63" spans="2:9" ht="15" customHeight="1" x14ac:dyDescent="0.2">
      <c r="B63" t="s">
        <v>178</v>
      </c>
      <c r="C63" s="12">
        <v>7</v>
      </c>
      <c r="D63" s="8">
        <v>0.88</v>
      </c>
      <c r="E63" s="12">
        <v>2</v>
      </c>
      <c r="F63" s="8">
        <v>0.37</v>
      </c>
      <c r="G63" s="12">
        <v>5</v>
      </c>
      <c r="H63" s="8">
        <v>1.98</v>
      </c>
      <c r="I63" s="12">
        <v>0</v>
      </c>
    </row>
    <row r="64" spans="2:9" ht="15" customHeight="1" x14ac:dyDescent="0.2">
      <c r="B64" t="s">
        <v>214</v>
      </c>
      <c r="C64" s="12">
        <v>7</v>
      </c>
      <c r="D64" s="8">
        <v>0.88</v>
      </c>
      <c r="E64" s="12">
        <v>2</v>
      </c>
      <c r="F64" s="8">
        <v>0.37</v>
      </c>
      <c r="G64" s="12">
        <v>5</v>
      </c>
      <c r="H64" s="8">
        <v>1.98</v>
      </c>
      <c r="I64" s="12">
        <v>0</v>
      </c>
    </row>
    <row r="65" spans="2:9" ht="15" customHeight="1" x14ac:dyDescent="0.2">
      <c r="B65" t="s">
        <v>193</v>
      </c>
      <c r="C65" s="12">
        <v>7</v>
      </c>
      <c r="D65" s="8">
        <v>0.88</v>
      </c>
      <c r="E65" s="12">
        <v>7</v>
      </c>
      <c r="F65" s="8">
        <v>1.31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176</v>
      </c>
      <c r="C66" s="12">
        <v>6</v>
      </c>
      <c r="D66" s="8">
        <v>0.75</v>
      </c>
      <c r="E66" s="12">
        <v>4</v>
      </c>
      <c r="F66" s="8">
        <v>0.75</v>
      </c>
      <c r="G66" s="12">
        <v>2</v>
      </c>
      <c r="H66" s="8">
        <v>0.79</v>
      </c>
      <c r="I66" s="12">
        <v>0</v>
      </c>
    </row>
    <row r="67" spans="2:9" ht="15" customHeight="1" x14ac:dyDescent="0.2">
      <c r="B67" t="s">
        <v>177</v>
      </c>
      <c r="C67" s="12">
        <v>6</v>
      </c>
      <c r="D67" s="8">
        <v>0.75</v>
      </c>
      <c r="E67" s="12">
        <v>3</v>
      </c>
      <c r="F67" s="8">
        <v>0.56000000000000005</v>
      </c>
      <c r="G67" s="12">
        <v>3</v>
      </c>
      <c r="H67" s="8">
        <v>1.19</v>
      </c>
      <c r="I67" s="12">
        <v>0</v>
      </c>
    </row>
    <row r="68" spans="2:9" ht="15" customHeight="1" x14ac:dyDescent="0.2">
      <c r="B68" t="s">
        <v>322</v>
      </c>
      <c r="C68" s="12">
        <v>6</v>
      </c>
      <c r="D68" s="8">
        <v>0.75</v>
      </c>
      <c r="E68" s="12">
        <v>3</v>
      </c>
      <c r="F68" s="8">
        <v>0.56000000000000005</v>
      </c>
      <c r="G68" s="12">
        <v>3</v>
      </c>
      <c r="H68" s="8">
        <v>1.19</v>
      </c>
      <c r="I68" s="12">
        <v>0</v>
      </c>
    </row>
    <row r="69" spans="2:9" ht="15" customHeight="1" x14ac:dyDescent="0.2">
      <c r="B69" t="s">
        <v>184</v>
      </c>
      <c r="C69" s="12">
        <v>6</v>
      </c>
      <c r="D69" s="8">
        <v>0.75</v>
      </c>
      <c r="E69" s="12">
        <v>2</v>
      </c>
      <c r="F69" s="8">
        <v>0.37</v>
      </c>
      <c r="G69" s="12">
        <v>2</v>
      </c>
      <c r="H69" s="8">
        <v>0.79</v>
      </c>
      <c r="I69" s="12">
        <v>0</v>
      </c>
    </row>
    <row r="70" spans="2:9" ht="15" customHeight="1" x14ac:dyDescent="0.2">
      <c r="B70" t="s">
        <v>189</v>
      </c>
      <c r="C70" s="12">
        <v>6</v>
      </c>
      <c r="D70" s="8">
        <v>0.75</v>
      </c>
      <c r="E70" s="12">
        <v>5</v>
      </c>
      <c r="F70" s="8">
        <v>0.93</v>
      </c>
      <c r="G70" s="12">
        <v>1</v>
      </c>
      <c r="H70" s="8">
        <v>0.4</v>
      </c>
      <c r="I70" s="12">
        <v>0</v>
      </c>
    </row>
    <row r="71" spans="2:9" ht="15" customHeight="1" x14ac:dyDescent="0.2">
      <c r="B71" t="s">
        <v>190</v>
      </c>
      <c r="C71" s="12">
        <v>6</v>
      </c>
      <c r="D71" s="8">
        <v>0.75</v>
      </c>
      <c r="E71" s="12">
        <v>6</v>
      </c>
      <c r="F71" s="8">
        <v>1.1200000000000001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F84BB-F8D3-4F62-8314-BD0E6DD8D417}">
  <sheetPr>
    <pageSetUpPr fitToPage="1"/>
  </sheetPr>
  <dimension ref="B2:I9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433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1</v>
      </c>
      <c r="D5" s="8">
        <v>0.45</v>
      </c>
      <c r="E5" s="12">
        <v>1</v>
      </c>
      <c r="F5" s="8">
        <v>0.68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24</v>
      </c>
      <c r="D6" s="8">
        <v>10.76</v>
      </c>
      <c r="E6" s="12">
        <v>13</v>
      </c>
      <c r="F6" s="8">
        <v>8.84</v>
      </c>
      <c r="G6" s="12">
        <v>11</v>
      </c>
      <c r="H6" s="8">
        <v>15.94</v>
      </c>
      <c r="I6" s="12">
        <v>0</v>
      </c>
    </row>
    <row r="7" spans="2:9" ht="15" customHeight="1" x14ac:dyDescent="0.2">
      <c r="B7" t="s">
        <v>80</v>
      </c>
      <c r="C7" s="12">
        <v>4</v>
      </c>
      <c r="D7" s="8">
        <v>1.79</v>
      </c>
      <c r="E7" s="12">
        <v>2</v>
      </c>
      <c r="F7" s="8">
        <v>1.36</v>
      </c>
      <c r="G7" s="12">
        <v>2</v>
      </c>
      <c r="H7" s="8">
        <v>2.9</v>
      </c>
      <c r="I7" s="12">
        <v>0</v>
      </c>
    </row>
    <row r="8" spans="2:9" ht="15" customHeight="1" x14ac:dyDescent="0.2">
      <c r="B8" t="s">
        <v>81</v>
      </c>
      <c r="C8" s="12">
        <v>2</v>
      </c>
      <c r="D8" s="8">
        <v>0.9</v>
      </c>
      <c r="E8" s="12">
        <v>0</v>
      </c>
      <c r="F8" s="8">
        <v>0</v>
      </c>
      <c r="G8" s="12">
        <v>1</v>
      </c>
      <c r="H8" s="8">
        <v>1.45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3</v>
      </c>
      <c r="D10" s="8">
        <v>1.35</v>
      </c>
      <c r="E10" s="12">
        <v>2</v>
      </c>
      <c r="F10" s="8">
        <v>1.36</v>
      </c>
      <c r="G10" s="12">
        <v>1</v>
      </c>
      <c r="H10" s="8">
        <v>1.45</v>
      </c>
      <c r="I10" s="12">
        <v>0</v>
      </c>
    </row>
    <row r="11" spans="2:9" ht="15" customHeight="1" x14ac:dyDescent="0.2">
      <c r="B11" t="s">
        <v>84</v>
      </c>
      <c r="C11" s="12">
        <v>28</v>
      </c>
      <c r="D11" s="8">
        <v>12.56</v>
      </c>
      <c r="E11" s="12">
        <v>14</v>
      </c>
      <c r="F11" s="8">
        <v>9.52</v>
      </c>
      <c r="G11" s="12">
        <v>13</v>
      </c>
      <c r="H11" s="8">
        <v>18.84</v>
      </c>
      <c r="I11" s="12">
        <v>1</v>
      </c>
    </row>
    <row r="12" spans="2:9" ht="15" customHeight="1" x14ac:dyDescent="0.2">
      <c r="B12" t="s">
        <v>85</v>
      </c>
      <c r="C12" s="12">
        <v>1</v>
      </c>
      <c r="D12" s="8">
        <v>0.45</v>
      </c>
      <c r="E12" s="12">
        <v>0</v>
      </c>
      <c r="F12" s="8">
        <v>0</v>
      </c>
      <c r="G12" s="12">
        <v>1</v>
      </c>
      <c r="H12" s="8">
        <v>1.45</v>
      </c>
      <c r="I12" s="12">
        <v>0</v>
      </c>
    </row>
    <row r="13" spans="2:9" ht="15" customHeight="1" x14ac:dyDescent="0.2">
      <c r="B13" t="s">
        <v>86</v>
      </c>
      <c r="C13" s="12">
        <v>5</v>
      </c>
      <c r="D13" s="8">
        <v>2.2400000000000002</v>
      </c>
      <c r="E13" s="12">
        <v>2</v>
      </c>
      <c r="F13" s="8">
        <v>1.36</v>
      </c>
      <c r="G13" s="12">
        <v>3</v>
      </c>
      <c r="H13" s="8">
        <v>4.3499999999999996</v>
      </c>
      <c r="I13" s="12">
        <v>0</v>
      </c>
    </row>
    <row r="14" spans="2:9" ht="15" customHeight="1" x14ac:dyDescent="0.2">
      <c r="B14" t="s">
        <v>87</v>
      </c>
      <c r="C14" s="12">
        <v>4</v>
      </c>
      <c r="D14" s="8">
        <v>1.79</v>
      </c>
      <c r="E14" s="12">
        <v>1</v>
      </c>
      <c r="F14" s="8">
        <v>0.68</v>
      </c>
      <c r="G14" s="12">
        <v>3</v>
      </c>
      <c r="H14" s="8">
        <v>4.3499999999999996</v>
      </c>
      <c r="I14" s="12">
        <v>0</v>
      </c>
    </row>
    <row r="15" spans="2:9" ht="15" customHeight="1" x14ac:dyDescent="0.2">
      <c r="B15" t="s">
        <v>88</v>
      </c>
      <c r="C15" s="12">
        <v>124</v>
      </c>
      <c r="D15" s="8">
        <v>55.61</v>
      </c>
      <c r="E15" s="12">
        <v>96</v>
      </c>
      <c r="F15" s="8">
        <v>65.31</v>
      </c>
      <c r="G15" s="12">
        <v>27</v>
      </c>
      <c r="H15" s="8">
        <v>39.130000000000003</v>
      </c>
      <c r="I15" s="12">
        <v>1</v>
      </c>
    </row>
    <row r="16" spans="2:9" ht="15" customHeight="1" x14ac:dyDescent="0.2">
      <c r="B16" t="s">
        <v>89</v>
      </c>
      <c r="C16" s="12">
        <v>14</v>
      </c>
      <c r="D16" s="8">
        <v>6.28</v>
      </c>
      <c r="E16" s="12">
        <v>10</v>
      </c>
      <c r="F16" s="8">
        <v>6.8</v>
      </c>
      <c r="G16" s="12">
        <v>4</v>
      </c>
      <c r="H16" s="8">
        <v>5.8</v>
      </c>
      <c r="I16" s="12">
        <v>0</v>
      </c>
    </row>
    <row r="17" spans="2:9" ht="15" customHeight="1" x14ac:dyDescent="0.2">
      <c r="B17" t="s">
        <v>90</v>
      </c>
      <c r="C17" s="12">
        <v>7</v>
      </c>
      <c r="D17" s="8">
        <v>3.14</v>
      </c>
      <c r="E17" s="12">
        <v>2</v>
      </c>
      <c r="F17" s="8">
        <v>1.36</v>
      </c>
      <c r="G17" s="12">
        <v>2</v>
      </c>
      <c r="H17" s="8">
        <v>2.9</v>
      </c>
      <c r="I17" s="12">
        <v>0</v>
      </c>
    </row>
    <row r="18" spans="2:9" ht="15" customHeight="1" x14ac:dyDescent="0.2">
      <c r="B18" t="s">
        <v>91</v>
      </c>
      <c r="C18" s="12">
        <v>2</v>
      </c>
      <c r="D18" s="8">
        <v>0.9</v>
      </c>
      <c r="E18" s="12">
        <v>2</v>
      </c>
      <c r="F18" s="8">
        <v>1.36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92</v>
      </c>
      <c r="C19" s="12">
        <v>4</v>
      </c>
      <c r="D19" s="8">
        <v>1.79</v>
      </c>
      <c r="E19" s="12">
        <v>2</v>
      </c>
      <c r="F19" s="8">
        <v>1.36</v>
      </c>
      <c r="G19" s="12">
        <v>1</v>
      </c>
      <c r="H19" s="8">
        <v>1.45</v>
      </c>
      <c r="I19" s="12">
        <v>0</v>
      </c>
    </row>
    <row r="20" spans="2:9" ht="15" customHeight="1" x14ac:dyDescent="0.2">
      <c r="B20" s="9" t="s">
        <v>363</v>
      </c>
      <c r="C20" s="12">
        <f>SUM(LTBL_20486[総数／事業所数])</f>
        <v>223</v>
      </c>
      <c r="E20" s="12">
        <f>SUBTOTAL(109,LTBL_20486[個人／事業所数])</f>
        <v>147</v>
      </c>
      <c r="G20" s="12">
        <f>SUBTOTAL(109,LTBL_20486[法人／事業所数])</f>
        <v>69</v>
      </c>
      <c r="I20" s="12">
        <f>SUBTOTAL(109,LTBL_20486[法人以外の団体／事業所数])</f>
        <v>2</v>
      </c>
    </row>
    <row r="21" spans="2:9" ht="15" customHeight="1" x14ac:dyDescent="0.2">
      <c r="E21" s="11">
        <f>LTBL_20486[[#Totals],[個人／事業所数]]/LTBL_20486[[#Totals],[総数／事業所数]]</f>
        <v>0.65919282511210764</v>
      </c>
      <c r="G21" s="11">
        <f>LTBL_20486[[#Totals],[法人／事業所数]]/LTBL_20486[[#Totals],[総数／事業所数]]</f>
        <v>0.3094170403587444</v>
      </c>
      <c r="I21" s="11">
        <f>LTBL_20486[[#Totals],[法人以外の団体／事業所数]]/LTBL_20486[[#Totals],[総数／事業所数]]</f>
        <v>8.9686098654708519E-3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114</v>
      </c>
      <c r="C24" s="12">
        <v>106</v>
      </c>
      <c r="D24" s="8">
        <v>47.53</v>
      </c>
      <c r="E24" s="12">
        <v>81</v>
      </c>
      <c r="F24" s="8">
        <v>55.1</v>
      </c>
      <c r="G24" s="12">
        <v>24</v>
      </c>
      <c r="H24" s="8">
        <v>34.78</v>
      </c>
      <c r="I24" s="12">
        <v>1</v>
      </c>
    </row>
    <row r="25" spans="2:9" ht="15" customHeight="1" x14ac:dyDescent="0.2">
      <c r="B25" t="s">
        <v>115</v>
      </c>
      <c r="C25" s="12">
        <v>17</v>
      </c>
      <c r="D25" s="8">
        <v>7.62</v>
      </c>
      <c r="E25" s="12">
        <v>14</v>
      </c>
      <c r="F25" s="8">
        <v>9.52</v>
      </c>
      <c r="G25" s="12">
        <v>3</v>
      </c>
      <c r="H25" s="8">
        <v>4.3499999999999996</v>
      </c>
      <c r="I25" s="12">
        <v>0</v>
      </c>
    </row>
    <row r="26" spans="2:9" ht="15" customHeight="1" x14ac:dyDescent="0.2">
      <c r="B26" t="s">
        <v>108</v>
      </c>
      <c r="C26" s="12">
        <v>14</v>
      </c>
      <c r="D26" s="8">
        <v>6.28</v>
      </c>
      <c r="E26" s="12">
        <v>8</v>
      </c>
      <c r="F26" s="8">
        <v>5.44</v>
      </c>
      <c r="G26" s="12">
        <v>5</v>
      </c>
      <c r="H26" s="8">
        <v>7.25</v>
      </c>
      <c r="I26" s="12">
        <v>1</v>
      </c>
    </row>
    <row r="27" spans="2:9" ht="15" customHeight="1" x14ac:dyDescent="0.2">
      <c r="B27" t="s">
        <v>101</v>
      </c>
      <c r="C27" s="12">
        <v>12</v>
      </c>
      <c r="D27" s="8">
        <v>5.38</v>
      </c>
      <c r="E27" s="12">
        <v>5</v>
      </c>
      <c r="F27" s="8">
        <v>3.4</v>
      </c>
      <c r="G27" s="12">
        <v>7</v>
      </c>
      <c r="H27" s="8">
        <v>10.14</v>
      </c>
      <c r="I27" s="12">
        <v>0</v>
      </c>
    </row>
    <row r="28" spans="2:9" ht="15" customHeight="1" x14ac:dyDescent="0.2">
      <c r="B28" t="s">
        <v>116</v>
      </c>
      <c r="C28" s="12">
        <v>11</v>
      </c>
      <c r="D28" s="8">
        <v>4.93</v>
      </c>
      <c r="E28" s="12">
        <v>9</v>
      </c>
      <c r="F28" s="8">
        <v>6.12</v>
      </c>
      <c r="G28" s="12">
        <v>2</v>
      </c>
      <c r="H28" s="8">
        <v>2.9</v>
      </c>
      <c r="I28" s="12">
        <v>0</v>
      </c>
    </row>
    <row r="29" spans="2:9" ht="15" customHeight="1" x14ac:dyDescent="0.2">
      <c r="B29" t="s">
        <v>110</v>
      </c>
      <c r="C29" s="12">
        <v>9</v>
      </c>
      <c r="D29" s="8">
        <v>4.04</v>
      </c>
      <c r="E29" s="12">
        <v>3</v>
      </c>
      <c r="F29" s="8">
        <v>2.04</v>
      </c>
      <c r="G29" s="12">
        <v>6</v>
      </c>
      <c r="H29" s="8">
        <v>8.6999999999999993</v>
      </c>
      <c r="I29" s="12">
        <v>0</v>
      </c>
    </row>
    <row r="30" spans="2:9" ht="15" customHeight="1" x14ac:dyDescent="0.2">
      <c r="B30" t="s">
        <v>102</v>
      </c>
      <c r="C30" s="12">
        <v>7</v>
      </c>
      <c r="D30" s="8">
        <v>3.14</v>
      </c>
      <c r="E30" s="12">
        <v>4</v>
      </c>
      <c r="F30" s="8">
        <v>2.72</v>
      </c>
      <c r="G30" s="12">
        <v>3</v>
      </c>
      <c r="H30" s="8">
        <v>4.3499999999999996</v>
      </c>
      <c r="I30" s="12">
        <v>0</v>
      </c>
    </row>
    <row r="31" spans="2:9" ht="15" customHeight="1" x14ac:dyDescent="0.2">
      <c r="B31" t="s">
        <v>117</v>
      </c>
      <c r="C31" s="12">
        <v>7</v>
      </c>
      <c r="D31" s="8">
        <v>3.14</v>
      </c>
      <c r="E31" s="12">
        <v>2</v>
      </c>
      <c r="F31" s="8">
        <v>1.36</v>
      </c>
      <c r="G31" s="12">
        <v>2</v>
      </c>
      <c r="H31" s="8">
        <v>2.9</v>
      </c>
      <c r="I31" s="12">
        <v>0</v>
      </c>
    </row>
    <row r="32" spans="2:9" ht="15" customHeight="1" x14ac:dyDescent="0.2">
      <c r="B32" t="s">
        <v>103</v>
      </c>
      <c r="C32" s="12">
        <v>5</v>
      </c>
      <c r="D32" s="8">
        <v>2.2400000000000002</v>
      </c>
      <c r="E32" s="12">
        <v>4</v>
      </c>
      <c r="F32" s="8">
        <v>2.72</v>
      </c>
      <c r="G32" s="12">
        <v>1</v>
      </c>
      <c r="H32" s="8">
        <v>1.45</v>
      </c>
      <c r="I32" s="12">
        <v>0</v>
      </c>
    </row>
    <row r="33" spans="2:9" ht="15" customHeight="1" x14ac:dyDescent="0.2">
      <c r="B33" t="s">
        <v>109</v>
      </c>
      <c r="C33" s="12">
        <v>4</v>
      </c>
      <c r="D33" s="8">
        <v>1.79</v>
      </c>
      <c r="E33" s="12">
        <v>3</v>
      </c>
      <c r="F33" s="8">
        <v>2.04</v>
      </c>
      <c r="G33" s="12">
        <v>1</v>
      </c>
      <c r="H33" s="8">
        <v>1.45</v>
      </c>
      <c r="I33" s="12">
        <v>0</v>
      </c>
    </row>
    <row r="34" spans="2:9" ht="15" customHeight="1" x14ac:dyDescent="0.2">
      <c r="B34" t="s">
        <v>153</v>
      </c>
      <c r="C34" s="12">
        <v>3</v>
      </c>
      <c r="D34" s="8">
        <v>1.35</v>
      </c>
      <c r="E34" s="12">
        <v>1</v>
      </c>
      <c r="F34" s="8">
        <v>0.68</v>
      </c>
      <c r="G34" s="12">
        <v>2</v>
      </c>
      <c r="H34" s="8">
        <v>2.9</v>
      </c>
      <c r="I34" s="12">
        <v>0</v>
      </c>
    </row>
    <row r="35" spans="2:9" ht="15" customHeight="1" x14ac:dyDescent="0.2">
      <c r="B35" t="s">
        <v>127</v>
      </c>
      <c r="C35" s="12">
        <v>2</v>
      </c>
      <c r="D35" s="8">
        <v>0.9</v>
      </c>
      <c r="E35" s="12">
        <v>1</v>
      </c>
      <c r="F35" s="8">
        <v>0.68</v>
      </c>
      <c r="G35" s="12">
        <v>1</v>
      </c>
      <c r="H35" s="8">
        <v>1.45</v>
      </c>
      <c r="I35" s="12">
        <v>0</v>
      </c>
    </row>
    <row r="36" spans="2:9" ht="15" customHeight="1" x14ac:dyDescent="0.2">
      <c r="B36" t="s">
        <v>111</v>
      </c>
      <c r="C36" s="12">
        <v>2</v>
      </c>
      <c r="D36" s="8">
        <v>0.9</v>
      </c>
      <c r="E36" s="12">
        <v>1</v>
      </c>
      <c r="F36" s="8">
        <v>0.68</v>
      </c>
      <c r="G36" s="12">
        <v>1</v>
      </c>
      <c r="H36" s="8">
        <v>1.45</v>
      </c>
      <c r="I36" s="12">
        <v>0</v>
      </c>
    </row>
    <row r="37" spans="2:9" ht="15" customHeight="1" x14ac:dyDescent="0.2">
      <c r="B37" t="s">
        <v>112</v>
      </c>
      <c r="C37" s="12">
        <v>2</v>
      </c>
      <c r="D37" s="8">
        <v>0.9</v>
      </c>
      <c r="E37" s="12">
        <v>1</v>
      </c>
      <c r="F37" s="8">
        <v>0.68</v>
      </c>
      <c r="G37" s="12">
        <v>1</v>
      </c>
      <c r="H37" s="8">
        <v>1.45</v>
      </c>
      <c r="I37" s="12">
        <v>0</v>
      </c>
    </row>
    <row r="38" spans="2:9" ht="15" customHeight="1" x14ac:dyDescent="0.2">
      <c r="B38" t="s">
        <v>113</v>
      </c>
      <c r="C38" s="12">
        <v>2</v>
      </c>
      <c r="D38" s="8">
        <v>0.9</v>
      </c>
      <c r="E38" s="12">
        <v>0</v>
      </c>
      <c r="F38" s="8">
        <v>0</v>
      </c>
      <c r="G38" s="12">
        <v>2</v>
      </c>
      <c r="H38" s="8">
        <v>2.9</v>
      </c>
      <c r="I38" s="12">
        <v>0</v>
      </c>
    </row>
    <row r="39" spans="2:9" ht="15" customHeight="1" x14ac:dyDescent="0.2">
      <c r="B39" t="s">
        <v>131</v>
      </c>
      <c r="C39" s="12">
        <v>2</v>
      </c>
      <c r="D39" s="8">
        <v>0.9</v>
      </c>
      <c r="E39" s="12">
        <v>1</v>
      </c>
      <c r="F39" s="8">
        <v>0.68</v>
      </c>
      <c r="G39" s="12">
        <v>1</v>
      </c>
      <c r="H39" s="8">
        <v>1.45</v>
      </c>
      <c r="I39" s="12">
        <v>0</v>
      </c>
    </row>
    <row r="40" spans="2:9" ht="15" customHeight="1" x14ac:dyDescent="0.2">
      <c r="B40" t="s">
        <v>118</v>
      </c>
      <c r="C40" s="12">
        <v>2</v>
      </c>
      <c r="D40" s="8">
        <v>0.9</v>
      </c>
      <c r="E40" s="12">
        <v>2</v>
      </c>
      <c r="F40" s="8">
        <v>1.36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163</v>
      </c>
      <c r="C41" s="12">
        <v>2</v>
      </c>
      <c r="D41" s="8">
        <v>0.9</v>
      </c>
      <c r="E41" s="12">
        <v>0</v>
      </c>
      <c r="F41" s="8">
        <v>0</v>
      </c>
      <c r="G41" s="12">
        <v>1</v>
      </c>
      <c r="H41" s="8">
        <v>1.45</v>
      </c>
      <c r="I41" s="12">
        <v>0</v>
      </c>
    </row>
    <row r="42" spans="2:9" ht="15" customHeight="1" x14ac:dyDescent="0.2">
      <c r="B42" t="s">
        <v>149</v>
      </c>
      <c r="C42" s="12">
        <v>1</v>
      </c>
      <c r="D42" s="8">
        <v>0.45</v>
      </c>
      <c r="E42" s="12">
        <v>1</v>
      </c>
      <c r="F42" s="8">
        <v>0.68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137</v>
      </c>
      <c r="C43" s="12">
        <v>1</v>
      </c>
      <c r="D43" s="8">
        <v>0.45</v>
      </c>
      <c r="E43" s="12">
        <v>0</v>
      </c>
      <c r="F43" s="8">
        <v>0</v>
      </c>
      <c r="G43" s="12">
        <v>1</v>
      </c>
      <c r="H43" s="8">
        <v>1.45</v>
      </c>
      <c r="I43" s="12">
        <v>0</v>
      </c>
    </row>
    <row r="44" spans="2:9" ht="15" customHeight="1" x14ac:dyDescent="0.2">
      <c r="B44" t="s">
        <v>151</v>
      </c>
      <c r="C44" s="12">
        <v>1</v>
      </c>
      <c r="D44" s="8">
        <v>0.45</v>
      </c>
      <c r="E44" s="12">
        <v>1</v>
      </c>
      <c r="F44" s="8">
        <v>0.68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144</v>
      </c>
      <c r="C45" s="12">
        <v>1</v>
      </c>
      <c r="D45" s="8">
        <v>0.45</v>
      </c>
      <c r="E45" s="12">
        <v>0</v>
      </c>
      <c r="F45" s="8">
        <v>0</v>
      </c>
      <c r="G45" s="12">
        <v>1</v>
      </c>
      <c r="H45" s="8">
        <v>1.45</v>
      </c>
      <c r="I45" s="12">
        <v>0</v>
      </c>
    </row>
    <row r="46" spans="2:9" ht="15" customHeight="1" x14ac:dyDescent="0.2">
      <c r="B46" t="s">
        <v>139</v>
      </c>
      <c r="C46" s="12">
        <v>1</v>
      </c>
      <c r="D46" s="8">
        <v>0.45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170</v>
      </c>
      <c r="C47" s="12">
        <v>1</v>
      </c>
      <c r="D47" s="8">
        <v>0.45</v>
      </c>
      <c r="E47" s="12">
        <v>0</v>
      </c>
      <c r="F47" s="8">
        <v>0</v>
      </c>
      <c r="G47" s="12">
        <v>1</v>
      </c>
      <c r="H47" s="8">
        <v>1.45</v>
      </c>
      <c r="I47" s="12">
        <v>0</v>
      </c>
    </row>
    <row r="48" spans="2:9" ht="15" customHeight="1" x14ac:dyDescent="0.2">
      <c r="B48" t="s">
        <v>140</v>
      </c>
      <c r="C48" s="12">
        <v>1</v>
      </c>
      <c r="D48" s="8">
        <v>0.45</v>
      </c>
      <c r="E48" s="12">
        <v>1</v>
      </c>
      <c r="F48" s="8">
        <v>0.68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145</v>
      </c>
      <c r="C49" s="12">
        <v>1</v>
      </c>
      <c r="D49" s="8">
        <v>0.45</v>
      </c>
      <c r="E49" s="12">
        <v>1</v>
      </c>
      <c r="F49" s="8">
        <v>0.68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121</v>
      </c>
      <c r="C50" s="12">
        <v>1</v>
      </c>
      <c r="D50" s="8">
        <v>0.45</v>
      </c>
      <c r="E50" s="12">
        <v>0</v>
      </c>
      <c r="F50" s="8">
        <v>0</v>
      </c>
      <c r="G50" s="12">
        <v>1</v>
      </c>
      <c r="H50" s="8">
        <v>1.45</v>
      </c>
      <c r="I50" s="12">
        <v>0</v>
      </c>
    </row>
    <row r="51" spans="2:9" ht="15" customHeight="1" x14ac:dyDescent="0.2">
      <c r="B51" t="s">
        <v>134</v>
      </c>
      <c r="C51" s="12">
        <v>1</v>
      </c>
      <c r="D51" s="8">
        <v>0.45</v>
      </c>
      <c r="E51" s="12">
        <v>0</v>
      </c>
      <c r="F51" s="8">
        <v>0</v>
      </c>
      <c r="G51" s="12">
        <v>1</v>
      </c>
      <c r="H51" s="8">
        <v>1.45</v>
      </c>
      <c r="I51" s="12">
        <v>0</v>
      </c>
    </row>
    <row r="52" spans="2:9" ht="15" customHeight="1" x14ac:dyDescent="0.2">
      <c r="B52" t="s">
        <v>129</v>
      </c>
      <c r="C52" s="12">
        <v>1</v>
      </c>
      <c r="D52" s="8">
        <v>0.45</v>
      </c>
      <c r="E52" s="12">
        <v>1</v>
      </c>
      <c r="F52" s="8">
        <v>0.68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132</v>
      </c>
      <c r="C53" s="12">
        <v>1</v>
      </c>
      <c r="D53" s="8">
        <v>0.45</v>
      </c>
      <c r="E53" s="12">
        <v>0</v>
      </c>
      <c r="F53" s="8">
        <v>0</v>
      </c>
      <c r="G53" s="12">
        <v>1</v>
      </c>
      <c r="H53" s="8">
        <v>1.45</v>
      </c>
      <c r="I53" s="12">
        <v>0</v>
      </c>
    </row>
    <row r="54" spans="2:9" ht="15" customHeight="1" x14ac:dyDescent="0.2">
      <c r="B54" t="s">
        <v>120</v>
      </c>
      <c r="C54" s="12">
        <v>1</v>
      </c>
      <c r="D54" s="8">
        <v>0.45</v>
      </c>
      <c r="E54" s="12">
        <v>1</v>
      </c>
      <c r="F54" s="8">
        <v>0.68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124</v>
      </c>
      <c r="C55" s="12">
        <v>1</v>
      </c>
      <c r="D55" s="8">
        <v>0.45</v>
      </c>
      <c r="E55" s="12">
        <v>1</v>
      </c>
      <c r="F55" s="8">
        <v>0.68</v>
      </c>
      <c r="G55" s="12">
        <v>0</v>
      </c>
      <c r="H55" s="8">
        <v>0</v>
      </c>
      <c r="I55" s="12">
        <v>0</v>
      </c>
    </row>
    <row r="58" spans="2:9" ht="33" customHeight="1" x14ac:dyDescent="0.2">
      <c r="B58" t="s">
        <v>365</v>
      </c>
      <c r="C58" s="10" t="s">
        <v>94</v>
      </c>
      <c r="D58" s="10" t="s">
        <v>95</v>
      </c>
      <c r="E58" s="10" t="s">
        <v>96</v>
      </c>
      <c r="F58" s="10" t="s">
        <v>97</v>
      </c>
      <c r="G58" s="10" t="s">
        <v>98</v>
      </c>
      <c r="H58" s="10" t="s">
        <v>99</v>
      </c>
      <c r="I58" s="10" t="s">
        <v>100</v>
      </c>
    </row>
    <row r="59" spans="2:9" ht="15" customHeight="1" x14ac:dyDescent="0.2">
      <c r="B59" t="s">
        <v>185</v>
      </c>
      <c r="C59" s="12">
        <v>84</v>
      </c>
      <c r="D59" s="8">
        <v>37.67</v>
      </c>
      <c r="E59" s="12">
        <v>65</v>
      </c>
      <c r="F59" s="8">
        <v>44.22</v>
      </c>
      <c r="G59" s="12">
        <v>18</v>
      </c>
      <c r="H59" s="8">
        <v>26.09</v>
      </c>
      <c r="I59" s="12">
        <v>1</v>
      </c>
    </row>
    <row r="60" spans="2:9" ht="15" customHeight="1" x14ac:dyDescent="0.2">
      <c r="B60" t="s">
        <v>247</v>
      </c>
      <c r="C60" s="12">
        <v>17</v>
      </c>
      <c r="D60" s="8">
        <v>7.62</v>
      </c>
      <c r="E60" s="12">
        <v>14</v>
      </c>
      <c r="F60" s="8">
        <v>9.52</v>
      </c>
      <c r="G60" s="12">
        <v>3</v>
      </c>
      <c r="H60" s="8">
        <v>4.3499999999999996</v>
      </c>
      <c r="I60" s="12">
        <v>0</v>
      </c>
    </row>
    <row r="61" spans="2:9" ht="15" customHeight="1" x14ac:dyDescent="0.2">
      <c r="B61" t="s">
        <v>186</v>
      </c>
      <c r="C61" s="12">
        <v>7</v>
      </c>
      <c r="D61" s="8">
        <v>3.14</v>
      </c>
      <c r="E61" s="12">
        <v>5</v>
      </c>
      <c r="F61" s="8">
        <v>3.4</v>
      </c>
      <c r="G61" s="12">
        <v>2</v>
      </c>
      <c r="H61" s="8">
        <v>2.9</v>
      </c>
      <c r="I61" s="12">
        <v>0</v>
      </c>
    </row>
    <row r="62" spans="2:9" ht="15" customHeight="1" x14ac:dyDescent="0.2">
      <c r="B62" t="s">
        <v>179</v>
      </c>
      <c r="C62" s="12">
        <v>6</v>
      </c>
      <c r="D62" s="8">
        <v>2.69</v>
      </c>
      <c r="E62" s="12">
        <v>4</v>
      </c>
      <c r="F62" s="8">
        <v>2.72</v>
      </c>
      <c r="G62" s="12">
        <v>2</v>
      </c>
      <c r="H62" s="8">
        <v>2.9</v>
      </c>
      <c r="I62" s="12">
        <v>0</v>
      </c>
    </row>
    <row r="63" spans="2:9" ht="15" customHeight="1" x14ac:dyDescent="0.2">
      <c r="B63" t="s">
        <v>174</v>
      </c>
      <c r="C63" s="12">
        <v>5</v>
      </c>
      <c r="D63" s="8">
        <v>2.2400000000000002</v>
      </c>
      <c r="E63" s="12">
        <v>0</v>
      </c>
      <c r="F63" s="8">
        <v>0</v>
      </c>
      <c r="G63" s="12">
        <v>5</v>
      </c>
      <c r="H63" s="8">
        <v>7.25</v>
      </c>
      <c r="I63" s="12">
        <v>0</v>
      </c>
    </row>
    <row r="64" spans="2:9" ht="15" customHeight="1" x14ac:dyDescent="0.2">
      <c r="B64" t="s">
        <v>176</v>
      </c>
      <c r="C64" s="12">
        <v>5</v>
      </c>
      <c r="D64" s="8">
        <v>2.2400000000000002</v>
      </c>
      <c r="E64" s="12">
        <v>4</v>
      </c>
      <c r="F64" s="8">
        <v>2.72</v>
      </c>
      <c r="G64" s="12">
        <v>1</v>
      </c>
      <c r="H64" s="8">
        <v>1.45</v>
      </c>
      <c r="I64" s="12">
        <v>0</v>
      </c>
    </row>
    <row r="65" spans="2:9" ht="15" customHeight="1" x14ac:dyDescent="0.2">
      <c r="B65" t="s">
        <v>197</v>
      </c>
      <c r="C65" s="12">
        <v>5</v>
      </c>
      <c r="D65" s="8">
        <v>2.2400000000000002</v>
      </c>
      <c r="E65" s="12">
        <v>2</v>
      </c>
      <c r="F65" s="8">
        <v>1.36</v>
      </c>
      <c r="G65" s="12">
        <v>2</v>
      </c>
      <c r="H65" s="8">
        <v>2.9</v>
      </c>
      <c r="I65" s="12">
        <v>1</v>
      </c>
    </row>
    <row r="66" spans="2:9" ht="15" customHeight="1" x14ac:dyDescent="0.2">
      <c r="B66" t="s">
        <v>234</v>
      </c>
      <c r="C66" s="12">
        <v>5</v>
      </c>
      <c r="D66" s="8">
        <v>2.2400000000000002</v>
      </c>
      <c r="E66" s="12">
        <v>2</v>
      </c>
      <c r="F66" s="8">
        <v>1.36</v>
      </c>
      <c r="G66" s="12">
        <v>3</v>
      </c>
      <c r="H66" s="8">
        <v>4.3499999999999996</v>
      </c>
      <c r="I66" s="12">
        <v>0</v>
      </c>
    </row>
    <row r="67" spans="2:9" ht="15" customHeight="1" x14ac:dyDescent="0.2">
      <c r="B67" t="s">
        <v>191</v>
      </c>
      <c r="C67" s="12">
        <v>5</v>
      </c>
      <c r="D67" s="8">
        <v>2.2400000000000002</v>
      </c>
      <c r="E67" s="12">
        <v>5</v>
      </c>
      <c r="F67" s="8">
        <v>3.4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187</v>
      </c>
      <c r="C68" s="12">
        <v>4</v>
      </c>
      <c r="D68" s="8">
        <v>1.79</v>
      </c>
      <c r="E68" s="12">
        <v>4</v>
      </c>
      <c r="F68" s="8">
        <v>2.72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224</v>
      </c>
      <c r="C69" s="12">
        <v>3</v>
      </c>
      <c r="D69" s="8">
        <v>1.35</v>
      </c>
      <c r="E69" s="12">
        <v>2</v>
      </c>
      <c r="F69" s="8">
        <v>1.36</v>
      </c>
      <c r="G69" s="12">
        <v>1</v>
      </c>
      <c r="H69" s="8">
        <v>1.45</v>
      </c>
      <c r="I69" s="12">
        <v>0</v>
      </c>
    </row>
    <row r="70" spans="2:9" ht="15" customHeight="1" x14ac:dyDescent="0.2">
      <c r="B70" t="s">
        <v>177</v>
      </c>
      <c r="C70" s="12">
        <v>3</v>
      </c>
      <c r="D70" s="8">
        <v>1.35</v>
      </c>
      <c r="E70" s="12">
        <v>2</v>
      </c>
      <c r="F70" s="8">
        <v>1.36</v>
      </c>
      <c r="G70" s="12">
        <v>1</v>
      </c>
      <c r="H70" s="8">
        <v>1.45</v>
      </c>
      <c r="I70" s="12">
        <v>0</v>
      </c>
    </row>
    <row r="71" spans="2:9" ht="15" customHeight="1" x14ac:dyDescent="0.2">
      <c r="B71" t="s">
        <v>214</v>
      </c>
      <c r="C71" s="12">
        <v>3</v>
      </c>
      <c r="D71" s="8">
        <v>1.35</v>
      </c>
      <c r="E71" s="12">
        <v>2</v>
      </c>
      <c r="F71" s="8">
        <v>1.36</v>
      </c>
      <c r="G71" s="12">
        <v>1</v>
      </c>
      <c r="H71" s="8">
        <v>1.45</v>
      </c>
      <c r="I71" s="12">
        <v>0</v>
      </c>
    </row>
    <row r="72" spans="2:9" ht="15" customHeight="1" x14ac:dyDescent="0.2">
      <c r="B72" t="s">
        <v>181</v>
      </c>
      <c r="C72" s="12">
        <v>3</v>
      </c>
      <c r="D72" s="8">
        <v>1.35</v>
      </c>
      <c r="E72" s="12">
        <v>1</v>
      </c>
      <c r="F72" s="8">
        <v>0.68</v>
      </c>
      <c r="G72" s="12">
        <v>2</v>
      </c>
      <c r="H72" s="8">
        <v>2.9</v>
      </c>
      <c r="I72" s="12">
        <v>0</v>
      </c>
    </row>
    <row r="73" spans="2:9" ht="15" customHeight="1" x14ac:dyDescent="0.2">
      <c r="B73" t="s">
        <v>220</v>
      </c>
      <c r="C73" s="12">
        <v>3</v>
      </c>
      <c r="D73" s="8">
        <v>1.35</v>
      </c>
      <c r="E73" s="12">
        <v>3</v>
      </c>
      <c r="F73" s="8">
        <v>2.04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223</v>
      </c>
      <c r="C74" s="12">
        <v>3</v>
      </c>
      <c r="D74" s="8">
        <v>1.35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192</v>
      </c>
      <c r="C75" s="12">
        <v>3</v>
      </c>
      <c r="D75" s="8">
        <v>1.35</v>
      </c>
      <c r="E75" s="12">
        <v>1</v>
      </c>
      <c r="F75" s="8">
        <v>0.68</v>
      </c>
      <c r="G75" s="12">
        <v>2</v>
      </c>
      <c r="H75" s="8">
        <v>2.9</v>
      </c>
      <c r="I75" s="12">
        <v>0</v>
      </c>
    </row>
    <row r="76" spans="2:9" ht="15" customHeight="1" x14ac:dyDescent="0.2">
      <c r="B76" t="s">
        <v>218</v>
      </c>
      <c r="C76" s="12">
        <v>2</v>
      </c>
      <c r="D76" s="8">
        <v>0.9</v>
      </c>
      <c r="E76" s="12">
        <v>2</v>
      </c>
      <c r="F76" s="8">
        <v>1.36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178</v>
      </c>
      <c r="C77" s="12">
        <v>2</v>
      </c>
      <c r="D77" s="8">
        <v>0.9</v>
      </c>
      <c r="E77" s="12">
        <v>2</v>
      </c>
      <c r="F77" s="8">
        <v>1.36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180</v>
      </c>
      <c r="C78" s="12">
        <v>2</v>
      </c>
      <c r="D78" s="8">
        <v>0.9</v>
      </c>
      <c r="E78" s="12">
        <v>1</v>
      </c>
      <c r="F78" s="8">
        <v>0.68</v>
      </c>
      <c r="G78" s="12">
        <v>1</v>
      </c>
      <c r="H78" s="8">
        <v>1.45</v>
      </c>
      <c r="I78" s="12">
        <v>0</v>
      </c>
    </row>
    <row r="79" spans="2:9" ht="15" customHeight="1" x14ac:dyDescent="0.2">
      <c r="B79" t="s">
        <v>347</v>
      </c>
      <c r="C79" s="12">
        <v>2</v>
      </c>
      <c r="D79" s="8">
        <v>0.9</v>
      </c>
      <c r="E79" s="12">
        <v>2</v>
      </c>
      <c r="F79" s="8">
        <v>1.36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282</v>
      </c>
      <c r="C80" s="12">
        <v>2</v>
      </c>
      <c r="D80" s="8">
        <v>0.9</v>
      </c>
      <c r="E80" s="12">
        <v>1</v>
      </c>
      <c r="F80" s="8">
        <v>0.68</v>
      </c>
      <c r="G80" s="12">
        <v>1</v>
      </c>
      <c r="H80" s="8">
        <v>1.45</v>
      </c>
      <c r="I80" s="12">
        <v>0</v>
      </c>
    </row>
    <row r="81" spans="2:9" ht="15" customHeight="1" x14ac:dyDescent="0.2">
      <c r="B81" t="s">
        <v>183</v>
      </c>
      <c r="C81" s="12">
        <v>2</v>
      </c>
      <c r="D81" s="8">
        <v>0.9</v>
      </c>
      <c r="E81" s="12">
        <v>1</v>
      </c>
      <c r="F81" s="8">
        <v>0.68</v>
      </c>
      <c r="G81" s="12">
        <v>1</v>
      </c>
      <c r="H81" s="8">
        <v>1.45</v>
      </c>
      <c r="I81" s="12">
        <v>0</v>
      </c>
    </row>
    <row r="82" spans="2:9" ht="15" customHeight="1" x14ac:dyDescent="0.2">
      <c r="B82" t="s">
        <v>322</v>
      </c>
      <c r="C82" s="12">
        <v>2</v>
      </c>
      <c r="D82" s="8">
        <v>0.9</v>
      </c>
      <c r="E82" s="12">
        <v>1</v>
      </c>
      <c r="F82" s="8">
        <v>0.68</v>
      </c>
      <c r="G82" s="12">
        <v>1</v>
      </c>
      <c r="H82" s="8">
        <v>1.45</v>
      </c>
      <c r="I82" s="12">
        <v>0</v>
      </c>
    </row>
    <row r="83" spans="2:9" ht="15" customHeight="1" x14ac:dyDescent="0.2">
      <c r="B83" t="s">
        <v>198</v>
      </c>
      <c r="C83" s="12">
        <v>2</v>
      </c>
      <c r="D83" s="8">
        <v>0.9</v>
      </c>
      <c r="E83" s="12">
        <v>1</v>
      </c>
      <c r="F83" s="8">
        <v>0.68</v>
      </c>
      <c r="G83" s="12">
        <v>1</v>
      </c>
      <c r="H83" s="8">
        <v>1.45</v>
      </c>
      <c r="I83" s="12">
        <v>0</v>
      </c>
    </row>
    <row r="84" spans="2:9" ht="15" customHeight="1" x14ac:dyDescent="0.2">
      <c r="B84" t="s">
        <v>199</v>
      </c>
      <c r="C84" s="12">
        <v>2</v>
      </c>
      <c r="D84" s="8">
        <v>0.9</v>
      </c>
      <c r="E84" s="12">
        <v>1</v>
      </c>
      <c r="F84" s="8">
        <v>0.68</v>
      </c>
      <c r="G84" s="12">
        <v>1</v>
      </c>
      <c r="H84" s="8">
        <v>1.45</v>
      </c>
      <c r="I84" s="12">
        <v>0</v>
      </c>
    </row>
    <row r="85" spans="2:9" ht="15" customHeight="1" x14ac:dyDescent="0.2">
      <c r="B85" t="s">
        <v>190</v>
      </c>
      <c r="C85" s="12">
        <v>2</v>
      </c>
      <c r="D85" s="8">
        <v>0.9</v>
      </c>
      <c r="E85" s="12">
        <v>2</v>
      </c>
      <c r="F85" s="8">
        <v>1.36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257</v>
      </c>
      <c r="C86" s="12">
        <v>2</v>
      </c>
      <c r="D86" s="8">
        <v>0.9</v>
      </c>
      <c r="E86" s="12">
        <v>1</v>
      </c>
      <c r="F86" s="8">
        <v>0.68</v>
      </c>
      <c r="G86" s="12">
        <v>1</v>
      </c>
      <c r="H86" s="8">
        <v>1.45</v>
      </c>
      <c r="I86" s="12">
        <v>0</v>
      </c>
    </row>
    <row r="87" spans="2:9" ht="15" customHeight="1" x14ac:dyDescent="0.2">
      <c r="B87" t="s">
        <v>228</v>
      </c>
      <c r="C87" s="12">
        <v>2</v>
      </c>
      <c r="D87" s="8">
        <v>0.9</v>
      </c>
      <c r="E87" s="12">
        <v>1</v>
      </c>
      <c r="F87" s="8">
        <v>0.68</v>
      </c>
      <c r="G87" s="12">
        <v>1</v>
      </c>
      <c r="H87" s="8">
        <v>1.45</v>
      </c>
      <c r="I87" s="12">
        <v>0</v>
      </c>
    </row>
    <row r="88" spans="2:9" ht="15" customHeight="1" x14ac:dyDescent="0.2">
      <c r="B88" t="s">
        <v>193</v>
      </c>
      <c r="C88" s="12">
        <v>2</v>
      </c>
      <c r="D88" s="8">
        <v>0.9</v>
      </c>
      <c r="E88" s="12">
        <v>2</v>
      </c>
      <c r="F88" s="8">
        <v>1.36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290</v>
      </c>
      <c r="C89" s="12">
        <v>2</v>
      </c>
      <c r="D89" s="8">
        <v>0.9</v>
      </c>
      <c r="E89" s="12">
        <v>0</v>
      </c>
      <c r="F89" s="8">
        <v>0</v>
      </c>
      <c r="G89" s="12">
        <v>1</v>
      </c>
      <c r="H89" s="8">
        <v>1.45</v>
      </c>
      <c r="I89" s="12">
        <v>0</v>
      </c>
    </row>
    <row r="91" spans="2:9" ht="15" customHeight="1" x14ac:dyDescent="0.2">
      <c r="B91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C39D0-DDDE-40E1-8EC7-AF9D2244EBCC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434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66</v>
      </c>
      <c r="D6" s="8">
        <v>16.22</v>
      </c>
      <c r="E6" s="12">
        <v>31</v>
      </c>
      <c r="F6" s="8">
        <v>14.29</v>
      </c>
      <c r="G6" s="12">
        <v>35</v>
      </c>
      <c r="H6" s="8">
        <v>18.920000000000002</v>
      </c>
      <c r="I6" s="12">
        <v>0</v>
      </c>
    </row>
    <row r="7" spans="2:9" ht="15" customHeight="1" x14ac:dyDescent="0.2">
      <c r="B7" t="s">
        <v>80</v>
      </c>
      <c r="C7" s="12">
        <v>130</v>
      </c>
      <c r="D7" s="8">
        <v>31.94</v>
      </c>
      <c r="E7" s="12">
        <v>54</v>
      </c>
      <c r="F7" s="8">
        <v>24.88</v>
      </c>
      <c r="G7" s="12">
        <v>76</v>
      </c>
      <c r="H7" s="8">
        <v>41.08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0.25</v>
      </c>
      <c r="E8" s="12">
        <v>0</v>
      </c>
      <c r="F8" s="8">
        <v>0</v>
      </c>
      <c r="G8" s="12">
        <v>1</v>
      </c>
      <c r="H8" s="8">
        <v>0.54</v>
      </c>
      <c r="I8" s="12">
        <v>0</v>
      </c>
    </row>
    <row r="9" spans="2:9" ht="15" customHeight="1" x14ac:dyDescent="0.2">
      <c r="B9" t="s">
        <v>82</v>
      </c>
      <c r="C9" s="12">
        <v>1</v>
      </c>
      <c r="D9" s="8">
        <v>0.25</v>
      </c>
      <c r="E9" s="12">
        <v>0</v>
      </c>
      <c r="F9" s="8">
        <v>0</v>
      </c>
      <c r="G9" s="12">
        <v>1</v>
      </c>
      <c r="H9" s="8">
        <v>0.54</v>
      </c>
      <c r="I9" s="12">
        <v>0</v>
      </c>
    </row>
    <row r="10" spans="2:9" ht="15" customHeight="1" x14ac:dyDescent="0.2">
      <c r="B10" t="s">
        <v>83</v>
      </c>
      <c r="C10" s="12">
        <v>2</v>
      </c>
      <c r="D10" s="8">
        <v>0.49</v>
      </c>
      <c r="E10" s="12">
        <v>0</v>
      </c>
      <c r="F10" s="8">
        <v>0</v>
      </c>
      <c r="G10" s="12">
        <v>2</v>
      </c>
      <c r="H10" s="8">
        <v>1.08</v>
      </c>
      <c r="I10" s="12">
        <v>0</v>
      </c>
    </row>
    <row r="11" spans="2:9" ht="15" customHeight="1" x14ac:dyDescent="0.2">
      <c r="B11" t="s">
        <v>84</v>
      </c>
      <c r="C11" s="12">
        <v>68</v>
      </c>
      <c r="D11" s="8">
        <v>16.71</v>
      </c>
      <c r="E11" s="12">
        <v>31</v>
      </c>
      <c r="F11" s="8">
        <v>14.29</v>
      </c>
      <c r="G11" s="12">
        <v>37</v>
      </c>
      <c r="H11" s="8">
        <v>20</v>
      </c>
      <c r="I11" s="12">
        <v>0</v>
      </c>
    </row>
    <row r="12" spans="2:9" ht="15" customHeight="1" x14ac:dyDescent="0.2">
      <c r="B12" t="s">
        <v>85</v>
      </c>
      <c r="C12" s="12">
        <v>2</v>
      </c>
      <c r="D12" s="8">
        <v>0.49</v>
      </c>
      <c r="E12" s="12">
        <v>1</v>
      </c>
      <c r="F12" s="8">
        <v>0.46</v>
      </c>
      <c r="G12" s="12">
        <v>1</v>
      </c>
      <c r="H12" s="8">
        <v>0.54</v>
      </c>
      <c r="I12" s="12">
        <v>0</v>
      </c>
    </row>
    <row r="13" spans="2:9" ht="15" customHeight="1" x14ac:dyDescent="0.2">
      <c r="B13" t="s">
        <v>86</v>
      </c>
      <c r="C13" s="12">
        <v>11</v>
      </c>
      <c r="D13" s="8">
        <v>2.7</v>
      </c>
      <c r="E13" s="12">
        <v>6</v>
      </c>
      <c r="F13" s="8">
        <v>2.76</v>
      </c>
      <c r="G13" s="12">
        <v>5</v>
      </c>
      <c r="H13" s="8">
        <v>2.7</v>
      </c>
      <c r="I13" s="12">
        <v>0</v>
      </c>
    </row>
    <row r="14" spans="2:9" ht="15" customHeight="1" x14ac:dyDescent="0.2">
      <c r="B14" t="s">
        <v>87</v>
      </c>
      <c r="C14" s="12">
        <v>19</v>
      </c>
      <c r="D14" s="8">
        <v>4.67</v>
      </c>
      <c r="E14" s="12">
        <v>12</v>
      </c>
      <c r="F14" s="8">
        <v>5.53</v>
      </c>
      <c r="G14" s="12">
        <v>6</v>
      </c>
      <c r="H14" s="8">
        <v>3.24</v>
      </c>
      <c r="I14" s="12">
        <v>0</v>
      </c>
    </row>
    <row r="15" spans="2:9" ht="15" customHeight="1" x14ac:dyDescent="0.2">
      <c r="B15" t="s">
        <v>88</v>
      </c>
      <c r="C15" s="12">
        <v>35</v>
      </c>
      <c r="D15" s="8">
        <v>8.6</v>
      </c>
      <c r="E15" s="12">
        <v>28</v>
      </c>
      <c r="F15" s="8">
        <v>12.9</v>
      </c>
      <c r="G15" s="12">
        <v>6</v>
      </c>
      <c r="H15" s="8">
        <v>3.24</v>
      </c>
      <c r="I15" s="12">
        <v>0</v>
      </c>
    </row>
    <row r="16" spans="2:9" ht="15" customHeight="1" x14ac:dyDescent="0.2">
      <c r="B16" t="s">
        <v>89</v>
      </c>
      <c r="C16" s="12">
        <v>38</v>
      </c>
      <c r="D16" s="8">
        <v>9.34</v>
      </c>
      <c r="E16" s="12">
        <v>30</v>
      </c>
      <c r="F16" s="8">
        <v>13.82</v>
      </c>
      <c r="G16" s="12">
        <v>8</v>
      </c>
      <c r="H16" s="8">
        <v>4.32</v>
      </c>
      <c r="I16" s="12">
        <v>0</v>
      </c>
    </row>
    <row r="17" spans="2:9" ht="15" customHeight="1" x14ac:dyDescent="0.2">
      <c r="B17" t="s">
        <v>90</v>
      </c>
      <c r="C17" s="12">
        <v>12</v>
      </c>
      <c r="D17" s="8">
        <v>2.95</v>
      </c>
      <c r="E17" s="12">
        <v>10</v>
      </c>
      <c r="F17" s="8">
        <v>4.6100000000000003</v>
      </c>
      <c r="G17" s="12">
        <v>1</v>
      </c>
      <c r="H17" s="8">
        <v>0.54</v>
      </c>
      <c r="I17" s="12">
        <v>0</v>
      </c>
    </row>
    <row r="18" spans="2:9" ht="15" customHeight="1" x14ac:dyDescent="0.2">
      <c r="B18" t="s">
        <v>91</v>
      </c>
      <c r="C18" s="12">
        <v>14</v>
      </c>
      <c r="D18" s="8">
        <v>3.44</v>
      </c>
      <c r="E18" s="12">
        <v>11</v>
      </c>
      <c r="F18" s="8">
        <v>5.07</v>
      </c>
      <c r="G18" s="12">
        <v>1</v>
      </c>
      <c r="H18" s="8">
        <v>0.54</v>
      </c>
      <c r="I18" s="12">
        <v>0</v>
      </c>
    </row>
    <row r="19" spans="2:9" ht="15" customHeight="1" x14ac:dyDescent="0.2">
      <c r="B19" t="s">
        <v>92</v>
      </c>
      <c r="C19" s="12">
        <v>8</v>
      </c>
      <c r="D19" s="8">
        <v>1.97</v>
      </c>
      <c r="E19" s="12">
        <v>3</v>
      </c>
      <c r="F19" s="8">
        <v>1.38</v>
      </c>
      <c r="G19" s="12">
        <v>5</v>
      </c>
      <c r="H19" s="8">
        <v>2.7</v>
      </c>
      <c r="I19" s="12">
        <v>0</v>
      </c>
    </row>
    <row r="20" spans="2:9" ht="15" customHeight="1" x14ac:dyDescent="0.2">
      <c r="B20" s="9" t="s">
        <v>363</v>
      </c>
      <c r="C20" s="12">
        <f>SUM(LTBL_20521[総数／事業所数])</f>
        <v>407</v>
      </c>
      <c r="E20" s="12">
        <f>SUBTOTAL(109,LTBL_20521[個人／事業所数])</f>
        <v>217</v>
      </c>
      <c r="G20" s="12">
        <f>SUBTOTAL(109,LTBL_20521[法人／事業所数])</f>
        <v>185</v>
      </c>
      <c r="I20" s="12">
        <f>SUBTOTAL(109,LTBL_20521[法人以外の団体／事業所数])</f>
        <v>0</v>
      </c>
    </row>
    <row r="21" spans="2:9" ht="15" customHeight="1" x14ac:dyDescent="0.2">
      <c r="E21" s="11">
        <f>LTBL_20521[[#Totals],[個人／事業所数]]/LTBL_20521[[#Totals],[総数／事業所数]]</f>
        <v>0.53316953316953319</v>
      </c>
      <c r="G21" s="11">
        <f>LTBL_20521[[#Totals],[法人／事業所数]]/LTBL_20521[[#Totals],[総数／事業所数]]</f>
        <v>0.45454545454545453</v>
      </c>
      <c r="I21" s="11">
        <f>LTBL_20521[[#Totals],[法人以外の団体／事業所数]]/LTBL_20521[[#Totals],[総数／事業所数]]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105</v>
      </c>
      <c r="C24" s="12">
        <v>53</v>
      </c>
      <c r="D24" s="8">
        <v>13.02</v>
      </c>
      <c r="E24" s="12">
        <v>22</v>
      </c>
      <c r="F24" s="8">
        <v>10.14</v>
      </c>
      <c r="G24" s="12">
        <v>31</v>
      </c>
      <c r="H24" s="8">
        <v>16.760000000000002</v>
      </c>
      <c r="I24" s="12">
        <v>0</v>
      </c>
    </row>
    <row r="25" spans="2:9" ht="15" customHeight="1" x14ac:dyDescent="0.2">
      <c r="B25" t="s">
        <v>116</v>
      </c>
      <c r="C25" s="12">
        <v>32</v>
      </c>
      <c r="D25" s="8">
        <v>7.86</v>
      </c>
      <c r="E25" s="12">
        <v>27</v>
      </c>
      <c r="F25" s="8">
        <v>12.44</v>
      </c>
      <c r="G25" s="12">
        <v>5</v>
      </c>
      <c r="H25" s="8">
        <v>2.7</v>
      </c>
      <c r="I25" s="12">
        <v>0</v>
      </c>
    </row>
    <row r="26" spans="2:9" ht="15" customHeight="1" x14ac:dyDescent="0.2">
      <c r="B26" t="s">
        <v>102</v>
      </c>
      <c r="C26" s="12">
        <v>29</v>
      </c>
      <c r="D26" s="8">
        <v>7.13</v>
      </c>
      <c r="E26" s="12">
        <v>21</v>
      </c>
      <c r="F26" s="8">
        <v>9.68</v>
      </c>
      <c r="G26" s="12">
        <v>8</v>
      </c>
      <c r="H26" s="8">
        <v>4.32</v>
      </c>
      <c r="I26" s="12">
        <v>0</v>
      </c>
    </row>
    <row r="27" spans="2:9" ht="15" customHeight="1" x14ac:dyDescent="0.2">
      <c r="B27" t="s">
        <v>115</v>
      </c>
      <c r="C27" s="12">
        <v>29</v>
      </c>
      <c r="D27" s="8">
        <v>7.13</v>
      </c>
      <c r="E27" s="12">
        <v>25</v>
      </c>
      <c r="F27" s="8">
        <v>11.52</v>
      </c>
      <c r="G27" s="12">
        <v>4</v>
      </c>
      <c r="H27" s="8">
        <v>2.16</v>
      </c>
      <c r="I27" s="12">
        <v>0</v>
      </c>
    </row>
    <row r="28" spans="2:9" ht="15" customHeight="1" x14ac:dyDescent="0.2">
      <c r="B28" t="s">
        <v>101</v>
      </c>
      <c r="C28" s="12">
        <v>21</v>
      </c>
      <c r="D28" s="8">
        <v>5.16</v>
      </c>
      <c r="E28" s="12">
        <v>6</v>
      </c>
      <c r="F28" s="8">
        <v>2.76</v>
      </c>
      <c r="G28" s="12">
        <v>15</v>
      </c>
      <c r="H28" s="8">
        <v>8.11</v>
      </c>
      <c r="I28" s="12">
        <v>0</v>
      </c>
    </row>
    <row r="29" spans="2:9" ht="15" customHeight="1" x14ac:dyDescent="0.2">
      <c r="B29" t="s">
        <v>110</v>
      </c>
      <c r="C29" s="12">
        <v>20</v>
      </c>
      <c r="D29" s="8">
        <v>4.91</v>
      </c>
      <c r="E29" s="12">
        <v>9</v>
      </c>
      <c r="F29" s="8">
        <v>4.1500000000000004</v>
      </c>
      <c r="G29" s="12">
        <v>11</v>
      </c>
      <c r="H29" s="8">
        <v>5.95</v>
      </c>
      <c r="I29" s="12">
        <v>0</v>
      </c>
    </row>
    <row r="30" spans="2:9" ht="15" customHeight="1" x14ac:dyDescent="0.2">
      <c r="B30" t="s">
        <v>104</v>
      </c>
      <c r="C30" s="12">
        <v>18</v>
      </c>
      <c r="D30" s="8">
        <v>4.42</v>
      </c>
      <c r="E30" s="12">
        <v>6</v>
      </c>
      <c r="F30" s="8">
        <v>2.76</v>
      </c>
      <c r="G30" s="12">
        <v>12</v>
      </c>
      <c r="H30" s="8">
        <v>6.49</v>
      </c>
      <c r="I30" s="12">
        <v>0</v>
      </c>
    </row>
    <row r="31" spans="2:9" ht="15" customHeight="1" x14ac:dyDescent="0.2">
      <c r="B31" t="s">
        <v>103</v>
      </c>
      <c r="C31" s="12">
        <v>16</v>
      </c>
      <c r="D31" s="8">
        <v>3.93</v>
      </c>
      <c r="E31" s="12">
        <v>4</v>
      </c>
      <c r="F31" s="8">
        <v>1.84</v>
      </c>
      <c r="G31" s="12">
        <v>12</v>
      </c>
      <c r="H31" s="8">
        <v>6.49</v>
      </c>
      <c r="I31" s="12">
        <v>0</v>
      </c>
    </row>
    <row r="32" spans="2:9" ht="15" customHeight="1" x14ac:dyDescent="0.2">
      <c r="B32" t="s">
        <v>156</v>
      </c>
      <c r="C32" s="12">
        <v>14</v>
      </c>
      <c r="D32" s="8">
        <v>3.44</v>
      </c>
      <c r="E32" s="12">
        <v>5</v>
      </c>
      <c r="F32" s="8">
        <v>2.2999999999999998</v>
      </c>
      <c r="G32" s="12">
        <v>9</v>
      </c>
      <c r="H32" s="8">
        <v>4.8600000000000003</v>
      </c>
      <c r="I32" s="12">
        <v>0</v>
      </c>
    </row>
    <row r="33" spans="2:9" ht="15" customHeight="1" x14ac:dyDescent="0.2">
      <c r="B33" t="s">
        <v>117</v>
      </c>
      <c r="C33" s="12">
        <v>12</v>
      </c>
      <c r="D33" s="8">
        <v>2.95</v>
      </c>
      <c r="E33" s="12">
        <v>10</v>
      </c>
      <c r="F33" s="8">
        <v>4.6100000000000003</v>
      </c>
      <c r="G33" s="12">
        <v>1</v>
      </c>
      <c r="H33" s="8">
        <v>0.54</v>
      </c>
      <c r="I33" s="12">
        <v>0</v>
      </c>
    </row>
    <row r="34" spans="2:9" ht="15" customHeight="1" x14ac:dyDescent="0.2">
      <c r="B34" t="s">
        <v>109</v>
      </c>
      <c r="C34" s="12">
        <v>11</v>
      </c>
      <c r="D34" s="8">
        <v>2.7</v>
      </c>
      <c r="E34" s="12">
        <v>5</v>
      </c>
      <c r="F34" s="8">
        <v>2.2999999999999998</v>
      </c>
      <c r="G34" s="12">
        <v>6</v>
      </c>
      <c r="H34" s="8">
        <v>3.24</v>
      </c>
      <c r="I34" s="12">
        <v>0</v>
      </c>
    </row>
    <row r="35" spans="2:9" ht="15" customHeight="1" x14ac:dyDescent="0.2">
      <c r="B35" t="s">
        <v>118</v>
      </c>
      <c r="C35" s="12">
        <v>11</v>
      </c>
      <c r="D35" s="8">
        <v>2.7</v>
      </c>
      <c r="E35" s="12">
        <v>11</v>
      </c>
      <c r="F35" s="8">
        <v>5.07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126</v>
      </c>
      <c r="C36" s="12">
        <v>10</v>
      </c>
      <c r="D36" s="8">
        <v>2.46</v>
      </c>
      <c r="E36" s="12">
        <v>4</v>
      </c>
      <c r="F36" s="8">
        <v>1.84</v>
      </c>
      <c r="G36" s="12">
        <v>6</v>
      </c>
      <c r="H36" s="8">
        <v>3.24</v>
      </c>
      <c r="I36" s="12">
        <v>0</v>
      </c>
    </row>
    <row r="37" spans="2:9" ht="15" customHeight="1" x14ac:dyDescent="0.2">
      <c r="B37" t="s">
        <v>108</v>
      </c>
      <c r="C37" s="12">
        <v>10</v>
      </c>
      <c r="D37" s="8">
        <v>2.46</v>
      </c>
      <c r="E37" s="12">
        <v>8</v>
      </c>
      <c r="F37" s="8">
        <v>3.69</v>
      </c>
      <c r="G37" s="12">
        <v>2</v>
      </c>
      <c r="H37" s="8">
        <v>1.08</v>
      </c>
      <c r="I37" s="12">
        <v>0</v>
      </c>
    </row>
    <row r="38" spans="2:9" ht="15" customHeight="1" x14ac:dyDescent="0.2">
      <c r="B38" t="s">
        <v>111</v>
      </c>
      <c r="C38" s="12">
        <v>10</v>
      </c>
      <c r="D38" s="8">
        <v>2.46</v>
      </c>
      <c r="E38" s="12">
        <v>6</v>
      </c>
      <c r="F38" s="8">
        <v>2.76</v>
      </c>
      <c r="G38" s="12">
        <v>4</v>
      </c>
      <c r="H38" s="8">
        <v>2.16</v>
      </c>
      <c r="I38" s="12">
        <v>0</v>
      </c>
    </row>
    <row r="39" spans="2:9" ht="15" customHeight="1" x14ac:dyDescent="0.2">
      <c r="B39" t="s">
        <v>107</v>
      </c>
      <c r="C39" s="12">
        <v>9</v>
      </c>
      <c r="D39" s="8">
        <v>2.21</v>
      </c>
      <c r="E39" s="12">
        <v>6</v>
      </c>
      <c r="F39" s="8">
        <v>2.76</v>
      </c>
      <c r="G39" s="12">
        <v>3</v>
      </c>
      <c r="H39" s="8">
        <v>1.62</v>
      </c>
      <c r="I39" s="12">
        <v>0</v>
      </c>
    </row>
    <row r="40" spans="2:9" ht="15" customHeight="1" x14ac:dyDescent="0.2">
      <c r="B40" t="s">
        <v>112</v>
      </c>
      <c r="C40" s="12">
        <v>9</v>
      </c>
      <c r="D40" s="8">
        <v>2.21</v>
      </c>
      <c r="E40" s="12">
        <v>7</v>
      </c>
      <c r="F40" s="8">
        <v>3.23</v>
      </c>
      <c r="G40" s="12">
        <v>2</v>
      </c>
      <c r="H40" s="8">
        <v>1.08</v>
      </c>
      <c r="I40" s="12">
        <v>0</v>
      </c>
    </row>
    <row r="41" spans="2:9" ht="15" customHeight="1" x14ac:dyDescent="0.2">
      <c r="B41" t="s">
        <v>113</v>
      </c>
      <c r="C41" s="12">
        <v>9</v>
      </c>
      <c r="D41" s="8">
        <v>2.21</v>
      </c>
      <c r="E41" s="12">
        <v>5</v>
      </c>
      <c r="F41" s="8">
        <v>2.2999999999999998</v>
      </c>
      <c r="G41" s="12">
        <v>4</v>
      </c>
      <c r="H41" s="8">
        <v>2.16</v>
      </c>
      <c r="I41" s="12">
        <v>0</v>
      </c>
    </row>
    <row r="42" spans="2:9" ht="15" customHeight="1" x14ac:dyDescent="0.2">
      <c r="B42" t="s">
        <v>152</v>
      </c>
      <c r="C42" s="12">
        <v>7</v>
      </c>
      <c r="D42" s="8">
        <v>1.72</v>
      </c>
      <c r="E42" s="12">
        <v>1</v>
      </c>
      <c r="F42" s="8">
        <v>0.46</v>
      </c>
      <c r="G42" s="12">
        <v>6</v>
      </c>
      <c r="H42" s="8">
        <v>3.24</v>
      </c>
      <c r="I42" s="12">
        <v>0</v>
      </c>
    </row>
    <row r="43" spans="2:9" ht="15" customHeight="1" x14ac:dyDescent="0.2">
      <c r="B43" t="s">
        <v>136</v>
      </c>
      <c r="C43" s="12">
        <v>6</v>
      </c>
      <c r="D43" s="8">
        <v>1.47</v>
      </c>
      <c r="E43" s="12">
        <v>4</v>
      </c>
      <c r="F43" s="8">
        <v>1.84</v>
      </c>
      <c r="G43" s="12">
        <v>2</v>
      </c>
      <c r="H43" s="8">
        <v>1.08</v>
      </c>
      <c r="I43" s="12">
        <v>0</v>
      </c>
    </row>
    <row r="44" spans="2:9" ht="15" customHeight="1" x14ac:dyDescent="0.2">
      <c r="B44" t="s">
        <v>129</v>
      </c>
      <c r="C44" s="12">
        <v>6</v>
      </c>
      <c r="D44" s="8">
        <v>1.47</v>
      </c>
      <c r="E44" s="12">
        <v>3</v>
      </c>
      <c r="F44" s="8">
        <v>1.38</v>
      </c>
      <c r="G44" s="12">
        <v>2</v>
      </c>
      <c r="H44" s="8">
        <v>1.08</v>
      </c>
      <c r="I44" s="12">
        <v>0</v>
      </c>
    </row>
    <row r="47" spans="2:9" ht="33" customHeight="1" x14ac:dyDescent="0.2">
      <c r="B47" t="s">
        <v>365</v>
      </c>
      <c r="C47" s="10" t="s">
        <v>94</v>
      </c>
      <c r="D47" s="10" t="s">
        <v>95</v>
      </c>
      <c r="E47" s="10" t="s">
        <v>96</v>
      </c>
      <c r="F47" s="10" t="s">
        <v>97</v>
      </c>
      <c r="G47" s="10" t="s">
        <v>98</v>
      </c>
      <c r="H47" s="10" t="s">
        <v>99</v>
      </c>
      <c r="I47" s="10" t="s">
        <v>100</v>
      </c>
    </row>
    <row r="48" spans="2:9" ht="15" customHeight="1" x14ac:dyDescent="0.2">
      <c r="B48" t="s">
        <v>191</v>
      </c>
      <c r="C48" s="12">
        <v>19</v>
      </c>
      <c r="D48" s="8">
        <v>4.67</v>
      </c>
      <c r="E48" s="12">
        <v>17</v>
      </c>
      <c r="F48" s="8">
        <v>7.83</v>
      </c>
      <c r="G48" s="12">
        <v>2</v>
      </c>
      <c r="H48" s="8">
        <v>1.08</v>
      </c>
      <c r="I48" s="12">
        <v>0</v>
      </c>
    </row>
    <row r="49" spans="2:9" ht="15" customHeight="1" x14ac:dyDescent="0.2">
      <c r="B49" t="s">
        <v>204</v>
      </c>
      <c r="C49" s="12">
        <v>17</v>
      </c>
      <c r="D49" s="8">
        <v>4.18</v>
      </c>
      <c r="E49" s="12">
        <v>5</v>
      </c>
      <c r="F49" s="8">
        <v>2.2999999999999998</v>
      </c>
      <c r="G49" s="12">
        <v>12</v>
      </c>
      <c r="H49" s="8">
        <v>6.49</v>
      </c>
      <c r="I49" s="12">
        <v>0</v>
      </c>
    </row>
    <row r="50" spans="2:9" ht="15" customHeight="1" x14ac:dyDescent="0.2">
      <c r="B50" t="s">
        <v>203</v>
      </c>
      <c r="C50" s="12">
        <v>15</v>
      </c>
      <c r="D50" s="8">
        <v>3.69</v>
      </c>
      <c r="E50" s="12">
        <v>7</v>
      </c>
      <c r="F50" s="8">
        <v>3.23</v>
      </c>
      <c r="G50" s="12">
        <v>8</v>
      </c>
      <c r="H50" s="8">
        <v>4.32</v>
      </c>
      <c r="I50" s="12">
        <v>0</v>
      </c>
    </row>
    <row r="51" spans="2:9" ht="15" customHeight="1" x14ac:dyDescent="0.2">
      <c r="B51" t="s">
        <v>349</v>
      </c>
      <c r="C51" s="12">
        <v>14</v>
      </c>
      <c r="D51" s="8">
        <v>3.44</v>
      </c>
      <c r="E51" s="12">
        <v>9</v>
      </c>
      <c r="F51" s="8">
        <v>4.1500000000000004</v>
      </c>
      <c r="G51" s="12">
        <v>5</v>
      </c>
      <c r="H51" s="8">
        <v>2.7</v>
      </c>
      <c r="I51" s="12">
        <v>0</v>
      </c>
    </row>
    <row r="52" spans="2:9" ht="15" customHeight="1" x14ac:dyDescent="0.2">
      <c r="B52" t="s">
        <v>186</v>
      </c>
      <c r="C52" s="12">
        <v>12</v>
      </c>
      <c r="D52" s="8">
        <v>2.95</v>
      </c>
      <c r="E52" s="12">
        <v>9</v>
      </c>
      <c r="F52" s="8">
        <v>4.1500000000000004</v>
      </c>
      <c r="G52" s="12">
        <v>3</v>
      </c>
      <c r="H52" s="8">
        <v>1.62</v>
      </c>
      <c r="I52" s="12">
        <v>0</v>
      </c>
    </row>
    <row r="53" spans="2:9" ht="15" customHeight="1" x14ac:dyDescent="0.2">
      <c r="B53" t="s">
        <v>261</v>
      </c>
      <c r="C53" s="12">
        <v>10</v>
      </c>
      <c r="D53" s="8">
        <v>2.46</v>
      </c>
      <c r="E53" s="12">
        <v>6</v>
      </c>
      <c r="F53" s="8">
        <v>2.76</v>
      </c>
      <c r="G53" s="12">
        <v>4</v>
      </c>
      <c r="H53" s="8">
        <v>2.16</v>
      </c>
      <c r="I53" s="12">
        <v>0</v>
      </c>
    </row>
    <row r="54" spans="2:9" ht="15" customHeight="1" x14ac:dyDescent="0.2">
      <c r="B54" t="s">
        <v>174</v>
      </c>
      <c r="C54" s="12">
        <v>9</v>
      </c>
      <c r="D54" s="8">
        <v>2.21</v>
      </c>
      <c r="E54" s="12">
        <v>2</v>
      </c>
      <c r="F54" s="8">
        <v>0.92</v>
      </c>
      <c r="G54" s="12">
        <v>7</v>
      </c>
      <c r="H54" s="8">
        <v>3.78</v>
      </c>
      <c r="I54" s="12">
        <v>0</v>
      </c>
    </row>
    <row r="55" spans="2:9" ht="15" customHeight="1" x14ac:dyDescent="0.2">
      <c r="B55" t="s">
        <v>178</v>
      </c>
      <c r="C55" s="12">
        <v>9</v>
      </c>
      <c r="D55" s="8">
        <v>2.21</v>
      </c>
      <c r="E55" s="12">
        <v>2</v>
      </c>
      <c r="F55" s="8">
        <v>0.92</v>
      </c>
      <c r="G55" s="12">
        <v>7</v>
      </c>
      <c r="H55" s="8">
        <v>3.78</v>
      </c>
      <c r="I55" s="12">
        <v>0</v>
      </c>
    </row>
    <row r="56" spans="2:9" ht="15" customHeight="1" x14ac:dyDescent="0.2">
      <c r="B56" t="s">
        <v>190</v>
      </c>
      <c r="C56" s="12">
        <v>9</v>
      </c>
      <c r="D56" s="8">
        <v>2.21</v>
      </c>
      <c r="E56" s="12">
        <v>8</v>
      </c>
      <c r="F56" s="8">
        <v>3.69</v>
      </c>
      <c r="G56" s="12">
        <v>1</v>
      </c>
      <c r="H56" s="8">
        <v>0.54</v>
      </c>
      <c r="I56" s="12">
        <v>0</v>
      </c>
    </row>
    <row r="57" spans="2:9" ht="15" customHeight="1" x14ac:dyDescent="0.2">
      <c r="B57" t="s">
        <v>180</v>
      </c>
      <c r="C57" s="12">
        <v>8</v>
      </c>
      <c r="D57" s="8">
        <v>1.97</v>
      </c>
      <c r="E57" s="12">
        <v>3</v>
      </c>
      <c r="F57" s="8">
        <v>1.38</v>
      </c>
      <c r="G57" s="12">
        <v>5</v>
      </c>
      <c r="H57" s="8">
        <v>2.7</v>
      </c>
      <c r="I57" s="12">
        <v>0</v>
      </c>
    </row>
    <row r="58" spans="2:9" ht="15" customHeight="1" x14ac:dyDescent="0.2">
      <c r="B58" t="s">
        <v>210</v>
      </c>
      <c r="C58" s="12">
        <v>7</v>
      </c>
      <c r="D58" s="8">
        <v>1.72</v>
      </c>
      <c r="E58" s="12">
        <v>6</v>
      </c>
      <c r="F58" s="8">
        <v>2.76</v>
      </c>
      <c r="G58" s="12">
        <v>1</v>
      </c>
      <c r="H58" s="8">
        <v>0.54</v>
      </c>
      <c r="I58" s="12">
        <v>0</v>
      </c>
    </row>
    <row r="59" spans="2:9" ht="15" customHeight="1" x14ac:dyDescent="0.2">
      <c r="B59" t="s">
        <v>268</v>
      </c>
      <c r="C59" s="12">
        <v>7</v>
      </c>
      <c r="D59" s="8">
        <v>1.72</v>
      </c>
      <c r="E59" s="12">
        <v>1</v>
      </c>
      <c r="F59" s="8">
        <v>0.46</v>
      </c>
      <c r="G59" s="12">
        <v>6</v>
      </c>
      <c r="H59" s="8">
        <v>3.24</v>
      </c>
      <c r="I59" s="12">
        <v>0</v>
      </c>
    </row>
    <row r="60" spans="2:9" ht="15" customHeight="1" x14ac:dyDescent="0.2">
      <c r="B60" t="s">
        <v>192</v>
      </c>
      <c r="C60" s="12">
        <v>7</v>
      </c>
      <c r="D60" s="8">
        <v>1.72</v>
      </c>
      <c r="E60" s="12">
        <v>7</v>
      </c>
      <c r="F60" s="8">
        <v>3.23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177</v>
      </c>
      <c r="C61" s="12">
        <v>6</v>
      </c>
      <c r="D61" s="8">
        <v>1.47</v>
      </c>
      <c r="E61" s="12">
        <v>2</v>
      </c>
      <c r="F61" s="8">
        <v>0.92</v>
      </c>
      <c r="G61" s="12">
        <v>4</v>
      </c>
      <c r="H61" s="8">
        <v>2.16</v>
      </c>
      <c r="I61" s="12">
        <v>0</v>
      </c>
    </row>
    <row r="62" spans="2:9" ht="15" customHeight="1" x14ac:dyDescent="0.2">
      <c r="B62" t="s">
        <v>181</v>
      </c>
      <c r="C62" s="12">
        <v>6</v>
      </c>
      <c r="D62" s="8">
        <v>1.47</v>
      </c>
      <c r="E62" s="12">
        <v>4</v>
      </c>
      <c r="F62" s="8">
        <v>1.84</v>
      </c>
      <c r="G62" s="12">
        <v>2</v>
      </c>
      <c r="H62" s="8">
        <v>1.08</v>
      </c>
      <c r="I62" s="12">
        <v>0</v>
      </c>
    </row>
    <row r="63" spans="2:9" ht="15" customHeight="1" x14ac:dyDescent="0.2">
      <c r="B63" t="s">
        <v>207</v>
      </c>
      <c r="C63" s="12">
        <v>6</v>
      </c>
      <c r="D63" s="8">
        <v>1.47</v>
      </c>
      <c r="E63" s="12">
        <v>3</v>
      </c>
      <c r="F63" s="8">
        <v>1.38</v>
      </c>
      <c r="G63" s="12">
        <v>2</v>
      </c>
      <c r="H63" s="8">
        <v>1.08</v>
      </c>
      <c r="I63" s="12">
        <v>0</v>
      </c>
    </row>
    <row r="64" spans="2:9" ht="15" customHeight="1" x14ac:dyDescent="0.2">
      <c r="B64" t="s">
        <v>193</v>
      </c>
      <c r="C64" s="12">
        <v>6</v>
      </c>
      <c r="D64" s="8">
        <v>1.47</v>
      </c>
      <c r="E64" s="12">
        <v>6</v>
      </c>
      <c r="F64" s="8">
        <v>2.76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176</v>
      </c>
      <c r="C65" s="12">
        <v>5</v>
      </c>
      <c r="D65" s="8">
        <v>1.23</v>
      </c>
      <c r="E65" s="12">
        <v>2</v>
      </c>
      <c r="F65" s="8">
        <v>0.92</v>
      </c>
      <c r="G65" s="12">
        <v>3</v>
      </c>
      <c r="H65" s="8">
        <v>1.62</v>
      </c>
      <c r="I65" s="12">
        <v>0</v>
      </c>
    </row>
    <row r="66" spans="2:9" ht="15" customHeight="1" x14ac:dyDescent="0.2">
      <c r="B66" t="s">
        <v>348</v>
      </c>
      <c r="C66" s="12">
        <v>5</v>
      </c>
      <c r="D66" s="8">
        <v>1.23</v>
      </c>
      <c r="E66" s="12">
        <v>3</v>
      </c>
      <c r="F66" s="8">
        <v>1.38</v>
      </c>
      <c r="G66" s="12">
        <v>2</v>
      </c>
      <c r="H66" s="8">
        <v>1.08</v>
      </c>
      <c r="I66" s="12">
        <v>0</v>
      </c>
    </row>
    <row r="67" spans="2:9" ht="15" customHeight="1" x14ac:dyDescent="0.2">
      <c r="B67" t="s">
        <v>350</v>
      </c>
      <c r="C67" s="12">
        <v>5</v>
      </c>
      <c r="D67" s="8">
        <v>1.23</v>
      </c>
      <c r="E67" s="12">
        <v>1</v>
      </c>
      <c r="F67" s="8">
        <v>0.46</v>
      </c>
      <c r="G67" s="12">
        <v>4</v>
      </c>
      <c r="H67" s="8">
        <v>2.16</v>
      </c>
      <c r="I67" s="12">
        <v>0</v>
      </c>
    </row>
    <row r="68" spans="2:9" ht="15" customHeight="1" x14ac:dyDescent="0.2">
      <c r="B68" t="s">
        <v>184</v>
      </c>
      <c r="C68" s="12">
        <v>5</v>
      </c>
      <c r="D68" s="8">
        <v>1.23</v>
      </c>
      <c r="E68" s="12">
        <v>3</v>
      </c>
      <c r="F68" s="8">
        <v>1.38</v>
      </c>
      <c r="G68" s="12">
        <v>2</v>
      </c>
      <c r="H68" s="8">
        <v>1.08</v>
      </c>
      <c r="I68" s="12">
        <v>0</v>
      </c>
    </row>
    <row r="69" spans="2:9" ht="15" customHeight="1" x14ac:dyDescent="0.2">
      <c r="B69" t="s">
        <v>188</v>
      </c>
      <c r="C69" s="12">
        <v>5</v>
      </c>
      <c r="D69" s="8">
        <v>1.23</v>
      </c>
      <c r="E69" s="12">
        <v>5</v>
      </c>
      <c r="F69" s="8">
        <v>2.2999999999999998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E631C-5C4B-4CB1-A6F9-C89F29F3C7AE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435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1</v>
      </c>
      <c r="D5" s="8">
        <v>0.32</v>
      </c>
      <c r="E5" s="12">
        <v>0</v>
      </c>
      <c r="F5" s="8">
        <v>0</v>
      </c>
      <c r="G5" s="12">
        <v>1</v>
      </c>
      <c r="H5" s="8">
        <v>0.86</v>
      </c>
      <c r="I5" s="12">
        <v>0</v>
      </c>
    </row>
    <row r="6" spans="2:9" ht="15" customHeight="1" x14ac:dyDescent="0.2">
      <c r="B6" t="s">
        <v>79</v>
      </c>
      <c r="C6" s="12">
        <v>56</v>
      </c>
      <c r="D6" s="8">
        <v>18.12</v>
      </c>
      <c r="E6" s="12">
        <v>38</v>
      </c>
      <c r="F6" s="8">
        <v>20.32</v>
      </c>
      <c r="G6" s="12">
        <v>18</v>
      </c>
      <c r="H6" s="8">
        <v>15.52</v>
      </c>
      <c r="I6" s="12">
        <v>0</v>
      </c>
    </row>
    <row r="7" spans="2:9" ht="15" customHeight="1" x14ac:dyDescent="0.2">
      <c r="B7" t="s">
        <v>80</v>
      </c>
      <c r="C7" s="12">
        <v>43</v>
      </c>
      <c r="D7" s="8">
        <v>13.92</v>
      </c>
      <c r="E7" s="12">
        <v>19</v>
      </c>
      <c r="F7" s="8">
        <v>10.16</v>
      </c>
      <c r="G7" s="12">
        <v>24</v>
      </c>
      <c r="H7" s="8">
        <v>20.69</v>
      </c>
      <c r="I7" s="12">
        <v>0</v>
      </c>
    </row>
    <row r="8" spans="2:9" ht="15" customHeight="1" x14ac:dyDescent="0.2">
      <c r="B8" t="s">
        <v>81</v>
      </c>
      <c r="C8" s="12">
        <v>2</v>
      </c>
      <c r="D8" s="8">
        <v>0.65</v>
      </c>
      <c r="E8" s="12">
        <v>0</v>
      </c>
      <c r="F8" s="8">
        <v>0</v>
      </c>
      <c r="G8" s="12">
        <v>2</v>
      </c>
      <c r="H8" s="8">
        <v>1.72</v>
      </c>
      <c r="I8" s="12">
        <v>0</v>
      </c>
    </row>
    <row r="9" spans="2:9" ht="15" customHeight="1" x14ac:dyDescent="0.2">
      <c r="B9" t="s">
        <v>82</v>
      </c>
      <c r="C9" s="12">
        <v>4</v>
      </c>
      <c r="D9" s="8">
        <v>1.29</v>
      </c>
      <c r="E9" s="12">
        <v>2</v>
      </c>
      <c r="F9" s="8">
        <v>1.07</v>
      </c>
      <c r="G9" s="12">
        <v>2</v>
      </c>
      <c r="H9" s="8">
        <v>1.72</v>
      </c>
      <c r="I9" s="12">
        <v>0</v>
      </c>
    </row>
    <row r="10" spans="2:9" ht="15" customHeight="1" x14ac:dyDescent="0.2">
      <c r="B10" t="s">
        <v>83</v>
      </c>
      <c r="C10" s="12">
        <v>1</v>
      </c>
      <c r="D10" s="8">
        <v>0.32</v>
      </c>
      <c r="E10" s="12">
        <v>0</v>
      </c>
      <c r="F10" s="8">
        <v>0</v>
      </c>
      <c r="G10" s="12">
        <v>1</v>
      </c>
      <c r="H10" s="8">
        <v>0.86</v>
      </c>
      <c r="I10" s="12">
        <v>0</v>
      </c>
    </row>
    <row r="11" spans="2:9" ht="15" customHeight="1" x14ac:dyDescent="0.2">
      <c r="B11" t="s">
        <v>84</v>
      </c>
      <c r="C11" s="12">
        <v>79</v>
      </c>
      <c r="D11" s="8">
        <v>25.57</v>
      </c>
      <c r="E11" s="12">
        <v>40</v>
      </c>
      <c r="F11" s="8">
        <v>21.39</v>
      </c>
      <c r="G11" s="12">
        <v>39</v>
      </c>
      <c r="H11" s="8">
        <v>33.619999999999997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12</v>
      </c>
      <c r="D13" s="8">
        <v>3.88</v>
      </c>
      <c r="E13" s="12">
        <v>6</v>
      </c>
      <c r="F13" s="8">
        <v>3.21</v>
      </c>
      <c r="G13" s="12">
        <v>6</v>
      </c>
      <c r="H13" s="8">
        <v>5.17</v>
      </c>
      <c r="I13" s="12">
        <v>0</v>
      </c>
    </row>
    <row r="14" spans="2:9" ht="15" customHeight="1" x14ac:dyDescent="0.2">
      <c r="B14" t="s">
        <v>87</v>
      </c>
      <c r="C14" s="12">
        <v>12</v>
      </c>
      <c r="D14" s="8">
        <v>3.88</v>
      </c>
      <c r="E14" s="12">
        <v>8</v>
      </c>
      <c r="F14" s="8">
        <v>4.28</v>
      </c>
      <c r="G14" s="12">
        <v>4</v>
      </c>
      <c r="H14" s="8">
        <v>3.45</v>
      </c>
      <c r="I14" s="12">
        <v>0</v>
      </c>
    </row>
    <row r="15" spans="2:9" ht="15" customHeight="1" x14ac:dyDescent="0.2">
      <c r="B15" t="s">
        <v>88</v>
      </c>
      <c r="C15" s="12">
        <v>37</v>
      </c>
      <c r="D15" s="8">
        <v>11.97</v>
      </c>
      <c r="E15" s="12">
        <v>32</v>
      </c>
      <c r="F15" s="8">
        <v>17.11</v>
      </c>
      <c r="G15" s="12">
        <v>5</v>
      </c>
      <c r="H15" s="8">
        <v>4.3099999999999996</v>
      </c>
      <c r="I15" s="12">
        <v>0</v>
      </c>
    </row>
    <row r="16" spans="2:9" ht="15" customHeight="1" x14ac:dyDescent="0.2">
      <c r="B16" t="s">
        <v>89</v>
      </c>
      <c r="C16" s="12">
        <v>31</v>
      </c>
      <c r="D16" s="8">
        <v>10.029999999999999</v>
      </c>
      <c r="E16" s="12">
        <v>26</v>
      </c>
      <c r="F16" s="8">
        <v>13.9</v>
      </c>
      <c r="G16" s="12">
        <v>5</v>
      </c>
      <c r="H16" s="8">
        <v>4.3099999999999996</v>
      </c>
      <c r="I16" s="12">
        <v>0</v>
      </c>
    </row>
    <row r="17" spans="2:9" ht="15" customHeight="1" x14ac:dyDescent="0.2">
      <c r="B17" t="s">
        <v>90</v>
      </c>
      <c r="C17" s="12">
        <v>9</v>
      </c>
      <c r="D17" s="8">
        <v>2.91</v>
      </c>
      <c r="E17" s="12">
        <v>4</v>
      </c>
      <c r="F17" s="8">
        <v>2.14</v>
      </c>
      <c r="G17" s="12">
        <v>2</v>
      </c>
      <c r="H17" s="8">
        <v>1.72</v>
      </c>
      <c r="I17" s="12">
        <v>0</v>
      </c>
    </row>
    <row r="18" spans="2:9" ht="15" customHeight="1" x14ac:dyDescent="0.2">
      <c r="B18" t="s">
        <v>91</v>
      </c>
      <c r="C18" s="12">
        <v>16</v>
      </c>
      <c r="D18" s="8">
        <v>5.18</v>
      </c>
      <c r="E18" s="12">
        <v>10</v>
      </c>
      <c r="F18" s="8">
        <v>5.35</v>
      </c>
      <c r="G18" s="12">
        <v>5</v>
      </c>
      <c r="H18" s="8">
        <v>4.3099999999999996</v>
      </c>
      <c r="I18" s="12">
        <v>0</v>
      </c>
    </row>
    <row r="19" spans="2:9" ht="15" customHeight="1" x14ac:dyDescent="0.2">
      <c r="B19" t="s">
        <v>92</v>
      </c>
      <c r="C19" s="12">
        <v>6</v>
      </c>
      <c r="D19" s="8">
        <v>1.94</v>
      </c>
      <c r="E19" s="12">
        <v>2</v>
      </c>
      <c r="F19" s="8">
        <v>1.07</v>
      </c>
      <c r="G19" s="12">
        <v>2</v>
      </c>
      <c r="H19" s="8">
        <v>1.72</v>
      </c>
      <c r="I19" s="12">
        <v>2</v>
      </c>
    </row>
    <row r="20" spans="2:9" ht="15" customHeight="1" x14ac:dyDescent="0.2">
      <c r="B20" s="9" t="s">
        <v>363</v>
      </c>
      <c r="C20" s="12">
        <f>SUM(LTBL_20541[総数／事業所数])</f>
        <v>309</v>
      </c>
      <c r="E20" s="12">
        <f>SUBTOTAL(109,LTBL_20541[個人／事業所数])</f>
        <v>187</v>
      </c>
      <c r="G20" s="12">
        <f>SUBTOTAL(109,LTBL_20541[法人／事業所数])</f>
        <v>116</v>
      </c>
      <c r="I20" s="12">
        <f>SUBTOTAL(109,LTBL_20541[法人以外の団体／事業所数])</f>
        <v>2</v>
      </c>
    </row>
    <row r="21" spans="2:9" ht="15" customHeight="1" x14ac:dyDescent="0.2">
      <c r="E21" s="11">
        <f>LTBL_20541[[#Totals],[個人／事業所数]]/LTBL_20541[[#Totals],[総数／事業所数]]</f>
        <v>0.60517799352750812</v>
      </c>
      <c r="G21" s="11">
        <f>LTBL_20541[[#Totals],[法人／事業所数]]/LTBL_20541[[#Totals],[総数／事業所数]]</f>
        <v>0.37540453074433655</v>
      </c>
      <c r="I21" s="11">
        <f>LTBL_20541[[#Totals],[法人以外の団体／事業所数]]/LTBL_20541[[#Totals],[総数／事業所数]]</f>
        <v>6.4724919093851136E-3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33</v>
      </c>
      <c r="D24" s="8">
        <v>10.68</v>
      </c>
      <c r="E24" s="12">
        <v>30</v>
      </c>
      <c r="F24" s="8">
        <v>16.04</v>
      </c>
      <c r="G24" s="12">
        <v>3</v>
      </c>
      <c r="H24" s="8">
        <v>2.59</v>
      </c>
      <c r="I24" s="12">
        <v>0</v>
      </c>
    </row>
    <row r="25" spans="2:9" ht="15" customHeight="1" x14ac:dyDescent="0.2">
      <c r="B25" t="s">
        <v>101</v>
      </c>
      <c r="C25" s="12">
        <v>29</v>
      </c>
      <c r="D25" s="8">
        <v>9.39</v>
      </c>
      <c r="E25" s="12">
        <v>17</v>
      </c>
      <c r="F25" s="8">
        <v>9.09</v>
      </c>
      <c r="G25" s="12">
        <v>12</v>
      </c>
      <c r="H25" s="8">
        <v>10.34</v>
      </c>
      <c r="I25" s="12">
        <v>0</v>
      </c>
    </row>
    <row r="26" spans="2:9" ht="15" customHeight="1" x14ac:dyDescent="0.2">
      <c r="B26" t="s">
        <v>116</v>
      </c>
      <c r="C26" s="12">
        <v>28</v>
      </c>
      <c r="D26" s="8">
        <v>9.06</v>
      </c>
      <c r="E26" s="12">
        <v>24</v>
      </c>
      <c r="F26" s="8">
        <v>12.83</v>
      </c>
      <c r="G26" s="12">
        <v>4</v>
      </c>
      <c r="H26" s="8">
        <v>3.45</v>
      </c>
      <c r="I26" s="12">
        <v>0</v>
      </c>
    </row>
    <row r="27" spans="2:9" ht="15" customHeight="1" x14ac:dyDescent="0.2">
      <c r="B27" t="s">
        <v>108</v>
      </c>
      <c r="C27" s="12">
        <v>25</v>
      </c>
      <c r="D27" s="8">
        <v>8.09</v>
      </c>
      <c r="E27" s="12">
        <v>12</v>
      </c>
      <c r="F27" s="8">
        <v>6.42</v>
      </c>
      <c r="G27" s="12">
        <v>13</v>
      </c>
      <c r="H27" s="8">
        <v>11.21</v>
      </c>
      <c r="I27" s="12">
        <v>0</v>
      </c>
    </row>
    <row r="28" spans="2:9" ht="15" customHeight="1" x14ac:dyDescent="0.2">
      <c r="B28" t="s">
        <v>110</v>
      </c>
      <c r="C28" s="12">
        <v>19</v>
      </c>
      <c r="D28" s="8">
        <v>6.15</v>
      </c>
      <c r="E28" s="12">
        <v>11</v>
      </c>
      <c r="F28" s="8">
        <v>5.88</v>
      </c>
      <c r="G28" s="12">
        <v>8</v>
      </c>
      <c r="H28" s="8">
        <v>6.9</v>
      </c>
      <c r="I28" s="12">
        <v>0</v>
      </c>
    </row>
    <row r="29" spans="2:9" ht="15" customHeight="1" x14ac:dyDescent="0.2">
      <c r="B29" t="s">
        <v>102</v>
      </c>
      <c r="C29" s="12">
        <v>18</v>
      </c>
      <c r="D29" s="8">
        <v>5.83</v>
      </c>
      <c r="E29" s="12">
        <v>16</v>
      </c>
      <c r="F29" s="8">
        <v>8.56</v>
      </c>
      <c r="G29" s="12">
        <v>2</v>
      </c>
      <c r="H29" s="8">
        <v>1.72</v>
      </c>
      <c r="I29" s="12">
        <v>0</v>
      </c>
    </row>
    <row r="30" spans="2:9" ht="15" customHeight="1" x14ac:dyDescent="0.2">
      <c r="B30" t="s">
        <v>109</v>
      </c>
      <c r="C30" s="12">
        <v>14</v>
      </c>
      <c r="D30" s="8">
        <v>4.53</v>
      </c>
      <c r="E30" s="12">
        <v>9</v>
      </c>
      <c r="F30" s="8">
        <v>4.8099999999999996</v>
      </c>
      <c r="G30" s="12">
        <v>5</v>
      </c>
      <c r="H30" s="8">
        <v>4.3099999999999996</v>
      </c>
      <c r="I30" s="12">
        <v>0</v>
      </c>
    </row>
    <row r="31" spans="2:9" ht="15" customHeight="1" x14ac:dyDescent="0.2">
      <c r="B31" t="s">
        <v>118</v>
      </c>
      <c r="C31" s="12">
        <v>11</v>
      </c>
      <c r="D31" s="8">
        <v>3.56</v>
      </c>
      <c r="E31" s="12">
        <v>10</v>
      </c>
      <c r="F31" s="8">
        <v>5.35</v>
      </c>
      <c r="G31" s="12">
        <v>1</v>
      </c>
      <c r="H31" s="8">
        <v>0.86</v>
      </c>
      <c r="I31" s="12">
        <v>0</v>
      </c>
    </row>
    <row r="32" spans="2:9" ht="15" customHeight="1" x14ac:dyDescent="0.2">
      <c r="B32" t="s">
        <v>103</v>
      </c>
      <c r="C32" s="12">
        <v>9</v>
      </c>
      <c r="D32" s="8">
        <v>2.91</v>
      </c>
      <c r="E32" s="12">
        <v>5</v>
      </c>
      <c r="F32" s="8">
        <v>2.67</v>
      </c>
      <c r="G32" s="12">
        <v>4</v>
      </c>
      <c r="H32" s="8">
        <v>3.45</v>
      </c>
      <c r="I32" s="12">
        <v>0</v>
      </c>
    </row>
    <row r="33" spans="2:9" ht="15" customHeight="1" x14ac:dyDescent="0.2">
      <c r="B33" t="s">
        <v>127</v>
      </c>
      <c r="C33" s="12">
        <v>9</v>
      </c>
      <c r="D33" s="8">
        <v>2.91</v>
      </c>
      <c r="E33" s="12">
        <v>2</v>
      </c>
      <c r="F33" s="8">
        <v>1.07</v>
      </c>
      <c r="G33" s="12">
        <v>7</v>
      </c>
      <c r="H33" s="8">
        <v>6.03</v>
      </c>
      <c r="I33" s="12">
        <v>0</v>
      </c>
    </row>
    <row r="34" spans="2:9" ht="15" customHeight="1" x14ac:dyDescent="0.2">
      <c r="B34" t="s">
        <v>107</v>
      </c>
      <c r="C34" s="12">
        <v>9</v>
      </c>
      <c r="D34" s="8">
        <v>2.91</v>
      </c>
      <c r="E34" s="12">
        <v>7</v>
      </c>
      <c r="F34" s="8">
        <v>3.74</v>
      </c>
      <c r="G34" s="12">
        <v>2</v>
      </c>
      <c r="H34" s="8">
        <v>1.72</v>
      </c>
      <c r="I34" s="12">
        <v>0</v>
      </c>
    </row>
    <row r="35" spans="2:9" ht="15" customHeight="1" x14ac:dyDescent="0.2">
      <c r="B35" t="s">
        <v>111</v>
      </c>
      <c r="C35" s="12">
        <v>9</v>
      </c>
      <c r="D35" s="8">
        <v>2.91</v>
      </c>
      <c r="E35" s="12">
        <v>5</v>
      </c>
      <c r="F35" s="8">
        <v>2.67</v>
      </c>
      <c r="G35" s="12">
        <v>4</v>
      </c>
      <c r="H35" s="8">
        <v>3.45</v>
      </c>
      <c r="I35" s="12">
        <v>0</v>
      </c>
    </row>
    <row r="36" spans="2:9" ht="15" customHeight="1" x14ac:dyDescent="0.2">
      <c r="B36" t="s">
        <v>117</v>
      </c>
      <c r="C36" s="12">
        <v>9</v>
      </c>
      <c r="D36" s="8">
        <v>2.91</v>
      </c>
      <c r="E36" s="12">
        <v>4</v>
      </c>
      <c r="F36" s="8">
        <v>2.14</v>
      </c>
      <c r="G36" s="12">
        <v>2</v>
      </c>
      <c r="H36" s="8">
        <v>1.72</v>
      </c>
      <c r="I36" s="12">
        <v>0</v>
      </c>
    </row>
    <row r="37" spans="2:9" ht="15" customHeight="1" x14ac:dyDescent="0.2">
      <c r="B37" t="s">
        <v>112</v>
      </c>
      <c r="C37" s="12">
        <v>8</v>
      </c>
      <c r="D37" s="8">
        <v>2.59</v>
      </c>
      <c r="E37" s="12">
        <v>6</v>
      </c>
      <c r="F37" s="8">
        <v>3.21</v>
      </c>
      <c r="G37" s="12">
        <v>2</v>
      </c>
      <c r="H37" s="8">
        <v>1.72</v>
      </c>
      <c r="I37" s="12">
        <v>0</v>
      </c>
    </row>
    <row r="38" spans="2:9" ht="15" customHeight="1" x14ac:dyDescent="0.2">
      <c r="B38" t="s">
        <v>130</v>
      </c>
      <c r="C38" s="12">
        <v>7</v>
      </c>
      <c r="D38" s="8">
        <v>2.27</v>
      </c>
      <c r="E38" s="12">
        <v>4</v>
      </c>
      <c r="F38" s="8">
        <v>2.14</v>
      </c>
      <c r="G38" s="12">
        <v>3</v>
      </c>
      <c r="H38" s="8">
        <v>2.59</v>
      </c>
      <c r="I38" s="12">
        <v>0</v>
      </c>
    </row>
    <row r="39" spans="2:9" ht="15" customHeight="1" x14ac:dyDescent="0.2">
      <c r="B39" t="s">
        <v>155</v>
      </c>
      <c r="C39" s="12">
        <v>5</v>
      </c>
      <c r="D39" s="8">
        <v>1.62</v>
      </c>
      <c r="E39" s="12">
        <v>5</v>
      </c>
      <c r="F39" s="8">
        <v>2.67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119</v>
      </c>
      <c r="C40" s="12">
        <v>5</v>
      </c>
      <c r="D40" s="8">
        <v>1.62</v>
      </c>
      <c r="E40" s="12">
        <v>0</v>
      </c>
      <c r="F40" s="8">
        <v>0</v>
      </c>
      <c r="G40" s="12">
        <v>4</v>
      </c>
      <c r="H40" s="8">
        <v>3.45</v>
      </c>
      <c r="I40" s="12">
        <v>0</v>
      </c>
    </row>
    <row r="41" spans="2:9" ht="15" customHeight="1" x14ac:dyDescent="0.2">
      <c r="B41" t="s">
        <v>105</v>
      </c>
      <c r="C41" s="12">
        <v>4</v>
      </c>
      <c r="D41" s="8">
        <v>1.29</v>
      </c>
      <c r="E41" s="12">
        <v>1</v>
      </c>
      <c r="F41" s="8">
        <v>0.53</v>
      </c>
      <c r="G41" s="12">
        <v>3</v>
      </c>
      <c r="H41" s="8">
        <v>2.59</v>
      </c>
      <c r="I41" s="12">
        <v>0</v>
      </c>
    </row>
    <row r="42" spans="2:9" ht="15" customHeight="1" x14ac:dyDescent="0.2">
      <c r="B42" t="s">
        <v>106</v>
      </c>
      <c r="C42" s="12">
        <v>4</v>
      </c>
      <c r="D42" s="8">
        <v>1.29</v>
      </c>
      <c r="E42" s="12">
        <v>0</v>
      </c>
      <c r="F42" s="8">
        <v>0</v>
      </c>
      <c r="G42" s="12">
        <v>4</v>
      </c>
      <c r="H42" s="8">
        <v>3.45</v>
      </c>
      <c r="I42" s="12">
        <v>0</v>
      </c>
    </row>
    <row r="43" spans="2:9" ht="15" customHeight="1" x14ac:dyDescent="0.2">
      <c r="B43" t="s">
        <v>143</v>
      </c>
      <c r="C43" s="12">
        <v>3</v>
      </c>
      <c r="D43" s="8">
        <v>0.97</v>
      </c>
      <c r="E43" s="12">
        <v>1</v>
      </c>
      <c r="F43" s="8">
        <v>0.53</v>
      </c>
      <c r="G43" s="12">
        <v>2</v>
      </c>
      <c r="H43" s="8">
        <v>1.72</v>
      </c>
      <c r="I43" s="12">
        <v>0</v>
      </c>
    </row>
    <row r="44" spans="2:9" ht="15" customHeight="1" x14ac:dyDescent="0.2">
      <c r="B44" t="s">
        <v>104</v>
      </c>
      <c r="C44" s="12">
        <v>3</v>
      </c>
      <c r="D44" s="8">
        <v>0.97</v>
      </c>
      <c r="E44" s="12">
        <v>2</v>
      </c>
      <c r="F44" s="8">
        <v>1.07</v>
      </c>
      <c r="G44" s="12">
        <v>1</v>
      </c>
      <c r="H44" s="8">
        <v>0.86</v>
      </c>
      <c r="I44" s="12">
        <v>0</v>
      </c>
    </row>
    <row r="45" spans="2:9" ht="15" customHeight="1" x14ac:dyDescent="0.2">
      <c r="B45" t="s">
        <v>135</v>
      </c>
      <c r="C45" s="12">
        <v>3</v>
      </c>
      <c r="D45" s="8">
        <v>0.97</v>
      </c>
      <c r="E45" s="12">
        <v>1</v>
      </c>
      <c r="F45" s="8">
        <v>0.53</v>
      </c>
      <c r="G45" s="12">
        <v>2</v>
      </c>
      <c r="H45" s="8">
        <v>1.72</v>
      </c>
      <c r="I45" s="12">
        <v>0</v>
      </c>
    </row>
    <row r="46" spans="2:9" ht="15" customHeight="1" x14ac:dyDescent="0.2">
      <c r="B46" t="s">
        <v>125</v>
      </c>
      <c r="C46" s="12">
        <v>3</v>
      </c>
      <c r="D46" s="8">
        <v>0.97</v>
      </c>
      <c r="E46" s="12">
        <v>1</v>
      </c>
      <c r="F46" s="8">
        <v>0.53</v>
      </c>
      <c r="G46" s="12">
        <v>2</v>
      </c>
      <c r="H46" s="8">
        <v>1.72</v>
      </c>
      <c r="I46" s="12">
        <v>0</v>
      </c>
    </row>
    <row r="47" spans="2:9" ht="15" customHeight="1" x14ac:dyDescent="0.2">
      <c r="B47" t="s">
        <v>122</v>
      </c>
      <c r="C47" s="12">
        <v>3</v>
      </c>
      <c r="D47" s="8">
        <v>0.97</v>
      </c>
      <c r="E47" s="12">
        <v>0</v>
      </c>
      <c r="F47" s="8">
        <v>0</v>
      </c>
      <c r="G47" s="12">
        <v>3</v>
      </c>
      <c r="H47" s="8">
        <v>2.59</v>
      </c>
      <c r="I47" s="12">
        <v>0</v>
      </c>
    </row>
    <row r="48" spans="2:9" ht="15" customHeight="1" x14ac:dyDescent="0.2">
      <c r="B48" t="s">
        <v>113</v>
      </c>
      <c r="C48" s="12">
        <v>3</v>
      </c>
      <c r="D48" s="8">
        <v>0.97</v>
      </c>
      <c r="E48" s="12">
        <v>1</v>
      </c>
      <c r="F48" s="8">
        <v>0.53</v>
      </c>
      <c r="G48" s="12">
        <v>2</v>
      </c>
      <c r="H48" s="8">
        <v>1.72</v>
      </c>
      <c r="I48" s="12">
        <v>0</v>
      </c>
    </row>
    <row r="49" spans="2:9" ht="15" customHeight="1" x14ac:dyDescent="0.2">
      <c r="B49" t="s">
        <v>114</v>
      </c>
      <c r="C49" s="12">
        <v>3</v>
      </c>
      <c r="D49" s="8">
        <v>0.97</v>
      </c>
      <c r="E49" s="12">
        <v>1</v>
      </c>
      <c r="F49" s="8">
        <v>0.53</v>
      </c>
      <c r="G49" s="12">
        <v>2</v>
      </c>
      <c r="H49" s="8">
        <v>1.72</v>
      </c>
      <c r="I49" s="12">
        <v>0</v>
      </c>
    </row>
    <row r="52" spans="2:9" ht="33" customHeight="1" x14ac:dyDescent="0.2">
      <c r="B52" t="s">
        <v>365</v>
      </c>
      <c r="C52" s="10" t="s">
        <v>94</v>
      </c>
      <c r="D52" s="10" t="s">
        <v>95</v>
      </c>
      <c r="E52" s="10" t="s">
        <v>96</v>
      </c>
      <c r="F52" s="10" t="s">
        <v>97</v>
      </c>
      <c r="G52" s="10" t="s">
        <v>98</v>
      </c>
      <c r="H52" s="10" t="s">
        <v>99</v>
      </c>
      <c r="I52" s="10" t="s">
        <v>100</v>
      </c>
    </row>
    <row r="53" spans="2:9" ht="15" customHeight="1" x14ac:dyDescent="0.2">
      <c r="B53" t="s">
        <v>191</v>
      </c>
      <c r="C53" s="12">
        <v>14</v>
      </c>
      <c r="D53" s="8">
        <v>4.53</v>
      </c>
      <c r="E53" s="12">
        <v>12</v>
      </c>
      <c r="F53" s="8">
        <v>6.42</v>
      </c>
      <c r="G53" s="12">
        <v>2</v>
      </c>
      <c r="H53" s="8">
        <v>1.72</v>
      </c>
      <c r="I53" s="12">
        <v>0</v>
      </c>
    </row>
    <row r="54" spans="2:9" ht="15" customHeight="1" x14ac:dyDescent="0.2">
      <c r="B54" t="s">
        <v>174</v>
      </c>
      <c r="C54" s="12">
        <v>13</v>
      </c>
      <c r="D54" s="8">
        <v>4.21</v>
      </c>
      <c r="E54" s="12">
        <v>8</v>
      </c>
      <c r="F54" s="8">
        <v>4.28</v>
      </c>
      <c r="G54" s="12">
        <v>5</v>
      </c>
      <c r="H54" s="8">
        <v>4.3099999999999996</v>
      </c>
      <c r="I54" s="12">
        <v>0</v>
      </c>
    </row>
    <row r="55" spans="2:9" ht="15" customHeight="1" x14ac:dyDescent="0.2">
      <c r="B55" t="s">
        <v>197</v>
      </c>
      <c r="C55" s="12">
        <v>11</v>
      </c>
      <c r="D55" s="8">
        <v>3.56</v>
      </c>
      <c r="E55" s="12">
        <v>7</v>
      </c>
      <c r="F55" s="8">
        <v>3.74</v>
      </c>
      <c r="G55" s="12">
        <v>4</v>
      </c>
      <c r="H55" s="8">
        <v>3.45</v>
      </c>
      <c r="I55" s="12">
        <v>0</v>
      </c>
    </row>
    <row r="56" spans="2:9" ht="15" customHeight="1" x14ac:dyDescent="0.2">
      <c r="B56" t="s">
        <v>190</v>
      </c>
      <c r="C56" s="12">
        <v>11</v>
      </c>
      <c r="D56" s="8">
        <v>3.56</v>
      </c>
      <c r="E56" s="12">
        <v>11</v>
      </c>
      <c r="F56" s="8">
        <v>5.88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188</v>
      </c>
      <c r="C57" s="12">
        <v>10</v>
      </c>
      <c r="D57" s="8">
        <v>3.24</v>
      </c>
      <c r="E57" s="12">
        <v>10</v>
      </c>
      <c r="F57" s="8">
        <v>5.35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180</v>
      </c>
      <c r="C58" s="12">
        <v>9</v>
      </c>
      <c r="D58" s="8">
        <v>2.91</v>
      </c>
      <c r="E58" s="12">
        <v>6</v>
      </c>
      <c r="F58" s="8">
        <v>3.21</v>
      </c>
      <c r="G58" s="12">
        <v>3</v>
      </c>
      <c r="H58" s="8">
        <v>2.59</v>
      </c>
      <c r="I58" s="12">
        <v>0</v>
      </c>
    </row>
    <row r="59" spans="2:9" ht="15" customHeight="1" x14ac:dyDescent="0.2">
      <c r="B59" t="s">
        <v>176</v>
      </c>
      <c r="C59" s="12">
        <v>8</v>
      </c>
      <c r="D59" s="8">
        <v>2.59</v>
      </c>
      <c r="E59" s="12">
        <v>5</v>
      </c>
      <c r="F59" s="8">
        <v>2.67</v>
      </c>
      <c r="G59" s="12">
        <v>3</v>
      </c>
      <c r="H59" s="8">
        <v>2.59</v>
      </c>
      <c r="I59" s="12">
        <v>0</v>
      </c>
    </row>
    <row r="60" spans="2:9" ht="15" customHeight="1" x14ac:dyDescent="0.2">
      <c r="B60" t="s">
        <v>179</v>
      </c>
      <c r="C60" s="12">
        <v>8</v>
      </c>
      <c r="D60" s="8">
        <v>2.59</v>
      </c>
      <c r="E60" s="12">
        <v>3</v>
      </c>
      <c r="F60" s="8">
        <v>1.6</v>
      </c>
      <c r="G60" s="12">
        <v>5</v>
      </c>
      <c r="H60" s="8">
        <v>4.3099999999999996</v>
      </c>
      <c r="I60" s="12">
        <v>0</v>
      </c>
    </row>
    <row r="61" spans="2:9" ht="15" customHeight="1" x14ac:dyDescent="0.2">
      <c r="B61" t="s">
        <v>193</v>
      </c>
      <c r="C61" s="12">
        <v>8</v>
      </c>
      <c r="D61" s="8">
        <v>2.59</v>
      </c>
      <c r="E61" s="12">
        <v>8</v>
      </c>
      <c r="F61" s="8">
        <v>4.28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181</v>
      </c>
      <c r="C62" s="12">
        <v>7</v>
      </c>
      <c r="D62" s="8">
        <v>2.27</v>
      </c>
      <c r="E62" s="12">
        <v>5</v>
      </c>
      <c r="F62" s="8">
        <v>2.67</v>
      </c>
      <c r="G62" s="12">
        <v>2</v>
      </c>
      <c r="H62" s="8">
        <v>1.72</v>
      </c>
      <c r="I62" s="12">
        <v>0</v>
      </c>
    </row>
    <row r="63" spans="2:9" ht="15" customHeight="1" x14ac:dyDescent="0.2">
      <c r="B63" t="s">
        <v>198</v>
      </c>
      <c r="C63" s="12">
        <v>7</v>
      </c>
      <c r="D63" s="8">
        <v>2.27</v>
      </c>
      <c r="E63" s="12">
        <v>7</v>
      </c>
      <c r="F63" s="8">
        <v>3.74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175</v>
      </c>
      <c r="C64" s="12">
        <v>6</v>
      </c>
      <c r="D64" s="8">
        <v>1.94</v>
      </c>
      <c r="E64" s="12">
        <v>4</v>
      </c>
      <c r="F64" s="8">
        <v>2.14</v>
      </c>
      <c r="G64" s="12">
        <v>2</v>
      </c>
      <c r="H64" s="8">
        <v>1.72</v>
      </c>
      <c r="I64" s="12">
        <v>0</v>
      </c>
    </row>
    <row r="65" spans="2:9" ht="15" customHeight="1" x14ac:dyDescent="0.2">
      <c r="B65" t="s">
        <v>196</v>
      </c>
      <c r="C65" s="12">
        <v>6</v>
      </c>
      <c r="D65" s="8">
        <v>1.94</v>
      </c>
      <c r="E65" s="12">
        <v>5</v>
      </c>
      <c r="F65" s="8">
        <v>2.67</v>
      </c>
      <c r="G65" s="12">
        <v>1</v>
      </c>
      <c r="H65" s="8">
        <v>0.86</v>
      </c>
      <c r="I65" s="12">
        <v>0</v>
      </c>
    </row>
    <row r="66" spans="2:9" ht="15" customHeight="1" x14ac:dyDescent="0.2">
      <c r="B66" t="s">
        <v>192</v>
      </c>
      <c r="C66" s="12">
        <v>6</v>
      </c>
      <c r="D66" s="8">
        <v>1.94</v>
      </c>
      <c r="E66" s="12">
        <v>4</v>
      </c>
      <c r="F66" s="8">
        <v>2.14</v>
      </c>
      <c r="G66" s="12">
        <v>2</v>
      </c>
      <c r="H66" s="8">
        <v>1.72</v>
      </c>
      <c r="I66" s="12">
        <v>0</v>
      </c>
    </row>
    <row r="67" spans="2:9" ht="15" customHeight="1" x14ac:dyDescent="0.2">
      <c r="B67" t="s">
        <v>210</v>
      </c>
      <c r="C67" s="12">
        <v>5</v>
      </c>
      <c r="D67" s="8">
        <v>1.62</v>
      </c>
      <c r="E67" s="12">
        <v>5</v>
      </c>
      <c r="F67" s="8">
        <v>2.67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177</v>
      </c>
      <c r="C68" s="12">
        <v>5</v>
      </c>
      <c r="D68" s="8">
        <v>1.62</v>
      </c>
      <c r="E68" s="12">
        <v>4</v>
      </c>
      <c r="F68" s="8">
        <v>2.14</v>
      </c>
      <c r="G68" s="12">
        <v>1</v>
      </c>
      <c r="H68" s="8">
        <v>0.86</v>
      </c>
      <c r="I68" s="12">
        <v>0</v>
      </c>
    </row>
    <row r="69" spans="2:9" ht="15" customHeight="1" x14ac:dyDescent="0.2">
      <c r="B69" t="s">
        <v>294</v>
      </c>
      <c r="C69" s="12">
        <v>5</v>
      </c>
      <c r="D69" s="8">
        <v>1.62</v>
      </c>
      <c r="E69" s="12">
        <v>3</v>
      </c>
      <c r="F69" s="8">
        <v>1.6</v>
      </c>
      <c r="G69" s="12">
        <v>2</v>
      </c>
      <c r="H69" s="8">
        <v>1.72</v>
      </c>
      <c r="I69" s="12">
        <v>0</v>
      </c>
    </row>
    <row r="70" spans="2:9" ht="15" customHeight="1" x14ac:dyDescent="0.2">
      <c r="B70" t="s">
        <v>279</v>
      </c>
      <c r="C70" s="12">
        <v>5</v>
      </c>
      <c r="D70" s="8">
        <v>1.62</v>
      </c>
      <c r="E70" s="12">
        <v>5</v>
      </c>
      <c r="F70" s="8">
        <v>2.67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183</v>
      </c>
      <c r="C71" s="12">
        <v>5</v>
      </c>
      <c r="D71" s="8">
        <v>1.62</v>
      </c>
      <c r="E71" s="12">
        <v>4</v>
      </c>
      <c r="F71" s="8">
        <v>2.14</v>
      </c>
      <c r="G71" s="12">
        <v>1</v>
      </c>
      <c r="H71" s="8">
        <v>0.86</v>
      </c>
      <c r="I71" s="12">
        <v>0</v>
      </c>
    </row>
    <row r="72" spans="2:9" ht="15" customHeight="1" x14ac:dyDescent="0.2">
      <c r="B72" t="s">
        <v>187</v>
      </c>
      <c r="C72" s="12">
        <v>5</v>
      </c>
      <c r="D72" s="8">
        <v>1.62</v>
      </c>
      <c r="E72" s="12">
        <v>5</v>
      </c>
      <c r="F72" s="8">
        <v>2.67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220</v>
      </c>
      <c r="C73" s="12">
        <v>5</v>
      </c>
      <c r="D73" s="8">
        <v>1.62</v>
      </c>
      <c r="E73" s="12">
        <v>4</v>
      </c>
      <c r="F73" s="8">
        <v>2.14</v>
      </c>
      <c r="G73" s="12">
        <v>1</v>
      </c>
      <c r="H73" s="8">
        <v>0.86</v>
      </c>
      <c r="I73" s="12">
        <v>0</v>
      </c>
    </row>
    <row r="75" spans="2:9" ht="15" customHeight="1" x14ac:dyDescent="0.2">
      <c r="B75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52BBE-1198-4D48-96C2-18340CD684C6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436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54</v>
      </c>
      <c r="D6" s="8">
        <v>27.69</v>
      </c>
      <c r="E6" s="12">
        <v>31</v>
      </c>
      <c r="F6" s="8">
        <v>28.7</v>
      </c>
      <c r="G6" s="12">
        <v>23</v>
      </c>
      <c r="H6" s="8">
        <v>29.11</v>
      </c>
      <c r="I6" s="12">
        <v>0</v>
      </c>
    </row>
    <row r="7" spans="2:9" ht="15" customHeight="1" x14ac:dyDescent="0.2">
      <c r="B7" t="s">
        <v>80</v>
      </c>
      <c r="C7" s="12">
        <v>49</v>
      </c>
      <c r="D7" s="8">
        <v>25.13</v>
      </c>
      <c r="E7" s="12">
        <v>24</v>
      </c>
      <c r="F7" s="8">
        <v>22.22</v>
      </c>
      <c r="G7" s="12">
        <v>24</v>
      </c>
      <c r="H7" s="8">
        <v>30.38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0.51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2</v>
      </c>
      <c r="D9" s="8">
        <v>1.03</v>
      </c>
      <c r="E9" s="12">
        <v>1</v>
      </c>
      <c r="F9" s="8">
        <v>0.93</v>
      </c>
      <c r="G9" s="12">
        <v>1</v>
      </c>
      <c r="H9" s="8">
        <v>1.27</v>
      </c>
      <c r="I9" s="12">
        <v>0</v>
      </c>
    </row>
    <row r="10" spans="2:9" ht="15" customHeight="1" x14ac:dyDescent="0.2">
      <c r="B10" t="s">
        <v>83</v>
      </c>
      <c r="C10" s="12">
        <v>3</v>
      </c>
      <c r="D10" s="8">
        <v>1.54</v>
      </c>
      <c r="E10" s="12">
        <v>1</v>
      </c>
      <c r="F10" s="8">
        <v>0.93</v>
      </c>
      <c r="G10" s="12">
        <v>1</v>
      </c>
      <c r="H10" s="8">
        <v>1.27</v>
      </c>
      <c r="I10" s="12">
        <v>1</v>
      </c>
    </row>
    <row r="11" spans="2:9" ht="15" customHeight="1" x14ac:dyDescent="0.2">
      <c r="B11" t="s">
        <v>84</v>
      </c>
      <c r="C11" s="12">
        <v>28</v>
      </c>
      <c r="D11" s="8">
        <v>14.36</v>
      </c>
      <c r="E11" s="12">
        <v>13</v>
      </c>
      <c r="F11" s="8">
        <v>12.04</v>
      </c>
      <c r="G11" s="12">
        <v>13</v>
      </c>
      <c r="H11" s="8">
        <v>16.46</v>
      </c>
      <c r="I11" s="12">
        <v>2</v>
      </c>
    </row>
    <row r="12" spans="2:9" ht="15" customHeight="1" x14ac:dyDescent="0.2">
      <c r="B12" t="s">
        <v>85</v>
      </c>
      <c r="C12" s="12">
        <v>1</v>
      </c>
      <c r="D12" s="8">
        <v>0.51</v>
      </c>
      <c r="E12" s="12">
        <v>0</v>
      </c>
      <c r="F12" s="8">
        <v>0</v>
      </c>
      <c r="G12" s="12">
        <v>1</v>
      </c>
      <c r="H12" s="8">
        <v>1.27</v>
      </c>
      <c r="I12" s="12">
        <v>0</v>
      </c>
    </row>
    <row r="13" spans="2:9" ht="15" customHeight="1" x14ac:dyDescent="0.2">
      <c r="B13" t="s">
        <v>86</v>
      </c>
      <c r="C13" s="12">
        <v>1</v>
      </c>
      <c r="D13" s="8">
        <v>0.51</v>
      </c>
      <c r="E13" s="12">
        <v>0</v>
      </c>
      <c r="F13" s="8">
        <v>0</v>
      </c>
      <c r="G13" s="12">
        <v>1</v>
      </c>
      <c r="H13" s="8">
        <v>1.27</v>
      </c>
      <c r="I13" s="12">
        <v>0</v>
      </c>
    </row>
    <row r="14" spans="2:9" ht="15" customHeight="1" x14ac:dyDescent="0.2">
      <c r="B14" t="s">
        <v>87</v>
      </c>
      <c r="C14" s="12">
        <v>5</v>
      </c>
      <c r="D14" s="8">
        <v>2.56</v>
      </c>
      <c r="E14" s="12">
        <v>4</v>
      </c>
      <c r="F14" s="8">
        <v>3.7</v>
      </c>
      <c r="G14" s="12">
        <v>1</v>
      </c>
      <c r="H14" s="8">
        <v>1.27</v>
      </c>
      <c r="I14" s="12">
        <v>0</v>
      </c>
    </row>
    <row r="15" spans="2:9" ht="15" customHeight="1" x14ac:dyDescent="0.2">
      <c r="B15" t="s">
        <v>88</v>
      </c>
      <c r="C15" s="12">
        <v>22</v>
      </c>
      <c r="D15" s="8">
        <v>11.28</v>
      </c>
      <c r="E15" s="12">
        <v>12</v>
      </c>
      <c r="F15" s="8">
        <v>11.11</v>
      </c>
      <c r="G15" s="12">
        <v>10</v>
      </c>
      <c r="H15" s="8">
        <v>12.66</v>
      </c>
      <c r="I15" s="12">
        <v>0</v>
      </c>
    </row>
    <row r="16" spans="2:9" ht="15" customHeight="1" x14ac:dyDescent="0.2">
      <c r="B16" t="s">
        <v>89</v>
      </c>
      <c r="C16" s="12">
        <v>15</v>
      </c>
      <c r="D16" s="8">
        <v>7.69</v>
      </c>
      <c r="E16" s="12">
        <v>14</v>
      </c>
      <c r="F16" s="8">
        <v>12.96</v>
      </c>
      <c r="G16" s="12">
        <v>1</v>
      </c>
      <c r="H16" s="8">
        <v>1.27</v>
      </c>
      <c r="I16" s="12">
        <v>0</v>
      </c>
    </row>
    <row r="17" spans="2:9" ht="15" customHeight="1" x14ac:dyDescent="0.2">
      <c r="B17" t="s">
        <v>90</v>
      </c>
      <c r="C17" s="12">
        <v>6</v>
      </c>
      <c r="D17" s="8">
        <v>3.08</v>
      </c>
      <c r="E17" s="12">
        <v>5</v>
      </c>
      <c r="F17" s="8">
        <v>4.63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5</v>
      </c>
      <c r="D18" s="8">
        <v>2.56</v>
      </c>
      <c r="E18" s="12">
        <v>2</v>
      </c>
      <c r="F18" s="8">
        <v>1.85</v>
      </c>
      <c r="G18" s="12">
        <v>1</v>
      </c>
      <c r="H18" s="8">
        <v>1.27</v>
      </c>
      <c r="I18" s="12">
        <v>0</v>
      </c>
    </row>
    <row r="19" spans="2:9" ht="15" customHeight="1" x14ac:dyDescent="0.2">
      <c r="B19" t="s">
        <v>92</v>
      </c>
      <c r="C19" s="12">
        <v>3</v>
      </c>
      <c r="D19" s="8">
        <v>1.54</v>
      </c>
      <c r="E19" s="12">
        <v>1</v>
      </c>
      <c r="F19" s="8">
        <v>0.93</v>
      </c>
      <c r="G19" s="12">
        <v>2</v>
      </c>
      <c r="H19" s="8">
        <v>2.5299999999999998</v>
      </c>
      <c r="I19" s="12">
        <v>0</v>
      </c>
    </row>
    <row r="20" spans="2:9" ht="15" customHeight="1" x14ac:dyDescent="0.2">
      <c r="B20" s="9" t="s">
        <v>363</v>
      </c>
      <c r="C20" s="12">
        <f>SUM(LTBL_20543[総数／事業所数])</f>
        <v>195</v>
      </c>
      <c r="E20" s="12">
        <f>SUBTOTAL(109,LTBL_20543[個人／事業所数])</f>
        <v>108</v>
      </c>
      <c r="G20" s="12">
        <f>SUBTOTAL(109,LTBL_20543[法人／事業所数])</f>
        <v>79</v>
      </c>
      <c r="I20" s="12">
        <f>SUBTOTAL(109,LTBL_20543[法人以外の団体／事業所数])</f>
        <v>3</v>
      </c>
    </row>
    <row r="21" spans="2:9" ht="15" customHeight="1" x14ac:dyDescent="0.2">
      <c r="E21" s="11">
        <f>LTBL_20543[[#Totals],[個人／事業所数]]/LTBL_20543[[#Totals],[総数／事業所数]]</f>
        <v>0.55384615384615388</v>
      </c>
      <c r="G21" s="11">
        <f>LTBL_20543[[#Totals],[法人／事業所数]]/LTBL_20543[[#Totals],[総数／事業所数]]</f>
        <v>0.40512820512820513</v>
      </c>
      <c r="I21" s="11">
        <f>LTBL_20543[[#Totals],[法人以外の団体／事業所数]]/LTBL_20543[[#Totals],[総数／事業所数]]</f>
        <v>1.5384615384615385E-2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101</v>
      </c>
      <c r="C24" s="12">
        <v>21</v>
      </c>
      <c r="D24" s="8">
        <v>10.77</v>
      </c>
      <c r="E24" s="12">
        <v>7</v>
      </c>
      <c r="F24" s="8">
        <v>6.48</v>
      </c>
      <c r="G24" s="12">
        <v>14</v>
      </c>
      <c r="H24" s="8">
        <v>17.72</v>
      </c>
      <c r="I24" s="12">
        <v>0</v>
      </c>
    </row>
    <row r="25" spans="2:9" ht="15" customHeight="1" x14ac:dyDescent="0.2">
      <c r="B25" t="s">
        <v>102</v>
      </c>
      <c r="C25" s="12">
        <v>20</v>
      </c>
      <c r="D25" s="8">
        <v>10.26</v>
      </c>
      <c r="E25" s="12">
        <v>16</v>
      </c>
      <c r="F25" s="8">
        <v>14.81</v>
      </c>
      <c r="G25" s="12">
        <v>4</v>
      </c>
      <c r="H25" s="8">
        <v>5.0599999999999996</v>
      </c>
      <c r="I25" s="12">
        <v>0</v>
      </c>
    </row>
    <row r="26" spans="2:9" ht="15" customHeight="1" x14ac:dyDescent="0.2">
      <c r="B26" t="s">
        <v>116</v>
      </c>
      <c r="C26" s="12">
        <v>15</v>
      </c>
      <c r="D26" s="8">
        <v>7.69</v>
      </c>
      <c r="E26" s="12">
        <v>14</v>
      </c>
      <c r="F26" s="8">
        <v>12.96</v>
      </c>
      <c r="G26" s="12">
        <v>1</v>
      </c>
      <c r="H26" s="8">
        <v>1.27</v>
      </c>
      <c r="I26" s="12">
        <v>0</v>
      </c>
    </row>
    <row r="27" spans="2:9" ht="15" customHeight="1" x14ac:dyDescent="0.2">
      <c r="B27" t="s">
        <v>103</v>
      </c>
      <c r="C27" s="12">
        <v>13</v>
      </c>
      <c r="D27" s="8">
        <v>6.67</v>
      </c>
      <c r="E27" s="12">
        <v>8</v>
      </c>
      <c r="F27" s="8">
        <v>7.41</v>
      </c>
      <c r="G27" s="12">
        <v>5</v>
      </c>
      <c r="H27" s="8">
        <v>6.33</v>
      </c>
      <c r="I27" s="12">
        <v>0</v>
      </c>
    </row>
    <row r="28" spans="2:9" ht="15" customHeight="1" x14ac:dyDescent="0.2">
      <c r="B28" t="s">
        <v>114</v>
      </c>
      <c r="C28" s="12">
        <v>13</v>
      </c>
      <c r="D28" s="8">
        <v>6.67</v>
      </c>
      <c r="E28" s="12">
        <v>4</v>
      </c>
      <c r="F28" s="8">
        <v>3.7</v>
      </c>
      <c r="G28" s="12">
        <v>9</v>
      </c>
      <c r="H28" s="8">
        <v>11.39</v>
      </c>
      <c r="I28" s="12">
        <v>0</v>
      </c>
    </row>
    <row r="29" spans="2:9" ht="15" customHeight="1" x14ac:dyDescent="0.2">
      <c r="B29" t="s">
        <v>108</v>
      </c>
      <c r="C29" s="12">
        <v>12</v>
      </c>
      <c r="D29" s="8">
        <v>6.15</v>
      </c>
      <c r="E29" s="12">
        <v>4</v>
      </c>
      <c r="F29" s="8">
        <v>3.7</v>
      </c>
      <c r="G29" s="12">
        <v>6</v>
      </c>
      <c r="H29" s="8">
        <v>7.59</v>
      </c>
      <c r="I29" s="12">
        <v>2</v>
      </c>
    </row>
    <row r="30" spans="2:9" ht="15" customHeight="1" x14ac:dyDescent="0.2">
      <c r="B30" t="s">
        <v>104</v>
      </c>
      <c r="C30" s="12">
        <v>10</v>
      </c>
      <c r="D30" s="8">
        <v>5.13</v>
      </c>
      <c r="E30" s="12">
        <v>5</v>
      </c>
      <c r="F30" s="8">
        <v>4.63</v>
      </c>
      <c r="G30" s="12">
        <v>5</v>
      </c>
      <c r="H30" s="8">
        <v>6.33</v>
      </c>
      <c r="I30" s="12">
        <v>0</v>
      </c>
    </row>
    <row r="31" spans="2:9" ht="15" customHeight="1" x14ac:dyDescent="0.2">
      <c r="B31" t="s">
        <v>109</v>
      </c>
      <c r="C31" s="12">
        <v>9</v>
      </c>
      <c r="D31" s="8">
        <v>4.62</v>
      </c>
      <c r="E31" s="12">
        <v>6</v>
      </c>
      <c r="F31" s="8">
        <v>5.56</v>
      </c>
      <c r="G31" s="12">
        <v>3</v>
      </c>
      <c r="H31" s="8">
        <v>3.8</v>
      </c>
      <c r="I31" s="12">
        <v>0</v>
      </c>
    </row>
    <row r="32" spans="2:9" ht="15" customHeight="1" x14ac:dyDescent="0.2">
      <c r="B32" t="s">
        <v>115</v>
      </c>
      <c r="C32" s="12">
        <v>8</v>
      </c>
      <c r="D32" s="8">
        <v>4.0999999999999996</v>
      </c>
      <c r="E32" s="12">
        <v>8</v>
      </c>
      <c r="F32" s="8">
        <v>7.41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105</v>
      </c>
      <c r="C33" s="12">
        <v>7</v>
      </c>
      <c r="D33" s="8">
        <v>3.59</v>
      </c>
      <c r="E33" s="12">
        <v>4</v>
      </c>
      <c r="F33" s="8">
        <v>3.7</v>
      </c>
      <c r="G33" s="12">
        <v>3</v>
      </c>
      <c r="H33" s="8">
        <v>3.8</v>
      </c>
      <c r="I33" s="12">
        <v>0</v>
      </c>
    </row>
    <row r="34" spans="2:9" ht="15" customHeight="1" x14ac:dyDescent="0.2">
      <c r="B34" t="s">
        <v>117</v>
      </c>
      <c r="C34" s="12">
        <v>6</v>
      </c>
      <c r="D34" s="8">
        <v>3.08</v>
      </c>
      <c r="E34" s="12">
        <v>5</v>
      </c>
      <c r="F34" s="8">
        <v>4.63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127</v>
      </c>
      <c r="C35" s="12">
        <v>4</v>
      </c>
      <c r="D35" s="8">
        <v>2.0499999999999998</v>
      </c>
      <c r="E35" s="12">
        <v>2</v>
      </c>
      <c r="F35" s="8">
        <v>1.85</v>
      </c>
      <c r="G35" s="12">
        <v>2</v>
      </c>
      <c r="H35" s="8">
        <v>2.5299999999999998</v>
      </c>
      <c r="I35" s="12">
        <v>0</v>
      </c>
    </row>
    <row r="36" spans="2:9" ht="15" customHeight="1" x14ac:dyDescent="0.2">
      <c r="B36" t="s">
        <v>130</v>
      </c>
      <c r="C36" s="12">
        <v>4</v>
      </c>
      <c r="D36" s="8">
        <v>2.0499999999999998</v>
      </c>
      <c r="E36" s="12">
        <v>4</v>
      </c>
      <c r="F36" s="8">
        <v>3.7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158</v>
      </c>
      <c r="C37" s="12">
        <v>4</v>
      </c>
      <c r="D37" s="8">
        <v>2.0499999999999998</v>
      </c>
      <c r="E37" s="12">
        <v>1</v>
      </c>
      <c r="F37" s="8">
        <v>0.93</v>
      </c>
      <c r="G37" s="12">
        <v>3</v>
      </c>
      <c r="H37" s="8">
        <v>3.8</v>
      </c>
      <c r="I37" s="12">
        <v>0</v>
      </c>
    </row>
    <row r="38" spans="2:9" ht="15" customHeight="1" x14ac:dyDescent="0.2">
      <c r="B38" t="s">
        <v>113</v>
      </c>
      <c r="C38" s="12">
        <v>4</v>
      </c>
      <c r="D38" s="8">
        <v>2.0499999999999998</v>
      </c>
      <c r="E38" s="12">
        <v>3</v>
      </c>
      <c r="F38" s="8">
        <v>2.78</v>
      </c>
      <c r="G38" s="12">
        <v>1</v>
      </c>
      <c r="H38" s="8">
        <v>1.27</v>
      </c>
      <c r="I38" s="12">
        <v>0</v>
      </c>
    </row>
    <row r="39" spans="2:9" ht="15" customHeight="1" x14ac:dyDescent="0.2">
      <c r="B39" t="s">
        <v>156</v>
      </c>
      <c r="C39" s="12">
        <v>3</v>
      </c>
      <c r="D39" s="8">
        <v>1.54</v>
      </c>
      <c r="E39" s="12">
        <v>1</v>
      </c>
      <c r="F39" s="8">
        <v>0.93</v>
      </c>
      <c r="G39" s="12">
        <v>2</v>
      </c>
      <c r="H39" s="8">
        <v>2.5299999999999998</v>
      </c>
      <c r="I39" s="12">
        <v>0</v>
      </c>
    </row>
    <row r="40" spans="2:9" ht="15" customHeight="1" x14ac:dyDescent="0.2">
      <c r="B40" t="s">
        <v>126</v>
      </c>
      <c r="C40" s="12">
        <v>3</v>
      </c>
      <c r="D40" s="8">
        <v>1.54</v>
      </c>
      <c r="E40" s="12">
        <v>1</v>
      </c>
      <c r="F40" s="8">
        <v>0.93</v>
      </c>
      <c r="G40" s="12">
        <v>2</v>
      </c>
      <c r="H40" s="8">
        <v>2.5299999999999998</v>
      </c>
      <c r="I40" s="12">
        <v>0</v>
      </c>
    </row>
    <row r="41" spans="2:9" ht="15" customHeight="1" x14ac:dyDescent="0.2">
      <c r="B41" t="s">
        <v>110</v>
      </c>
      <c r="C41" s="12">
        <v>3</v>
      </c>
      <c r="D41" s="8">
        <v>1.54</v>
      </c>
      <c r="E41" s="12">
        <v>1</v>
      </c>
      <c r="F41" s="8">
        <v>0.93</v>
      </c>
      <c r="G41" s="12">
        <v>2</v>
      </c>
      <c r="H41" s="8">
        <v>2.5299999999999998</v>
      </c>
      <c r="I41" s="12">
        <v>0</v>
      </c>
    </row>
    <row r="42" spans="2:9" ht="15" customHeight="1" x14ac:dyDescent="0.2">
      <c r="B42" t="s">
        <v>119</v>
      </c>
      <c r="C42" s="12">
        <v>3</v>
      </c>
      <c r="D42" s="8">
        <v>1.54</v>
      </c>
      <c r="E42" s="12">
        <v>0</v>
      </c>
      <c r="F42" s="8">
        <v>0</v>
      </c>
      <c r="G42" s="12">
        <v>1</v>
      </c>
      <c r="H42" s="8">
        <v>1.27</v>
      </c>
      <c r="I42" s="12">
        <v>0</v>
      </c>
    </row>
    <row r="43" spans="2:9" ht="15" customHeight="1" x14ac:dyDescent="0.2">
      <c r="B43" t="s">
        <v>142</v>
      </c>
      <c r="C43" s="12">
        <v>2</v>
      </c>
      <c r="D43" s="8">
        <v>1.03</v>
      </c>
      <c r="E43" s="12">
        <v>0</v>
      </c>
      <c r="F43" s="8">
        <v>0</v>
      </c>
      <c r="G43" s="12">
        <v>1</v>
      </c>
      <c r="H43" s="8">
        <v>1.27</v>
      </c>
      <c r="I43" s="12">
        <v>0</v>
      </c>
    </row>
    <row r="44" spans="2:9" ht="15" customHeight="1" x14ac:dyDescent="0.2">
      <c r="B44" t="s">
        <v>128</v>
      </c>
      <c r="C44" s="12">
        <v>2</v>
      </c>
      <c r="D44" s="8">
        <v>1.03</v>
      </c>
      <c r="E44" s="12">
        <v>2</v>
      </c>
      <c r="F44" s="8">
        <v>1.85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168</v>
      </c>
      <c r="C45" s="12">
        <v>2</v>
      </c>
      <c r="D45" s="8">
        <v>1.03</v>
      </c>
      <c r="E45" s="12">
        <v>1</v>
      </c>
      <c r="F45" s="8">
        <v>0.93</v>
      </c>
      <c r="G45" s="12">
        <v>1</v>
      </c>
      <c r="H45" s="8">
        <v>1.27</v>
      </c>
      <c r="I45" s="12">
        <v>0</v>
      </c>
    </row>
    <row r="46" spans="2:9" ht="15" customHeight="1" x14ac:dyDescent="0.2">
      <c r="B46" t="s">
        <v>143</v>
      </c>
      <c r="C46" s="12">
        <v>2</v>
      </c>
      <c r="D46" s="8">
        <v>1.03</v>
      </c>
      <c r="E46" s="12">
        <v>0</v>
      </c>
      <c r="F46" s="8">
        <v>0</v>
      </c>
      <c r="G46" s="12">
        <v>2</v>
      </c>
      <c r="H46" s="8">
        <v>2.5299999999999998</v>
      </c>
      <c r="I46" s="12">
        <v>0</v>
      </c>
    </row>
    <row r="47" spans="2:9" ht="15" customHeight="1" x14ac:dyDescent="0.2">
      <c r="B47" t="s">
        <v>136</v>
      </c>
      <c r="C47" s="12">
        <v>2</v>
      </c>
      <c r="D47" s="8">
        <v>1.03</v>
      </c>
      <c r="E47" s="12">
        <v>1</v>
      </c>
      <c r="F47" s="8">
        <v>0.93</v>
      </c>
      <c r="G47" s="12">
        <v>1</v>
      </c>
      <c r="H47" s="8">
        <v>1.27</v>
      </c>
      <c r="I47" s="12">
        <v>0</v>
      </c>
    </row>
    <row r="48" spans="2:9" ht="15" customHeight="1" x14ac:dyDescent="0.2">
      <c r="B48" t="s">
        <v>145</v>
      </c>
      <c r="C48" s="12">
        <v>2</v>
      </c>
      <c r="D48" s="8">
        <v>1.03</v>
      </c>
      <c r="E48" s="12">
        <v>1</v>
      </c>
      <c r="F48" s="8">
        <v>0.93</v>
      </c>
      <c r="G48" s="12">
        <v>1</v>
      </c>
      <c r="H48" s="8">
        <v>1.27</v>
      </c>
      <c r="I48" s="12">
        <v>0</v>
      </c>
    </row>
    <row r="49" spans="2:9" ht="15" customHeight="1" x14ac:dyDescent="0.2">
      <c r="B49" t="s">
        <v>118</v>
      </c>
      <c r="C49" s="12">
        <v>2</v>
      </c>
      <c r="D49" s="8">
        <v>1.03</v>
      </c>
      <c r="E49" s="12">
        <v>2</v>
      </c>
      <c r="F49" s="8">
        <v>1.85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120</v>
      </c>
      <c r="C50" s="12">
        <v>2</v>
      </c>
      <c r="D50" s="8">
        <v>1.03</v>
      </c>
      <c r="E50" s="12">
        <v>1</v>
      </c>
      <c r="F50" s="8">
        <v>0.93</v>
      </c>
      <c r="G50" s="12">
        <v>1</v>
      </c>
      <c r="H50" s="8">
        <v>1.27</v>
      </c>
      <c r="I50" s="12">
        <v>0</v>
      </c>
    </row>
    <row r="53" spans="2:9" ht="33" customHeight="1" x14ac:dyDescent="0.2">
      <c r="B53" t="s">
        <v>365</v>
      </c>
      <c r="C53" s="10" t="s">
        <v>94</v>
      </c>
      <c r="D53" s="10" t="s">
        <v>95</v>
      </c>
      <c r="E53" s="10" t="s">
        <v>96</v>
      </c>
      <c r="F53" s="10" t="s">
        <v>97</v>
      </c>
      <c r="G53" s="10" t="s">
        <v>98</v>
      </c>
      <c r="H53" s="10" t="s">
        <v>99</v>
      </c>
      <c r="I53" s="10" t="s">
        <v>100</v>
      </c>
    </row>
    <row r="54" spans="2:9" ht="15" customHeight="1" x14ac:dyDescent="0.2">
      <c r="B54" t="s">
        <v>185</v>
      </c>
      <c r="C54" s="12">
        <v>12</v>
      </c>
      <c r="D54" s="8">
        <v>6.15</v>
      </c>
      <c r="E54" s="12">
        <v>3</v>
      </c>
      <c r="F54" s="8">
        <v>2.78</v>
      </c>
      <c r="G54" s="12">
        <v>9</v>
      </c>
      <c r="H54" s="8">
        <v>11.39</v>
      </c>
      <c r="I54" s="12">
        <v>0</v>
      </c>
    </row>
    <row r="55" spans="2:9" ht="15" customHeight="1" x14ac:dyDescent="0.2">
      <c r="B55" t="s">
        <v>174</v>
      </c>
      <c r="C55" s="12">
        <v>9</v>
      </c>
      <c r="D55" s="8">
        <v>4.62</v>
      </c>
      <c r="E55" s="12">
        <v>3</v>
      </c>
      <c r="F55" s="8">
        <v>2.78</v>
      </c>
      <c r="G55" s="12">
        <v>6</v>
      </c>
      <c r="H55" s="8">
        <v>7.59</v>
      </c>
      <c r="I55" s="12">
        <v>0</v>
      </c>
    </row>
    <row r="56" spans="2:9" ht="15" customHeight="1" x14ac:dyDescent="0.2">
      <c r="B56" t="s">
        <v>175</v>
      </c>
      <c r="C56" s="12">
        <v>8</v>
      </c>
      <c r="D56" s="8">
        <v>4.0999999999999996</v>
      </c>
      <c r="E56" s="12">
        <v>2</v>
      </c>
      <c r="F56" s="8">
        <v>1.85</v>
      </c>
      <c r="G56" s="12">
        <v>6</v>
      </c>
      <c r="H56" s="8">
        <v>7.59</v>
      </c>
      <c r="I56" s="12">
        <v>0</v>
      </c>
    </row>
    <row r="57" spans="2:9" ht="15" customHeight="1" x14ac:dyDescent="0.2">
      <c r="B57" t="s">
        <v>178</v>
      </c>
      <c r="C57" s="12">
        <v>8</v>
      </c>
      <c r="D57" s="8">
        <v>4.0999999999999996</v>
      </c>
      <c r="E57" s="12">
        <v>6</v>
      </c>
      <c r="F57" s="8">
        <v>5.56</v>
      </c>
      <c r="G57" s="12">
        <v>2</v>
      </c>
      <c r="H57" s="8">
        <v>2.5299999999999998</v>
      </c>
      <c r="I57" s="12">
        <v>0</v>
      </c>
    </row>
    <row r="58" spans="2:9" ht="15" customHeight="1" x14ac:dyDescent="0.2">
      <c r="B58" t="s">
        <v>281</v>
      </c>
      <c r="C58" s="12">
        <v>8</v>
      </c>
      <c r="D58" s="8">
        <v>4.0999999999999996</v>
      </c>
      <c r="E58" s="12">
        <v>3</v>
      </c>
      <c r="F58" s="8">
        <v>2.78</v>
      </c>
      <c r="G58" s="12">
        <v>5</v>
      </c>
      <c r="H58" s="8">
        <v>6.33</v>
      </c>
      <c r="I58" s="12">
        <v>0</v>
      </c>
    </row>
    <row r="59" spans="2:9" ht="15" customHeight="1" x14ac:dyDescent="0.2">
      <c r="B59" t="s">
        <v>180</v>
      </c>
      <c r="C59" s="12">
        <v>8</v>
      </c>
      <c r="D59" s="8">
        <v>4.0999999999999996</v>
      </c>
      <c r="E59" s="12">
        <v>5</v>
      </c>
      <c r="F59" s="8">
        <v>4.63</v>
      </c>
      <c r="G59" s="12">
        <v>3</v>
      </c>
      <c r="H59" s="8">
        <v>3.8</v>
      </c>
      <c r="I59" s="12">
        <v>0</v>
      </c>
    </row>
    <row r="60" spans="2:9" ht="15" customHeight="1" x14ac:dyDescent="0.2">
      <c r="B60" t="s">
        <v>210</v>
      </c>
      <c r="C60" s="12">
        <v>7</v>
      </c>
      <c r="D60" s="8">
        <v>3.59</v>
      </c>
      <c r="E60" s="12">
        <v>6</v>
      </c>
      <c r="F60" s="8">
        <v>5.56</v>
      </c>
      <c r="G60" s="12">
        <v>1</v>
      </c>
      <c r="H60" s="8">
        <v>1.27</v>
      </c>
      <c r="I60" s="12">
        <v>0</v>
      </c>
    </row>
    <row r="61" spans="2:9" ht="15" customHeight="1" x14ac:dyDescent="0.2">
      <c r="B61" t="s">
        <v>191</v>
      </c>
      <c r="C61" s="12">
        <v>7</v>
      </c>
      <c r="D61" s="8">
        <v>3.59</v>
      </c>
      <c r="E61" s="12">
        <v>7</v>
      </c>
      <c r="F61" s="8">
        <v>6.48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190</v>
      </c>
      <c r="C62" s="12">
        <v>5</v>
      </c>
      <c r="D62" s="8">
        <v>2.56</v>
      </c>
      <c r="E62" s="12">
        <v>5</v>
      </c>
      <c r="F62" s="8">
        <v>4.63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176</v>
      </c>
      <c r="C63" s="12">
        <v>4</v>
      </c>
      <c r="D63" s="8">
        <v>2.0499999999999998</v>
      </c>
      <c r="E63" s="12">
        <v>2</v>
      </c>
      <c r="F63" s="8">
        <v>1.85</v>
      </c>
      <c r="G63" s="12">
        <v>2</v>
      </c>
      <c r="H63" s="8">
        <v>2.5299999999999998</v>
      </c>
      <c r="I63" s="12">
        <v>0</v>
      </c>
    </row>
    <row r="64" spans="2:9" ht="15" customHeight="1" x14ac:dyDescent="0.2">
      <c r="B64" t="s">
        <v>177</v>
      </c>
      <c r="C64" s="12">
        <v>4</v>
      </c>
      <c r="D64" s="8">
        <v>2.0499999999999998</v>
      </c>
      <c r="E64" s="12">
        <v>2</v>
      </c>
      <c r="F64" s="8">
        <v>1.85</v>
      </c>
      <c r="G64" s="12">
        <v>2</v>
      </c>
      <c r="H64" s="8">
        <v>2.5299999999999998</v>
      </c>
      <c r="I64" s="12">
        <v>0</v>
      </c>
    </row>
    <row r="65" spans="2:9" ht="15" customHeight="1" x14ac:dyDescent="0.2">
      <c r="B65" t="s">
        <v>214</v>
      </c>
      <c r="C65" s="12">
        <v>4</v>
      </c>
      <c r="D65" s="8">
        <v>2.0499999999999998</v>
      </c>
      <c r="E65" s="12">
        <v>0</v>
      </c>
      <c r="F65" s="8">
        <v>0</v>
      </c>
      <c r="G65" s="12">
        <v>4</v>
      </c>
      <c r="H65" s="8">
        <v>5.0599999999999996</v>
      </c>
      <c r="I65" s="12">
        <v>0</v>
      </c>
    </row>
    <row r="66" spans="2:9" ht="15" customHeight="1" x14ac:dyDescent="0.2">
      <c r="B66" t="s">
        <v>197</v>
      </c>
      <c r="C66" s="12">
        <v>4</v>
      </c>
      <c r="D66" s="8">
        <v>2.0499999999999998</v>
      </c>
      <c r="E66" s="12">
        <v>2</v>
      </c>
      <c r="F66" s="8">
        <v>1.85</v>
      </c>
      <c r="G66" s="12">
        <v>1</v>
      </c>
      <c r="H66" s="8">
        <v>1.27</v>
      </c>
      <c r="I66" s="12">
        <v>1</v>
      </c>
    </row>
    <row r="67" spans="2:9" ht="15" customHeight="1" x14ac:dyDescent="0.2">
      <c r="B67" t="s">
        <v>187</v>
      </c>
      <c r="C67" s="12">
        <v>4</v>
      </c>
      <c r="D67" s="8">
        <v>2.0499999999999998</v>
      </c>
      <c r="E67" s="12">
        <v>4</v>
      </c>
      <c r="F67" s="8">
        <v>3.7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323</v>
      </c>
      <c r="C68" s="12">
        <v>3</v>
      </c>
      <c r="D68" s="8">
        <v>1.54</v>
      </c>
      <c r="E68" s="12">
        <v>3</v>
      </c>
      <c r="F68" s="8">
        <v>2.78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218</v>
      </c>
      <c r="C69" s="12">
        <v>3</v>
      </c>
      <c r="D69" s="8">
        <v>1.54</v>
      </c>
      <c r="E69" s="12">
        <v>1</v>
      </c>
      <c r="F69" s="8">
        <v>0.93</v>
      </c>
      <c r="G69" s="12">
        <v>2</v>
      </c>
      <c r="H69" s="8">
        <v>2.5299999999999998</v>
      </c>
      <c r="I69" s="12">
        <v>0</v>
      </c>
    </row>
    <row r="70" spans="2:9" ht="15" customHeight="1" x14ac:dyDescent="0.2">
      <c r="B70" t="s">
        <v>286</v>
      </c>
      <c r="C70" s="12">
        <v>3</v>
      </c>
      <c r="D70" s="8">
        <v>1.54</v>
      </c>
      <c r="E70" s="12">
        <v>3</v>
      </c>
      <c r="F70" s="8">
        <v>2.78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203</v>
      </c>
      <c r="C71" s="12">
        <v>3</v>
      </c>
      <c r="D71" s="8">
        <v>1.54</v>
      </c>
      <c r="E71" s="12">
        <v>2</v>
      </c>
      <c r="F71" s="8">
        <v>1.85</v>
      </c>
      <c r="G71" s="12">
        <v>1</v>
      </c>
      <c r="H71" s="8">
        <v>1.27</v>
      </c>
      <c r="I71" s="12">
        <v>0</v>
      </c>
    </row>
    <row r="72" spans="2:9" ht="15" customHeight="1" x14ac:dyDescent="0.2">
      <c r="B72" t="s">
        <v>351</v>
      </c>
      <c r="C72" s="12">
        <v>3</v>
      </c>
      <c r="D72" s="8">
        <v>1.54</v>
      </c>
      <c r="E72" s="12">
        <v>0</v>
      </c>
      <c r="F72" s="8">
        <v>0</v>
      </c>
      <c r="G72" s="12">
        <v>3</v>
      </c>
      <c r="H72" s="8">
        <v>3.8</v>
      </c>
      <c r="I72" s="12">
        <v>0</v>
      </c>
    </row>
    <row r="73" spans="2:9" ht="15" customHeight="1" x14ac:dyDescent="0.2">
      <c r="B73" t="s">
        <v>209</v>
      </c>
      <c r="C73" s="12">
        <v>3</v>
      </c>
      <c r="D73" s="8">
        <v>1.54</v>
      </c>
      <c r="E73" s="12">
        <v>3</v>
      </c>
      <c r="F73" s="8">
        <v>2.78</v>
      </c>
      <c r="G73" s="12">
        <v>0</v>
      </c>
      <c r="H73" s="8">
        <v>0</v>
      </c>
      <c r="I73" s="12">
        <v>0</v>
      </c>
    </row>
    <row r="75" spans="2:9" ht="15" customHeight="1" x14ac:dyDescent="0.2">
      <c r="B75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063F6-F559-4147-ADF4-680E27DA6AD6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437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75</v>
      </c>
      <c r="D6" s="8">
        <v>16.89</v>
      </c>
      <c r="E6" s="12">
        <v>37</v>
      </c>
      <c r="F6" s="8">
        <v>16.89</v>
      </c>
      <c r="G6" s="12">
        <v>38</v>
      </c>
      <c r="H6" s="8">
        <v>18.010000000000002</v>
      </c>
      <c r="I6" s="12">
        <v>0</v>
      </c>
    </row>
    <row r="7" spans="2:9" ht="15" customHeight="1" x14ac:dyDescent="0.2">
      <c r="B7" t="s">
        <v>80</v>
      </c>
      <c r="C7" s="12">
        <v>14</v>
      </c>
      <c r="D7" s="8">
        <v>3.15</v>
      </c>
      <c r="E7" s="12">
        <v>9</v>
      </c>
      <c r="F7" s="8">
        <v>4.1100000000000003</v>
      </c>
      <c r="G7" s="12">
        <v>5</v>
      </c>
      <c r="H7" s="8">
        <v>2.37</v>
      </c>
      <c r="I7" s="12">
        <v>0</v>
      </c>
    </row>
    <row r="8" spans="2:9" ht="15" customHeight="1" x14ac:dyDescent="0.2">
      <c r="B8" t="s">
        <v>81</v>
      </c>
      <c r="C8" s="12">
        <v>3</v>
      </c>
      <c r="D8" s="8">
        <v>0.68</v>
      </c>
      <c r="E8" s="12">
        <v>0</v>
      </c>
      <c r="F8" s="8">
        <v>0</v>
      </c>
      <c r="G8" s="12">
        <v>3</v>
      </c>
      <c r="H8" s="8">
        <v>1.42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4</v>
      </c>
      <c r="D10" s="8">
        <v>0.9</v>
      </c>
      <c r="E10" s="12">
        <v>0</v>
      </c>
      <c r="F10" s="8">
        <v>0</v>
      </c>
      <c r="G10" s="12">
        <v>4</v>
      </c>
      <c r="H10" s="8">
        <v>1.9</v>
      </c>
      <c r="I10" s="12">
        <v>0</v>
      </c>
    </row>
    <row r="11" spans="2:9" ht="15" customHeight="1" x14ac:dyDescent="0.2">
      <c r="B11" t="s">
        <v>84</v>
      </c>
      <c r="C11" s="12">
        <v>86</v>
      </c>
      <c r="D11" s="8">
        <v>19.37</v>
      </c>
      <c r="E11" s="12">
        <v>42</v>
      </c>
      <c r="F11" s="8">
        <v>19.18</v>
      </c>
      <c r="G11" s="12">
        <v>44</v>
      </c>
      <c r="H11" s="8">
        <v>20.85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21</v>
      </c>
      <c r="D13" s="8">
        <v>4.7300000000000004</v>
      </c>
      <c r="E13" s="12">
        <v>11</v>
      </c>
      <c r="F13" s="8">
        <v>5.0199999999999996</v>
      </c>
      <c r="G13" s="12">
        <v>9</v>
      </c>
      <c r="H13" s="8">
        <v>4.2699999999999996</v>
      </c>
      <c r="I13" s="12">
        <v>1</v>
      </c>
    </row>
    <row r="14" spans="2:9" ht="15" customHeight="1" x14ac:dyDescent="0.2">
      <c r="B14" t="s">
        <v>87</v>
      </c>
      <c r="C14" s="12">
        <v>7</v>
      </c>
      <c r="D14" s="8">
        <v>1.58</v>
      </c>
      <c r="E14" s="12">
        <v>5</v>
      </c>
      <c r="F14" s="8">
        <v>2.2799999999999998</v>
      </c>
      <c r="G14" s="12">
        <v>2</v>
      </c>
      <c r="H14" s="8">
        <v>0.95</v>
      </c>
      <c r="I14" s="12">
        <v>0</v>
      </c>
    </row>
    <row r="15" spans="2:9" ht="15" customHeight="1" x14ac:dyDescent="0.2">
      <c r="B15" t="s">
        <v>88</v>
      </c>
      <c r="C15" s="12">
        <v>153</v>
      </c>
      <c r="D15" s="8">
        <v>34.46</v>
      </c>
      <c r="E15" s="12">
        <v>70</v>
      </c>
      <c r="F15" s="8">
        <v>31.96</v>
      </c>
      <c r="G15" s="12">
        <v>82</v>
      </c>
      <c r="H15" s="8">
        <v>38.86</v>
      </c>
      <c r="I15" s="12">
        <v>1</v>
      </c>
    </row>
    <row r="16" spans="2:9" ht="15" customHeight="1" x14ac:dyDescent="0.2">
      <c r="B16" t="s">
        <v>89</v>
      </c>
      <c r="C16" s="12">
        <v>48</v>
      </c>
      <c r="D16" s="8">
        <v>10.81</v>
      </c>
      <c r="E16" s="12">
        <v>34</v>
      </c>
      <c r="F16" s="8">
        <v>15.53</v>
      </c>
      <c r="G16" s="12">
        <v>12</v>
      </c>
      <c r="H16" s="8">
        <v>5.69</v>
      </c>
      <c r="I16" s="12">
        <v>1</v>
      </c>
    </row>
    <row r="17" spans="2:9" ht="15" customHeight="1" x14ac:dyDescent="0.2">
      <c r="B17" t="s">
        <v>90</v>
      </c>
      <c r="C17" s="12">
        <v>11</v>
      </c>
      <c r="D17" s="8">
        <v>2.48</v>
      </c>
      <c r="E17" s="12">
        <v>2</v>
      </c>
      <c r="F17" s="8">
        <v>0.91</v>
      </c>
      <c r="G17" s="12">
        <v>3</v>
      </c>
      <c r="H17" s="8">
        <v>1.42</v>
      </c>
      <c r="I17" s="12">
        <v>0</v>
      </c>
    </row>
    <row r="18" spans="2:9" ht="15" customHeight="1" x14ac:dyDescent="0.2">
      <c r="B18" t="s">
        <v>91</v>
      </c>
      <c r="C18" s="12">
        <v>9</v>
      </c>
      <c r="D18" s="8">
        <v>2.0299999999999998</v>
      </c>
      <c r="E18" s="12">
        <v>5</v>
      </c>
      <c r="F18" s="8">
        <v>2.2799999999999998</v>
      </c>
      <c r="G18" s="12">
        <v>2</v>
      </c>
      <c r="H18" s="8">
        <v>0.95</v>
      </c>
      <c r="I18" s="12">
        <v>0</v>
      </c>
    </row>
    <row r="19" spans="2:9" ht="15" customHeight="1" x14ac:dyDescent="0.2">
      <c r="B19" t="s">
        <v>92</v>
      </c>
      <c r="C19" s="12">
        <v>13</v>
      </c>
      <c r="D19" s="8">
        <v>2.93</v>
      </c>
      <c r="E19" s="12">
        <v>4</v>
      </c>
      <c r="F19" s="8">
        <v>1.83</v>
      </c>
      <c r="G19" s="12">
        <v>7</v>
      </c>
      <c r="H19" s="8">
        <v>3.32</v>
      </c>
      <c r="I19" s="12">
        <v>1</v>
      </c>
    </row>
    <row r="20" spans="2:9" ht="15" customHeight="1" x14ac:dyDescent="0.2">
      <c r="B20" s="9" t="s">
        <v>363</v>
      </c>
      <c r="C20" s="12">
        <f>SUM(LTBL_20561[総数／事業所数])</f>
        <v>444</v>
      </c>
      <c r="E20" s="12">
        <f>SUBTOTAL(109,LTBL_20561[個人／事業所数])</f>
        <v>219</v>
      </c>
      <c r="G20" s="12">
        <f>SUBTOTAL(109,LTBL_20561[法人／事業所数])</f>
        <v>211</v>
      </c>
      <c r="I20" s="12">
        <f>SUBTOTAL(109,LTBL_20561[法人以外の団体／事業所数])</f>
        <v>4</v>
      </c>
    </row>
    <row r="21" spans="2:9" ht="15" customHeight="1" x14ac:dyDescent="0.2">
      <c r="E21" s="11">
        <f>LTBL_20561[[#Totals],[個人／事業所数]]/LTBL_20561[[#Totals],[総数／事業所数]]</f>
        <v>0.49324324324324326</v>
      </c>
      <c r="G21" s="11">
        <f>LTBL_20561[[#Totals],[法人／事業所数]]/LTBL_20561[[#Totals],[総数／事業所数]]</f>
        <v>0.4752252252252252</v>
      </c>
      <c r="I21" s="11">
        <f>LTBL_20561[[#Totals],[法人以外の団体／事業所数]]/LTBL_20561[[#Totals],[総数／事業所数]]</f>
        <v>9.0090090090090089E-3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114</v>
      </c>
      <c r="C24" s="12">
        <v>101</v>
      </c>
      <c r="D24" s="8">
        <v>22.75</v>
      </c>
      <c r="E24" s="12">
        <v>22</v>
      </c>
      <c r="F24" s="8">
        <v>10.050000000000001</v>
      </c>
      <c r="G24" s="12">
        <v>78</v>
      </c>
      <c r="H24" s="8">
        <v>36.97</v>
      </c>
      <c r="I24" s="12">
        <v>1</v>
      </c>
    </row>
    <row r="25" spans="2:9" ht="15" customHeight="1" x14ac:dyDescent="0.2">
      <c r="B25" t="s">
        <v>115</v>
      </c>
      <c r="C25" s="12">
        <v>47</v>
      </c>
      <c r="D25" s="8">
        <v>10.59</v>
      </c>
      <c r="E25" s="12">
        <v>44</v>
      </c>
      <c r="F25" s="8">
        <v>20.09</v>
      </c>
      <c r="G25" s="12">
        <v>3</v>
      </c>
      <c r="H25" s="8">
        <v>1.42</v>
      </c>
      <c r="I25" s="12">
        <v>0</v>
      </c>
    </row>
    <row r="26" spans="2:9" ht="15" customHeight="1" x14ac:dyDescent="0.2">
      <c r="B26" t="s">
        <v>108</v>
      </c>
      <c r="C26" s="12">
        <v>38</v>
      </c>
      <c r="D26" s="8">
        <v>8.56</v>
      </c>
      <c r="E26" s="12">
        <v>20</v>
      </c>
      <c r="F26" s="8">
        <v>9.1300000000000008</v>
      </c>
      <c r="G26" s="12">
        <v>18</v>
      </c>
      <c r="H26" s="8">
        <v>8.5299999999999994</v>
      </c>
      <c r="I26" s="12">
        <v>0</v>
      </c>
    </row>
    <row r="27" spans="2:9" ht="15" customHeight="1" x14ac:dyDescent="0.2">
      <c r="B27" t="s">
        <v>116</v>
      </c>
      <c r="C27" s="12">
        <v>38</v>
      </c>
      <c r="D27" s="8">
        <v>8.56</v>
      </c>
      <c r="E27" s="12">
        <v>32</v>
      </c>
      <c r="F27" s="8">
        <v>14.61</v>
      </c>
      <c r="G27" s="12">
        <v>6</v>
      </c>
      <c r="H27" s="8">
        <v>2.84</v>
      </c>
      <c r="I27" s="12">
        <v>0</v>
      </c>
    </row>
    <row r="28" spans="2:9" ht="15" customHeight="1" x14ac:dyDescent="0.2">
      <c r="B28" t="s">
        <v>101</v>
      </c>
      <c r="C28" s="12">
        <v>30</v>
      </c>
      <c r="D28" s="8">
        <v>6.76</v>
      </c>
      <c r="E28" s="12">
        <v>10</v>
      </c>
      <c r="F28" s="8">
        <v>4.57</v>
      </c>
      <c r="G28" s="12">
        <v>20</v>
      </c>
      <c r="H28" s="8">
        <v>9.48</v>
      </c>
      <c r="I28" s="12">
        <v>0</v>
      </c>
    </row>
    <row r="29" spans="2:9" ht="15" customHeight="1" x14ac:dyDescent="0.2">
      <c r="B29" t="s">
        <v>110</v>
      </c>
      <c r="C29" s="12">
        <v>26</v>
      </c>
      <c r="D29" s="8">
        <v>5.86</v>
      </c>
      <c r="E29" s="12">
        <v>13</v>
      </c>
      <c r="F29" s="8">
        <v>5.94</v>
      </c>
      <c r="G29" s="12">
        <v>13</v>
      </c>
      <c r="H29" s="8">
        <v>6.16</v>
      </c>
      <c r="I29" s="12">
        <v>0</v>
      </c>
    </row>
    <row r="30" spans="2:9" ht="15" customHeight="1" x14ac:dyDescent="0.2">
      <c r="B30" t="s">
        <v>102</v>
      </c>
      <c r="C30" s="12">
        <v>23</v>
      </c>
      <c r="D30" s="8">
        <v>5.18</v>
      </c>
      <c r="E30" s="12">
        <v>18</v>
      </c>
      <c r="F30" s="8">
        <v>8.2200000000000006</v>
      </c>
      <c r="G30" s="12">
        <v>5</v>
      </c>
      <c r="H30" s="8">
        <v>2.37</v>
      </c>
      <c r="I30" s="12">
        <v>0</v>
      </c>
    </row>
    <row r="31" spans="2:9" ht="15" customHeight="1" x14ac:dyDescent="0.2">
      <c r="B31" t="s">
        <v>103</v>
      </c>
      <c r="C31" s="12">
        <v>22</v>
      </c>
      <c r="D31" s="8">
        <v>4.95</v>
      </c>
      <c r="E31" s="12">
        <v>9</v>
      </c>
      <c r="F31" s="8">
        <v>4.1100000000000003</v>
      </c>
      <c r="G31" s="12">
        <v>13</v>
      </c>
      <c r="H31" s="8">
        <v>6.16</v>
      </c>
      <c r="I31" s="12">
        <v>0</v>
      </c>
    </row>
    <row r="32" spans="2:9" ht="15" customHeight="1" x14ac:dyDescent="0.2">
      <c r="B32" t="s">
        <v>111</v>
      </c>
      <c r="C32" s="12">
        <v>17</v>
      </c>
      <c r="D32" s="8">
        <v>3.83</v>
      </c>
      <c r="E32" s="12">
        <v>10</v>
      </c>
      <c r="F32" s="8">
        <v>4.57</v>
      </c>
      <c r="G32" s="12">
        <v>6</v>
      </c>
      <c r="H32" s="8">
        <v>2.84</v>
      </c>
      <c r="I32" s="12">
        <v>1</v>
      </c>
    </row>
    <row r="33" spans="2:9" ht="15" customHeight="1" x14ac:dyDescent="0.2">
      <c r="B33" t="s">
        <v>117</v>
      </c>
      <c r="C33" s="12">
        <v>11</v>
      </c>
      <c r="D33" s="8">
        <v>2.48</v>
      </c>
      <c r="E33" s="12">
        <v>2</v>
      </c>
      <c r="F33" s="8">
        <v>0.91</v>
      </c>
      <c r="G33" s="12">
        <v>3</v>
      </c>
      <c r="H33" s="8">
        <v>1.42</v>
      </c>
      <c r="I33" s="12">
        <v>0</v>
      </c>
    </row>
    <row r="34" spans="2:9" ht="15" customHeight="1" x14ac:dyDescent="0.2">
      <c r="B34" t="s">
        <v>132</v>
      </c>
      <c r="C34" s="12">
        <v>7</v>
      </c>
      <c r="D34" s="8">
        <v>1.58</v>
      </c>
      <c r="E34" s="12">
        <v>2</v>
      </c>
      <c r="F34" s="8">
        <v>0.91</v>
      </c>
      <c r="G34" s="12">
        <v>4</v>
      </c>
      <c r="H34" s="8">
        <v>1.9</v>
      </c>
      <c r="I34" s="12">
        <v>0</v>
      </c>
    </row>
    <row r="35" spans="2:9" ht="15" customHeight="1" x14ac:dyDescent="0.2">
      <c r="B35" t="s">
        <v>107</v>
      </c>
      <c r="C35" s="12">
        <v>6</v>
      </c>
      <c r="D35" s="8">
        <v>1.35</v>
      </c>
      <c r="E35" s="12">
        <v>5</v>
      </c>
      <c r="F35" s="8">
        <v>2.2799999999999998</v>
      </c>
      <c r="G35" s="12">
        <v>1</v>
      </c>
      <c r="H35" s="8">
        <v>0.47</v>
      </c>
      <c r="I35" s="12">
        <v>0</v>
      </c>
    </row>
    <row r="36" spans="2:9" ht="15" customHeight="1" x14ac:dyDescent="0.2">
      <c r="B36" t="s">
        <v>129</v>
      </c>
      <c r="C36" s="12">
        <v>5</v>
      </c>
      <c r="D36" s="8">
        <v>1.1299999999999999</v>
      </c>
      <c r="E36" s="12">
        <v>4</v>
      </c>
      <c r="F36" s="8">
        <v>1.83</v>
      </c>
      <c r="G36" s="12">
        <v>1</v>
      </c>
      <c r="H36" s="8">
        <v>0.47</v>
      </c>
      <c r="I36" s="12">
        <v>0</v>
      </c>
    </row>
    <row r="37" spans="2:9" ht="15" customHeight="1" x14ac:dyDescent="0.2">
      <c r="B37" t="s">
        <v>118</v>
      </c>
      <c r="C37" s="12">
        <v>5</v>
      </c>
      <c r="D37" s="8">
        <v>1.1299999999999999</v>
      </c>
      <c r="E37" s="12">
        <v>5</v>
      </c>
      <c r="F37" s="8">
        <v>2.2799999999999998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124</v>
      </c>
      <c r="C38" s="12">
        <v>5</v>
      </c>
      <c r="D38" s="8">
        <v>1.1299999999999999</v>
      </c>
      <c r="E38" s="12">
        <v>1</v>
      </c>
      <c r="F38" s="8">
        <v>0.46</v>
      </c>
      <c r="G38" s="12">
        <v>4</v>
      </c>
      <c r="H38" s="8">
        <v>1.9</v>
      </c>
      <c r="I38" s="12">
        <v>0</v>
      </c>
    </row>
    <row r="39" spans="2:9" ht="15" customHeight="1" x14ac:dyDescent="0.2">
      <c r="B39" t="s">
        <v>125</v>
      </c>
      <c r="C39" s="12">
        <v>4</v>
      </c>
      <c r="D39" s="8">
        <v>0.9</v>
      </c>
      <c r="E39" s="12">
        <v>1</v>
      </c>
      <c r="F39" s="8">
        <v>0.46</v>
      </c>
      <c r="G39" s="12">
        <v>3</v>
      </c>
      <c r="H39" s="8">
        <v>1.42</v>
      </c>
      <c r="I39" s="12">
        <v>0</v>
      </c>
    </row>
    <row r="40" spans="2:9" ht="15" customHeight="1" x14ac:dyDescent="0.2">
      <c r="B40" t="s">
        <v>109</v>
      </c>
      <c r="C40" s="12">
        <v>4</v>
      </c>
      <c r="D40" s="8">
        <v>0.9</v>
      </c>
      <c r="E40" s="12">
        <v>3</v>
      </c>
      <c r="F40" s="8">
        <v>1.37</v>
      </c>
      <c r="G40" s="12">
        <v>1</v>
      </c>
      <c r="H40" s="8">
        <v>0.47</v>
      </c>
      <c r="I40" s="12">
        <v>0</v>
      </c>
    </row>
    <row r="41" spans="2:9" ht="15" customHeight="1" x14ac:dyDescent="0.2">
      <c r="B41" t="s">
        <v>112</v>
      </c>
      <c r="C41" s="12">
        <v>4</v>
      </c>
      <c r="D41" s="8">
        <v>0.9</v>
      </c>
      <c r="E41" s="12">
        <v>3</v>
      </c>
      <c r="F41" s="8">
        <v>1.37</v>
      </c>
      <c r="G41" s="12">
        <v>1</v>
      </c>
      <c r="H41" s="8">
        <v>0.47</v>
      </c>
      <c r="I41" s="12">
        <v>0</v>
      </c>
    </row>
    <row r="42" spans="2:9" ht="15" customHeight="1" x14ac:dyDescent="0.2">
      <c r="B42" t="s">
        <v>119</v>
      </c>
      <c r="C42" s="12">
        <v>4</v>
      </c>
      <c r="D42" s="8">
        <v>0.9</v>
      </c>
      <c r="E42" s="12">
        <v>0</v>
      </c>
      <c r="F42" s="8">
        <v>0</v>
      </c>
      <c r="G42" s="12">
        <v>2</v>
      </c>
      <c r="H42" s="8">
        <v>0.95</v>
      </c>
      <c r="I42" s="12">
        <v>0</v>
      </c>
    </row>
    <row r="43" spans="2:9" ht="15" customHeight="1" x14ac:dyDescent="0.2">
      <c r="B43" t="s">
        <v>130</v>
      </c>
      <c r="C43" s="12">
        <v>3</v>
      </c>
      <c r="D43" s="8">
        <v>0.68</v>
      </c>
      <c r="E43" s="12">
        <v>2</v>
      </c>
      <c r="F43" s="8">
        <v>0.91</v>
      </c>
      <c r="G43" s="12">
        <v>1</v>
      </c>
      <c r="H43" s="8">
        <v>0.47</v>
      </c>
      <c r="I43" s="12">
        <v>0</v>
      </c>
    </row>
    <row r="44" spans="2:9" ht="15" customHeight="1" x14ac:dyDescent="0.2">
      <c r="B44" t="s">
        <v>139</v>
      </c>
      <c r="C44" s="12">
        <v>3</v>
      </c>
      <c r="D44" s="8">
        <v>0.68</v>
      </c>
      <c r="E44" s="12">
        <v>0</v>
      </c>
      <c r="F44" s="8">
        <v>0</v>
      </c>
      <c r="G44" s="12">
        <v>3</v>
      </c>
      <c r="H44" s="8">
        <v>1.42</v>
      </c>
      <c r="I44" s="12">
        <v>0</v>
      </c>
    </row>
    <row r="45" spans="2:9" ht="15" customHeight="1" x14ac:dyDescent="0.2">
      <c r="B45" t="s">
        <v>140</v>
      </c>
      <c r="C45" s="12">
        <v>3</v>
      </c>
      <c r="D45" s="8">
        <v>0.68</v>
      </c>
      <c r="E45" s="12">
        <v>0</v>
      </c>
      <c r="F45" s="8">
        <v>0</v>
      </c>
      <c r="G45" s="12">
        <v>3</v>
      </c>
      <c r="H45" s="8">
        <v>1.42</v>
      </c>
      <c r="I45" s="12">
        <v>0</v>
      </c>
    </row>
    <row r="46" spans="2:9" ht="15" customHeight="1" x14ac:dyDescent="0.2">
      <c r="B46" t="s">
        <v>133</v>
      </c>
      <c r="C46" s="12">
        <v>3</v>
      </c>
      <c r="D46" s="8">
        <v>0.68</v>
      </c>
      <c r="E46" s="12">
        <v>0</v>
      </c>
      <c r="F46" s="8">
        <v>0</v>
      </c>
      <c r="G46" s="12">
        <v>3</v>
      </c>
      <c r="H46" s="8">
        <v>1.42</v>
      </c>
      <c r="I46" s="12">
        <v>0</v>
      </c>
    </row>
    <row r="47" spans="2:9" ht="15" customHeight="1" x14ac:dyDescent="0.2">
      <c r="B47" t="s">
        <v>153</v>
      </c>
      <c r="C47" s="12">
        <v>3</v>
      </c>
      <c r="D47" s="8">
        <v>0.68</v>
      </c>
      <c r="E47" s="12">
        <v>0</v>
      </c>
      <c r="F47" s="8">
        <v>0</v>
      </c>
      <c r="G47" s="12">
        <v>3</v>
      </c>
      <c r="H47" s="8">
        <v>1.42</v>
      </c>
      <c r="I47" s="12">
        <v>0</v>
      </c>
    </row>
    <row r="48" spans="2:9" ht="15" customHeight="1" x14ac:dyDescent="0.2">
      <c r="B48" t="s">
        <v>113</v>
      </c>
      <c r="C48" s="12">
        <v>3</v>
      </c>
      <c r="D48" s="8">
        <v>0.68</v>
      </c>
      <c r="E48" s="12">
        <v>2</v>
      </c>
      <c r="F48" s="8">
        <v>0.91</v>
      </c>
      <c r="G48" s="12">
        <v>1</v>
      </c>
      <c r="H48" s="8">
        <v>0.47</v>
      </c>
      <c r="I48" s="12">
        <v>0</v>
      </c>
    </row>
    <row r="49" spans="2:9" ht="15" customHeight="1" x14ac:dyDescent="0.2">
      <c r="B49" t="s">
        <v>131</v>
      </c>
      <c r="C49" s="12">
        <v>3</v>
      </c>
      <c r="D49" s="8">
        <v>0.68</v>
      </c>
      <c r="E49" s="12">
        <v>0</v>
      </c>
      <c r="F49" s="8">
        <v>0</v>
      </c>
      <c r="G49" s="12">
        <v>2</v>
      </c>
      <c r="H49" s="8">
        <v>0.95</v>
      </c>
      <c r="I49" s="12">
        <v>1</v>
      </c>
    </row>
    <row r="52" spans="2:9" ht="33" customHeight="1" x14ac:dyDescent="0.2">
      <c r="B52" t="s">
        <v>365</v>
      </c>
      <c r="C52" s="10" t="s">
        <v>94</v>
      </c>
      <c r="D52" s="10" t="s">
        <v>95</v>
      </c>
      <c r="E52" s="10" t="s">
        <v>96</v>
      </c>
      <c r="F52" s="10" t="s">
        <v>97</v>
      </c>
      <c r="G52" s="10" t="s">
        <v>98</v>
      </c>
      <c r="H52" s="10" t="s">
        <v>99</v>
      </c>
      <c r="I52" s="10" t="s">
        <v>100</v>
      </c>
    </row>
    <row r="53" spans="2:9" ht="15" customHeight="1" x14ac:dyDescent="0.2">
      <c r="B53" t="s">
        <v>185</v>
      </c>
      <c r="C53" s="12">
        <v>94</v>
      </c>
      <c r="D53" s="8">
        <v>21.17</v>
      </c>
      <c r="E53" s="12">
        <v>20</v>
      </c>
      <c r="F53" s="8">
        <v>9.1300000000000008</v>
      </c>
      <c r="G53" s="12">
        <v>73</v>
      </c>
      <c r="H53" s="8">
        <v>34.6</v>
      </c>
      <c r="I53" s="12">
        <v>1</v>
      </c>
    </row>
    <row r="54" spans="2:9" ht="15" customHeight="1" x14ac:dyDescent="0.2">
      <c r="B54" t="s">
        <v>191</v>
      </c>
      <c r="C54" s="12">
        <v>17</v>
      </c>
      <c r="D54" s="8">
        <v>3.83</v>
      </c>
      <c r="E54" s="12">
        <v>16</v>
      </c>
      <c r="F54" s="8">
        <v>7.31</v>
      </c>
      <c r="G54" s="12">
        <v>1</v>
      </c>
      <c r="H54" s="8">
        <v>0.47</v>
      </c>
      <c r="I54" s="12">
        <v>0</v>
      </c>
    </row>
    <row r="55" spans="2:9" ht="15" customHeight="1" x14ac:dyDescent="0.2">
      <c r="B55" t="s">
        <v>174</v>
      </c>
      <c r="C55" s="12">
        <v>15</v>
      </c>
      <c r="D55" s="8">
        <v>3.38</v>
      </c>
      <c r="E55" s="12">
        <v>3</v>
      </c>
      <c r="F55" s="8">
        <v>1.37</v>
      </c>
      <c r="G55" s="12">
        <v>12</v>
      </c>
      <c r="H55" s="8">
        <v>5.69</v>
      </c>
      <c r="I55" s="12">
        <v>0</v>
      </c>
    </row>
    <row r="56" spans="2:9" ht="15" customHeight="1" x14ac:dyDescent="0.2">
      <c r="B56" t="s">
        <v>189</v>
      </c>
      <c r="C56" s="12">
        <v>13</v>
      </c>
      <c r="D56" s="8">
        <v>2.93</v>
      </c>
      <c r="E56" s="12">
        <v>13</v>
      </c>
      <c r="F56" s="8">
        <v>5.94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177</v>
      </c>
      <c r="C57" s="12">
        <v>12</v>
      </c>
      <c r="D57" s="8">
        <v>2.7</v>
      </c>
      <c r="E57" s="12">
        <v>5</v>
      </c>
      <c r="F57" s="8">
        <v>2.2799999999999998</v>
      </c>
      <c r="G57" s="12">
        <v>7</v>
      </c>
      <c r="H57" s="8">
        <v>3.32</v>
      </c>
      <c r="I57" s="12">
        <v>0</v>
      </c>
    </row>
    <row r="58" spans="2:9" ht="15" customHeight="1" x14ac:dyDescent="0.2">
      <c r="B58" t="s">
        <v>181</v>
      </c>
      <c r="C58" s="12">
        <v>12</v>
      </c>
      <c r="D58" s="8">
        <v>2.7</v>
      </c>
      <c r="E58" s="12">
        <v>8</v>
      </c>
      <c r="F58" s="8">
        <v>3.65</v>
      </c>
      <c r="G58" s="12">
        <v>4</v>
      </c>
      <c r="H58" s="8">
        <v>1.9</v>
      </c>
      <c r="I58" s="12">
        <v>0</v>
      </c>
    </row>
    <row r="59" spans="2:9" ht="15" customHeight="1" x14ac:dyDescent="0.2">
      <c r="B59" t="s">
        <v>197</v>
      </c>
      <c r="C59" s="12">
        <v>11</v>
      </c>
      <c r="D59" s="8">
        <v>2.48</v>
      </c>
      <c r="E59" s="12">
        <v>6</v>
      </c>
      <c r="F59" s="8">
        <v>2.74</v>
      </c>
      <c r="G59" s="12">
        <v>5</v>
      </c>
      <c r="H59" s="8">
        <v>2.37</v>
      </c>
      <c r="I59" s="12">
        <v>0</v>
      </c>
    </row>
    <row r="60" spans="2:9" ht="15" customHeight="1" x14ac:dyDescent="0.2">
      <c r="B60" t="s">
        <v>183</v>
      </c>
      <c r="C60" s="12">
        <v>11</v>
      </c>
      <c r="D60" s="8">
        <v>2.48</v>
      </c>
      <c r="E60" s="12">
        <v>9</v>
      </c>
      <c r="F60" s="8">
        <v>4.1100000000000003</v>
      </c>
      <c r="G60" s="12">
        <v>2</v>
      </c>
      <c r="H60" s="8">
        <v>0.95</v>
      </c>
      <c r="I60" s="12">
        <v>0</v>
      </c>
    </row>
    <row r="61" spans="2:9" ht="15" customHeight="1" x14ac:dyDescent="0.2">
      <c r="B61" t="s">
        <v>188</v>
      </c>
      <c r="C61" s="12">
        <v>10</v>
      </c>
      <c r="D61" s="8">
        <v>2.25</v>
      </c>
      <c r="E61" s="12">
        <v>9</v>
      </c>
      <c r="F61" s="8">
        <v>4.1100000000000003</v>
      </c>
      <c r="G61" s="12">
        <v>1</v>
      </c>
      <c r="H61" s="8">
        <v>0.47</v>
      </c>
      <c r="I61" s="12">
        <v>0</v>
      </c>
    </row>
    <row r="62" spans="2:9" ht="15" customHeight="1" x14ac:dyDescent="0.2">
      <c r="B62" t="s">
        <v>190</v>
      </c>
      <c r="C62" s="12">
        <v>10</v>
      </c>
      <c r="D62" s="8">
        <v>2.25</v>
      </c>
      <c r="E62" s="12">
        <v>10</v>
      </c>
      <c r="F62" s="8">
        <v>4.57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176</v>
      </c>
      <c r="C63" s="12">
        <v>9</v>
      </c>
      <c r="D63" s="8">
        <v>2.0299999999999998</v>
      </c>
      <c r="E63" s="12">
        <v>5</v>
      </c>
      <c r="F63" s="8">
        <v>2.2799999999999998</v>
      </c>
      <c r="G63" s="12">
        <v>4</v>
      </c>
      <c r="H63" s="8">
        <v>1.9</v>
      </c>
      <c r="I63" s="12">
        <v>0</v>
      </c>
    </row>
    <row r="64" spans="2:9" ht="15" customHeight="1" x14ac:dyDescent="0.2">
      <c r="B64" t="s">
        <v>210</v>
      </c>
      <c r="C64" s="12">
        <v>9</v>
      </c>
      <c r="D64" s="8">
        <v>2.0299999999999998</v>
      </c>
      <c r="E64" s="12">
        <v>7</v>
      </c>
      <c r="F64" s="8">
        <v>3.2</v>
      </c>
      <c r="G64" s="12">
        <v>2</v>
      </c>
      <c r="H64" s="8">
        <v>0.95</v>
      </c>
      <c r="I64" s="12">
        <v>0</v>
      </c>
    </row>
    <row r="65" spans="2:9" ht="15" customHeight="1" x14ac:dyDescent="0.2">
      <c r="B65" t="s">
        <v>214</v>
      </c>
      <c r="C65" s="12">
        <v>9</v>
      </c>
      <c r="D65" s="8">
        <v>2.0299999999999998</v>
      </c>
      <c r="E65" s="12">
        <v>5</v>
      </c>
      <c r="F65" s="8">
        <v>2.2799999999999998</v>
      </c>
      <c r="G65" s="12">
        <v>4</v>
      </c>
      <c r="H65" s="8">
        <v>1.9</v>
      </c>
      <c r="I65" s="12">
        <v>0</v>
      </c>
    </row>
    <row r="66" spans="2:9" ht="15" customHeight="1" x14ac:dyDescent="0.2">
      <c r="B66" t="s">
        <v>178</v>
      </c>
      <c r="C66" s="12">
        <v>8</v>
      </c>
      <c r="D66" s="8">
        <v>1.8</v>
      </c>
      <c r="E66" s="12">
        <v>3</v>
      </c>
      <c r="F66" s="8">
        <v>1.37</v>
      </c>
      <c r="G66" s="12">
        <v>5</v>
      </c>
      <c r="H66" s="8">
        <v>2.37</v>
      </c>
      <c r="I66" s="12">
        <v>0</v>
      </c>
    </row>
    <row r="67" spans="2:9" ht="15" customHeight="1" x14ac:dyDescent="0.2">
      <c r="B67" t="s">
        <v>179</v>
      </c>
      <c r="C67" s="12">
        <v>8</v>
      </c>
      <c r="D67" s="8">
        <v>1.8</v>
      </c>
      <c r="E67" s="12">
        <v>4</v>
      </c>
      <c r="F67" s="8">
        <v>1.83</v>
      </c>
      <c r="G67" s="12">
        <v>4</v>
      </c>
      <c r="H67" s="8">
        <v>1.9</v>
      </c>
      <c r="I67" s="12">
        <v>0</v>
      </c>
    </row>
    <row r="68" spans="2:9" ht="15" customHeight="1" x14ac:dyDescent="0.2">
      <c r="B68" t="s">
        <v>218</v>
      </c>
      <c r="C68" s="12">
        <v>6</v>
      </c>
      <c r="D68" s="8">
        <v>1.35</v>
      </c>
      <c r="E68" s="12">
        <v>5</v>
      </c>
      <c r="F68" s="8">
        <v>2.2799999999999998</v>
      </c>
      <c r="G68" s="12">
        <v>1</v>
      </c>
      <c r="H68" s="8">
        <v>0.47</v>
      </c>
      <c r="I68" s="12">
        <v>0</v>
      </c>
    </row>
    <row r="69" spans="2:9" ht="15" customHeight="1" x14ac:dyDescent="0.2">
      <c r="B69" t="s">
        <v>227</v>
      </c>
      <c r="C69" s="12">
        <v>6</v>
      </c>
      <c r="D69" s="8">
        <v>1.35</v>
      </c>
      <c r="E69" s="12">
        <v>4</v>
      </c>
      <c r="F69" s="8">
        <v>1.83</v>
      </c>
      <c r="G69" s="12">
        <v>2</v>
      </c>
      <c r="H69" s="8">
        <v>0.95</v>
      </c>
      <c r="I69" s="12">
        <v>0</v>
      </c>
    </row>
    <row r="70" spans="2:9" ht="15" customHeight="1" x14ac:dyDescent="0.2">
      <c r="B70" t="s">
        <v>186</v>
      </c>
      <c r="C70" s="12">
        <v>6</v>
      </c>
      <c r="D70" s="8">
        <v>1.35</v>
      </c>
      <c r="E70" s="12">
        <v>6</v>
      </c>
      <c r="F70" s="8">
        <v>2.74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187</v>
      </c>
      <c r="C71" s="12">
        <v>6</v>
      </c>
      <c r="D71" s="8">
        <v>1.35</v>
      </c>
      <c r="E71" s="12">
        <v>6</v>
      </c>
      <c r="F71" s="8">
        <v>2.74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220</v>
      </c>
      <c r="C72" s="12">
        <v>6</v>
      </c>
      <c r="D72" s="8">
        <v>1.35</v>
      </c>
      <c r="E72" s="12">
        <v>5</v>
      </c>
      <c r="F72" s="8">
        <v>2.2799999999999998</v>
      </c>
      <c r="G72" s="12">
        <v>1</v>
      </c>
      <c r="H72" s="8">
        <v>0.47</v>
      </c>
      <c r="I72" s="12">
        <v>0</v>
      </c>
    </row>
    <row r="73" spans="2:9" ht="15" customHeight="1" x14ac:dyDescent="0.2">
      <c r="B73" t="s">
        <v>199</v>
      </c>
      <c r="C73" s="12">
        <v>6</v>
      </c>
      <c r="D73" s="8">
        <v>1.35</v>
      </c>
      <c r="E73" s="12">
        <v>4</v>
      </c>
      <c r="F73" s="8">
        <v>1.83</v>
      </c>
      <c r="G73" s="12">
        <v>2</v>
      </c>
      <c r="H73" s="8">
        <v>0.95</v>
      </c>
      <c r="I73" s="12">
        <v>0</v>
      </c>
    </row>
    <row r="74" spans="2:9" ht="15" customHeight="1" x14ac:dyDescent="0.2">
      <c r="B74" t="s">
        <v>223</v>
      </c>
      <c r="C74" s="12">
        <v>6</v>
      </c>
      <c r="D74" s="8">
        <v>1.35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6" spans="2:9" ht="15" customHeight="1" x14ac:dyDescent="0.2">
      <c r="B76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44A86-BF2A-4AE7-8364-F73075BBC571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438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32</v>
      </c>
      <c r="D6" s="8">
        <v>23.88</v>
      </c>
      <c r="E6" s="12">
        <v>11</v>
      </c>
      <c r="F6" s="8">
        <v>14.47</v>
      </c>
      <c r="G6" s="12">
        <v>21</v>
      </c>
      <c r="H6" s="8">
        <v>39.619999999999997</v>
      </c>
      <c r="I6" s="12">
        <v>0</v>
      </c>
    </row>
    <row r="7" spans="2:9" ht="15" customHeight="1" x14ac:dyDescent="0.2">
      <c r="B7" t="s">
        <v>80</v>
      </c>
      <c r="C7" s="12">
        <v>6</v>
      </c>
      <c r="D7" s="8">
        <v>4.4800000000000004</v>
      </c>
      <c r="E7" s="12">
        <v>0</v>
      </c>
      <c r="F7" s="8">
        <v>0</v>
      </c>
      <c r="G7" s="12">
        <v>6</v>
      </c>
      <c r="H7" s="8">
        <v>11.32</v>
      </c>
      <c r="I7" s="12">
        <v>0</v>
      </c>
    </row>
    <row r="8" spans="2:9" ht="15" customHeight="1" x14ac:dyDescent="0.2">
      <c r="B8" t="s">
        <v>81</v>
      </c>
      <c r="C8" s="12">
        <v>2</v>
      </c>
      <c r="D8" s="8">
        <v>1.49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1</v>
      </c>
      <c r="D10" s="8">
        <v>0.75</v>
      </c>
      <c r="E10" s="12">
        <v>0</v>
      </c>
      <c r="F10" s="8">
        <v>0</v>
      </c>
      <c r="G10" s="12">
        <v>1</v>
      </c>
      <c r="H10" s="8">
        <v>1.89</v>
      </c>
      <c r="I10" s="12">
        <v>0</v>
      </c>
    </row>
    <row r="11" spans="2:9" ht="15" customHeight="1" x14ac:dyDescent="0.2">
      <c r="B11" t="s">
        <v>84</v>
      </c>
      <c r="C11" s="12">
        <v>35</v>
      </c>
      <c r="D11" s="8">
        <v>26.12</v>
      </c>
      <c r="E11" s="12">
        <v>19</v>
      </c>
      <c r="F11" s="8">
        <v>25</v>
      </c>
      <c r="G11" s="12">
        <v>14</v>
      </c>
      <c r="H11" s="8">
        <v>26.42</v>
      </c>
      <c r="I11" s="12">
        <v>1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3</v>
      </c>
      <c r="D13" s="8">
        <v>2.2400000000000002</v>
      </c>
      <c r="E13" s="12">
        <v>1</v>
      </c>
      <c r="F13" s="8">
        <v>1.32</v>
      </c>
      <c r="G13" s="12">
        <v>2</v>
      </c>
      <c r="H13" s="8">
        <v>3.77</v>
      </c>
      <c r="I13" s="12">
        <v>0</v>
      </c>
    </row>
    <row r="14" spans="2:9" ht="15" customHeight="1" x14ac:dyDescent="0.2">
      <c r="B14" t="s">
        <v>87</v>
      </c>
      <c r="C14" s="12">
        <v>4</v>
      </c>
      <c r="D14" s="8">
        <v>2.99</v>
      </c>
      <c r="E14" s="12">
        <v>3</v>
      </c>
      <c r="F14" s="8">
        <v>3.95</v>
      </c>
      <c r="G14" s="12">
        <v>1</v>
      </c>
      <c r="H14" s="8">
        <v>1.89</v>
      </c>
      <c r="I14" s="12">
        <v>0</v>
      </c>
    </row>
    <row r="15" spans="2:9" ht="15" customHeight="1" x14ac:dyDescent="0.2">
      <c r="B15" t="s">
        <v>88</v>
      </c>
      <c r="C15" s="12">
        <v>35</v>
      </c>
      <c r="D15" s="8">
        <v>26.12</v>
      </c>
      <c r="E15" s="12">
        <v>29</v>
      </c>
      <c r="F15" s="8">
        <v>38.159999999999997</v>
      </c>
      <c r="G15" s="12">
        <v>6</v>
      </c>
      <c r="H15" s="8">
        <v>11.32</v>
      </c>
      <c r="I15" s="12">
        <v>0</v>
      </c>
    </row>
    <row r="16" spans="2:9" ht="15" customHeight="1" x14ac:dyDescent="0.2">
      <c r="B16" t="s">
        <v>89</v>
      </c>
      <c r="C16" s="12">
        <v>11</v>
      </c>
      <c r="D16" s="8">
        <v>8.2100000000000009</v>
      </c>
      <c r="E16" s="12">
        <v>11</v>
      </c>
      <c r="F16" s="8">
        <v>14.47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90</v>
      </c>
      <c r="C17" s="12">
        <v>3</v>
      </c>
      <c r="D17" s="8">
        <v>2.2400000000000002</v>
      </c>
      <c r="E17" s="12">
        <v>1</v>
      </c>
      <c r="F17" s="8">
        <v>1.32</v>
      </c>
      <c r="G17" s="12">
        <v>1</v>
      </c>
      <c r="H17" s="8">
        <v>1.89</v>
      </c>
      <c r="I17" s="12">
        <v>0</v>
      </c>
    </row>
    <row r="18" spans="2:9" ht="15" customHeight="1" x14ac:dyDescent="0.2">
      <c r="B18" t="s">
        <v>91</v>
      </c>
      <c r="C18" s="12">
        <v>1</v>
      </c>
      <c r="D18" s="8">
        <v>0.75</v>
      </c>
      <c r="E18" s="12">
        <v>1</v>
      </c>
      <c r="F18" s="8">
        <v>1.32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92</v>
      </c>
      <c r="C19" s="12">
        <v>1</v>
      </c>
      <c r="D19" s="8">
        <v>0.75</v>
      </c>
      <c r="E19" s="12">
        <v>0</v>
      </c>
      <c r="F19" s="8">
        <v>0</v>
      </c>
      <c r="G19" s="12">
        <v>1</v>
      </c>
      <c r="H19" s="8">
        <v>1.89</v>
      </c>
      <c r="I19" s="12">
        <v>0</v>
      </c>
    </row>
    <row r="20" spans="2:9" ht="15" customHeight="1" x14ac:dyDescent="0.2">
      <c r="B20" s="9" t="s">
        <v>363</v>
      </c>
      <c r="C20" s="12">
        <f>SUM(LTBL_20562[総数／事業所数])</f>
        <v>134</v>
      </c>
      <c r="E20" s="12">
        <f>SUBTOTAL(109,LTBL_20562[個人／事業所数])</f>
        <v>76</v>
      </c>
      <c r="G20" s="12">
        <f>SUBTOTAL(109,LTBL_20562[法人／事業所数])</f>
        <v>53</v>
      </c>
      <c r="I20" s="12">
        <f>SUBTOTAL(109,LTBL_20562[法人以外の団体／事業所数])</f>
        <v>1</v>
      </c>
    </row>
    <row r="21" spans="2:9" ht="15" customHeight="1" x14ac:dyDescent="0.2">
      <c r="E21" s="11">
        <f>LTBL_20562[[#Totals],[個人／事業所数]]/LTBL_20562[[#Totals],[総数／事業所数]]</f>
        <v>0.56716417910447758</v>
      </c>
      <c r="G21" s="11">
        <f>LTBL_20562[[#Totals],[法人／事業所数]]/LTBL_20562[[#Totals],[総数／事業所数]]</f>
        <v>0.39552238805970147</v>
      </c>
      <c r="I21" s="11">
        <f>LTBL_20562[[#Totals],[法人以外の団体／事業所数]]/LTBL_20562[[#Totals],[総数／事業所数]]</f>
        <v>7.462686567164179E-3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114</v>
      </c>
      <c r="C24" s="12">
        <v>23</v>
      </c>
      <c r="D24" s="8">
        <v>17.16</v>
      </c>
      <c r="E24" s="12">
        <v>20</v>
      </c>
      <c r="F24" s="8">
        <v>26.32</v>
      </c>
      <c r="G24" s="12">
        <v>3</v>
      </c>
      <c r="H24" s="8">
        <v>5.66</v>
      </c>
      <c r="I24" s="12">
        <v>0</v>
      </c>
    </row>
    <row r="25" spans="2:9" ht="15" customHeight="1" x14ac:dyDescent="0.2">
      <c r="B25" t="s">
        <v>101</v>
      </c>
      <c r="C25" s="12">
        <v>17</v>
      </c>
      <c r="D25" s="8">
        <v>12.69</v>
      </c>
      <c r="E25" s="12">
        <v>5</v>
      </c>
      <c r="F25" s="8">
        <v>6.58</v>
      </c>
      <c r="G25" s="12">
        <v>12</v>
      </c>
      <c r="H25" s="8">
        <v>22.64</v>
      </c>
      <c r="I25" s="12">
        <v>0</v>
      </c>
    </row>
    <row r="26" spans="2:9" ht="15" customHeight="1" x14ac:dyDescent="0.2">
      <c r="B26" t="s">
        <v>108</v>
      </c>
      <c r="C26" s="12">
        <v>13</v>
      </c>
      <c r="D26" s="8">
        <v>9.6999999999999993</v>
      </c>
      <c r="E26" s="12">
        <v>8</v>
      </c>
      <c r="F26" s="8">
        <v>10.53</v>
      </c>
      <c r="G26" s="12">
        <v>4</v>
      </c>
      <c r="H26" s="8">
        <v>7.55</v>
      </c>
      <c r="I26" s="12">
        <v>0</v>
      </c>
    </row>
    <row r="27" spans="2:9" ht="15" customHeight="1" x14ac:dyDescent="0.2">
      <c r="B27" t="s">
        <v>110</v>
      </c>
      <c r="C27" s="12">
        <v>12</v>
      </c>
      <c r="D27" s="8">
        <v>8.9600000000000009</v>
      </c>
      <c r="E27" s="12">
        <v>7</v>
      </c>
      <c r="F27" s="8">
        <v>9.2100000000000009</v>
      </c>
      <c r="G27" s="12">
        <v>4</v>
      </c>
      <c r="H27" s="8">
        <v>7.55</v>
      </c>
      <c r="I27" s="12">
        <v>1</v>
      </c>
    </row>
    <row r="28" spans="2:9" ht="15" customHeight="1" x14ac:dyDescent="0.2">
      <c r="B28" t="s">
        <v>115</v>
      </c>
      <c r="C28" s="12">
        <v>12</v>
      </c>
      <c r="D28" s="8">
        <v>8.9600000000000009</v>
      </c>
      <c r="E28" s="12">
        <v>9</v>
      </c>
      <c r="F28" s="8">
        <v>11.84</v>
      </c>
      <c r="G28" s="12">
        <v>3</v>
      </c>
      <c r="H28" s="8">
        <v>5.66</v>
      </c>
      <c r="I28" s="12">
        <v>0</v>
      </c>
    </row>
    <row r="29" spans="2:9" ht="15" customHeight="1" x14ac:dyDescent="0.2">
      <c r="B29" t="s">
        <v>116</v>
      </c>
      <c r="C29" s="12">
        <v>11</v>
      </c>
      <c r="D29" s="8">
        <v>8.2100000000000009</v>
      </c>
      <c r="E29" s="12">
        <v>11</v>
      </c>
      <c r="F29" s="8">
        <v>14.47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103</v>
      </c>
      <c r="C30" s="12">
        <v>9</v>
      </c>
      <c r="D30" s="8">
        <v>6.72</v>
      </c>
      <c r="E30" s="12">
        <v>2</v>
      </c>
      <c r="F30" s="8">
        <v>2.63</v>
      </c>
      <c r="G30" s="12">
        <v>7</v>
      </c>
      <c r="H30" s="8">
        <v>13.21</v>
      </c>
      <c r="I30" s="12">
        <v>0</v>
      </c>
    </row>
    <row r="31" spans="2:9" ht="15" customHeight="1" x14ac:dyDescent="0.2">
      <c r="B31" t="s">
        <v>102</v>
      </c>
      <c r="C31" s="12">
        <v>6</v>
      </c>
      <c r="D31" s="8">
        <v>4.4800000000000004</v>
      </c>
      <c r="E31" s="12">
        <v>4</v>
      </c>
      <c r="F31" s="8">
        <v>5.26</v>
      </c>
      <c r="G31" s="12">
        <v>2</v>
      </c>
      <c r="H31" s="8">
        <v>3.77</v>
      </c>
      <c r="I31" s="12">
        <v>0</v>
      </c>
    </row>
    <row r="32" spans="2:9" ht="15" customHeight="1" x14ac:dyDescent="0.2">
      <c r="B32" t="s">
        <v>109</v>
      </c>
      <c r="C32" s="12">
        <v>6</v>
      </c>
      <c r="D32" s="8">
        <v>4.4800000000000004</v>
      </c>
      <c r="E32" s="12">
        <v>3</v>
      </c>
      <c r="F32" s="8">
        <v>3.95</v>
      </c>
      <c r="G32" s="12">
        <v>3</v>
      </c>
      <c r="H32" s="8">
        <v>5.66</v>
      </c>
      <c r="I32" s="12">
        <v>0</v>
      </c>
    </row>
    <row r="33" spans="2:9" ht="15" customHeight="1" x14ac:dyDescent="0.2">
      <c r="B33" t="s">
        <v>117</v>
      </c>
      <c r="C33" s="12">
        <v>3</v>
      </c>
      <c r="D33" s="8">
        <v>2.2400000000000002</v>
      </c>
      <c r="E33" s="12">
        <v>1</v>
      </c>
      <c r="F33" s="8">
        <v>1.32</v>
      </c>
      <c r="G33" s="12">
        <v>1</v>
      </c>
      <c r="H33" s="8">
        <v>1.89</v>
      </c>
      <c r="I33" s="12">
        <v>0</v>
      </c>
    </row>
    <row r="34" spans="2:9" ht="15" customHeight="1" x14ac:dyDescent="0.2">
      <c r="B34" t="s">
        <v>142</v>
      </c>
      <c r="C34" s="12">
        <v>2</v>
      </c>
      <c r="D34" s="8">
        <v>1.49</v>
      </c>
      <c r="E34" s="12">
        <v>0</v>
      </c>
      <c r="F34" s="8">
        <v>0</v>
      </c>
      <c r="G34" s="12">
        <v>2</v>
      </c>
      <c r="H34" s="8">
        <v>3.77</v>
      </c>
      <c r="I34" s="12">
        <v>0</v>
      </c>
    </row>
    <row r="35" spans="2:9" ht="15" customHeight="1" x14ac:dyDescent="0.2">
      <c r="B35" t="s">
        <v>139</v>
      </c>
      <c r="C35" s="12">
        <v>2</v>
      </c>
      <c r="D35" s="8">
        <v>1.49</v>
      </c>
      <c r="E35" s="12">
        <v>0</v>
      </c>
      <c r="F35" s="8">
        <v>0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111</v>
      </c>
      <c r="C36" s="12">
        <v>2</v>
      </c>
      <c r="D36" s="8">
        <v>1.49</v>
      </c>
      <c r="E36" s="12">
        <v>1</v>
      </c>
      <c r="F36" s="8">
        <v>1.32</v>
      </c>
      <c r="G36" s="12">
        <v>1</v>
      </c>
      <c r="H36" s="8">
        <v>1.89</v>
      </c>
      <c r="I36" s="12">
        <v>0</v>
      </c>
    </row>
    <row r="37" spans="2:9" ht="15" customHeight="1" x14ac:dyDescent="0.2">
      <c r="B37" t="s">
        <v>112</v>
      </c>
      <c r="C37" s="12">
        <v>2</v>
      </c>
      <c r="D37" s="8">
        <v>1.49</v>
      </c>
      <c r="E37" s="12">
        <v>1</v>
      </c>
      <c r="F37" s="8">
        <v>1.32</v>
      </c>
      <c r="G37" s="12">
        <v>1</v>
      </c>
      <c r="H37" s="8">
        <v>1.89</v>
      </c>
      <c r="I37" s="12">
        <v>0</v>
      </c>
    </row>
    <row r="38" spans="2:9" ht="15" customHeight="1" x14ac:dyDescent="0.2">
      <c r="B38" t="s">
        <v>113</v>
      </c>
      <c r="C38" s="12">
        <v>2</v>
      </c>
      <c r="D38" s="8">
        <v>1.49</v>
      </c>
      <c r="E38" s="12">
        <v>2</v>
      </c>
      <c r="F38" s="8">
        <v>2.63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127</v>
      </c>
      <c r="C39" s="12">
        <v>1</v>
      </c>
      <c r="D39" s="8">
        <v>0.75</v>
      </c>
      <c r="E39" s="12">
        <v>0</v>
      </c>
      <c r="F39" s="8">
        <v>0</v>
      </c>
      <c r="G39" s="12">
        <v>1</v>
      </c>
      <c r="H39" s="8">
        <v>1.89</v>
      </c>
      <c r="I39" s="12">
        <v>0</v>
      </c>
    </row>
    <row r="40" spans="2:9" ht="15" customHeight="1" x14ac:dyDescent="0.2">
      <c r="B40" t="s">
        <v>137</v>
      </c>
      <c r="C40" s="12">
        <v>1</v>
      </c>
      <c r="D40" s="8">
        <v>0.75</v>
      </c>
      <c r="E40" s="12">
        <v>0</v>
      </c>
      <c r="F40" s="8">
        <v>0</v>
      </c>
      <c r="G40" s="12">
        <v>1</v>
      </c>
      <c r="H40" s="8">
        <v>1.89</v>
      </c>
      <c r="I40" s="12">
        <v>0</v>
      </c>
    </row>
    <row r="41" spans="2:9" ht="15" customHeight="1" x14ac:dyDescent="0.2">
      <c r="B41" t="s">
        <v>161</v>
      </c>
      <c r="C41" s="12">
        <v>1</v>
      </c>
      <c r="D41" s="8">
        <v>0.75</v>
      </c>
      <c r="E41" s="12">
        <v>0</v>
      </c>
      <c r="F41" s="8">
        <v>0</v>
      </c>
      <c r="G41" s="12">
        <v>1</v>
      </c>
      <c r="H41" s="8">
        <v>1.89</v>
      </c>
      <c r="I41" s="12">
        <v>0</v>
      </c>
    </row>
    <row r="42" spans="2:9" ht="15" customHeight="1" x14ac:dyDescent="0.2">
      <c r="B42" t="s">
        <v>135</v>
      </c>
      <c r="C42" s="12">
        <v>1</v>
      </c>
      <c r="D42" s="8">
        <v>0.75</v>
      </c>
      <c r="E42" s="12">
        <v>0</v>
      </c>
      <c r="F42" s="8">
        <v>0</v>
      </c>
      <c r="G42" s="12">
        <v>1</v>
      </c>
      <c r="H42" s="8">
        <v>1.89</v>
      </c>
      <c r="I42" s="12">
        <v>0</v>
      </c>
    </row>
    <row r="43" spans="2:9" ht="15" customHeight="1" x14ac:dyDescent="0.2">
      <c r="B43" t="s">
        <v>146</v>
      </c>
      <c r="C43" s="12">
        <v>1</v>
      </c>
      <c r="D43" s="8">
        <v>0.75</v>
      </c>
      <c r="E43" s="12">
        <v>0</v>
      </c>
      <c r="F43" s="8">
        <v>0</v>
      </c>
      <c r="G43" s="12">
        <v>1</v>
      </c>
      <c r="H43" s="8">
        <v>1.89</v>
      </c>
      <c r="I43" s="12">
        <v>0</v>
      </c>
    </row>
    <row r="44" spans="2:9" ht="15" customHeight="1" x14ac:dyDescent="0.2">
      <c r="B44" t="s">
        <v>171</v>
      </c>
      <c r="C44" s="12">
        <v>1</v>
      </c>
      <c r="D44" s="8">
        <v>0.75</v>
      </c>
      <c r="E44" s="12">
        <v>0</v>
      </c>
      <c r="F44" s="8">
        <v>0</v>
      </c>
      <c r="G44" s="12">
        <v>1</v>
      </c>
      <c r="H44" s="8">
        <v>1.89</v>
      </c>
      <c r="I44" s="12">
        <v>0</v>
      </c>
    </row>
    <row r="45" spans="2:9" ht="15" customHeight="1" x14ac:dyDescent="0.2">
      <c r="B45" t="s">
        <v>125</v>
      </c>
      <c r="C45" s="12">
        <v>1</v>
      </c>
      <c r="D45" s="8">
        <v>0.75</v>
      </c>
      <c r="E45" s="12">
        <v>0</v>
      </c>
      <c r="F45" s="8">
        <v>0</v>
      </c>
      <c r="G45" s="12">
        <v>1</v>
      </c>
      <c r="H45" s="8">
        <v>1.89</v>
      </c>
      <c r="I45" s="12">
        <v>0</v>
      </c>
    </row>
    <row r="46" spans="2:9" ht="15" customHeight="1" x14ac:dyDescent="0.2">
      <c r="B46" t="s">
        <v>122</v>
      </c>
      <c r="C46" s="12">
        <v>1</v>
      </c>
      <c r="D46" s="8">
        <v>0.75</v>
      </c>
      <c r="E46" s="12">
        <v>0</v>
      </c>
      <c r="F46" s="8">
        <v>0</v>
      </c>
      <c r="G46" s="12">
        <v>1</v>
      </c>
      <c r="H46" s="8">
        <v>1.89</v>
      </c>
      <c r="I46" s="12">
        <v>0</v>
      </c>
    </row>
    <row r="47" spans="2:9" ht="15" customHeight="1" x14ac:dyDescent="0.2">
      <c r="B47" t="s">
        <v>133</v>
      </c>
      <c r="C47" s="12">
        <v>1</v>
      </c>
      <c r="D47" s="8">
        <v>0.75</v>
      </c>
      <c r="E47" s="12">
        <v>1</v>
      </c>
      <c r="F47" s="8">
        <v>1.32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123</v>
      </c>
      <c r="C48" s="12">
        <v>1</v>
      </c>
      <c r="D48" s="8">
        <v>0.75</v>
      </c>
      <c r="E48" s="12">
        <v>0</v>
      </c>
      <c r="F48" s="8">
        <v>0</v>
      </c>
      <c r="G48" s="12">
        <v>1</v>
      </c>
      <c r="H48" s="8">
        <v>1.89</v>
      </c>
      <c r="I48" s="12">
        <v>0</v>
      </c>
    </row>
    <row r="49" spans="2:9" ht="15" customHeight="1" x14ac:dyDescent="0.2">
      <c r="B49" t="s">
        <v>118</v>
      </c>
      <c r="C49" s="12">
        <v>1</v>
      </c>
      <c r="D49" s="8">
        <v>0.75</v>
      </c>
      <c r="E49" s="12">
        <v>1</v>
      </c>
      <c r="F49" s="8">
        <v>1.32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120</v>
      </c>
      <c r="C50" s="12">
        <v>1</v>
      </c>
      <c r="D50" s="8">
        <v>0.75</v>
      </c>
      <c r="E50" s="12">
        <v>0</v>
      </c>
      <c r="F50" s="8">
        <v>0</v>
      </c>
      <c r="G50" s="12">
        <v>1</v>
      </c>
      <c r="H50" s="8">
        <v>1.89</v>
      </c>
      <c r="I50" s="12">
        <v>0</v>
      </c>
    </row>
    <row r="53" spans="2:9" ht="33" customHeight="1" x14ac:dyDescent="0.2">
      <c r="B53" t="s">
        <v>365</v>
      </c>
      <c r="C53" s="10" t="s">
        <v>94</v>
      </c>
      <c r="D53" s="10" t="s">
        <v>95</v>
      </c>
      <c r="E53" s="10" t="s">
        <v>96</v>
      </c>
      <c r="F53" s="10" t="s">
        <v>97</v>
      </c>
      <c r="G53" s="10" t="s">
        <v>98</v>
      </c>
      <c r="H53" s="10" t="s">
        <v>99</v>
      </c>
      <c r="I53" s="10" t="s">
        <v>100</v>
      </c>
    </row>
    <row r="54" spans="2:9" ht="15" customHeight="1" x14ac:dyDescent="0.2">
      <c r="B54" t="s">
        <v>185</v>
      </c>
      <c r="C54" s="12">
        <v>19</v>
      </c>
      <c r="D54" s="8">
        <v>14.18</v>
      </c>
      <c r="E54" s="12">
        <v>17</v>
      </c>
      <c r="F54" s="8">
        <v>22.37</v>
      </c>
      <c r="G54" s="12">
        <v>2</v>
      </c>
      <c r="H54" s="8">
        <v>3.77</v>
      </c>
      <c r="I54" s="12">
        <v>0</v>
      </c>
    </row>
    <row r="55" spans="2:9" ht="15" customHeight="1" x14ac:dyDescent="0.2">
      <c r="B55" t="s">
        <v>174</v>
      </c>
      <c r="C55" s="12">
        <v>6</v>
      </c>
      <c r="D55" s="8">
        <v>4.4800000000000004</v>
      </c>
      <c r="E55" s="12">
        <v>0</v>
      </c>
      <c r="F55" s="8">
        <v>0</v>
      </c>
      <c r="G55" s="12">
        <v>6</v>
      </c>
      <c r="H55" s="8">
        <v>11.32</v>
      </c>
      <c r="I55" s="12">
        <v>0</v>
      </c>
    </row>
    <row r="56" spans="2:9" ht="15" customHeight="1" x14ac:dyDescent="0.2">
      <c r="B56" t="s">
        <v>214</v>
      </c>
      <c r="C56" s="12">
        <v>6</v>
      </c>
      <c r="D56" s="8">
        <v>4.4800000000000004</v>
      </c>
      <c r="E56" s="12">
        <v>4</v>
      </c>
      <c r="F56" s="8">
        <v>5.26</v>
      </c>
      <c r="G56" s="12">
        <v>2</v>
      </c>
      <c r="H56" s="8">
        <v>3.77</v>
      </c>
      <c r="I56" s="12">
        <v>0</v>
      </c>
    </row>
    <row r="57" spans="2:9" ht="15" customHeight="1" x14ac:dyDescent="0.2">
      <c r="B57" t="s">
        <v>190</v>
      </c>
      <c r="C57" s="12">
        <v>6</v>
      </c>
      <c r="D57" s="8">
        <v>4.4800000000000004</v>
      </c>
      <c r="E57" s="12">
        <v>6</v>
      </c>
      <c r="F57" s="8">
        <v>7.89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176</v>
      </c>
      <c r="C58" s="12">
        <v>5</v>
      </c>
      <c r="D58" s="8">
        <v>3.73</v>
      </c>
      <c r="E58" s="12">
        <v>4</v>
      </c>
      <c r="F58" s="8">
        <v>5.26</v>
      </c>
      <c r="G58" s="12">
        <v>1</v>
      </c>
      <c r="H58" s="8">
        <v>1.89</v>
      </c>
      <c r="I58" s="12">
        <v>0</v>
      </c>
    </row>
    <row r="59" spans="2:9" ht="15" customHeight="1" x14ac:dyDescent="0.2">
      <c r="B59" t="s">
        <v>177</v>
      </c>
      <c r="C59" s="12">
        <v>4</v>
      </c>
      <c r="D59" s="8">
        <v>2.99</v>
      </c>
      <c r="E59" s="12">
        <v>1</v>
      </c>
      <c r="F59" s="8">
        <v>1.32</v>
      </c>
      <c r="G59" s="12">
        <v>3</v>
      </c>
      <c r="H59" s="8">
        <v>5.66</v>
      </c>
      <c r="I59" s="12">
        <v>0</v>
      </c>
    </row>
    <row r="60" spans="2:9" ht="15" customHeight="1" x14ac:dyDescent="0.2">
      <c r="B60" t="s">
        <v>178</v>
      </c>
      <c r="C60" s="12">
        <v>4</v>
      </c>
      <c r="D60" s="8">
        <v>2.99</v>
      </c>
      <c r="E60" s="12">
        <v>0</v>
      </c>
      <c r="F60" s="8">
        <v>0</v>
      </c>
      <c r="G60" s="12">
        <v>4</v>
      </c>
      <c r="H60" s="8">
        <v>7.55</v>
      </c>
      <c r="I60" s="12">
        <v>0</v>
      </c>
    </row>
    <row r="61" spans="2:9" ht="15" customHeight="1" x14ac:dyDescent="0.2">
      <c r="B61" t="s">
        <v>180</v>
      </c>
      <c r="C61" s="12">
        <v>4</v>
      </c>
      <c r="D61" s="8">
        <v>2.99</v>
      </c>
      <c r="E61" s="12">
        <v>1</v>
      </c>
      <c r="F61" s="8">
        <v>1.32</v>
      </c>
      <c r="G61" s="12">
        <v>3</v>
      </c>
      <c r="H61" s="8">
        <v>5.66</v>
      </c>
      <c r="I61" s="12">
        <v>0</v>
      </c>
    </row>
    <row r="62" spans="2:9" ht="15" customHeight="1" x14ac:dyDescent="0.2">
      <c r="B62" t="s">
        <v>181</v>
      </c>
      <c r="C62" s="12">
        <v>4</v>
      </c>
      <c r="D62" s="8">
        <v>2.99</v>
      </c>
      <c r="E62" s="12">
        <v>3</v>
      </c>
      <c r="F62" s="8">
        <v>3.95</v>
      </c>
      <c r="G62" s="12">
        <v>1</v>
      </c>
      <c r="H62" s="8">
        <v>1.89</v>
      </c>
      <c r="I62" s="12">
        <v>0</v>
      </c>
    </row>
    <row r="63" spans="2:9" ht="15" customHeight="1" x14ac:dyDescent="0.2">
      <c r="B63" t="s">
        <v>191</v>
      </c>
      <c r="C63" s="12">
        <v>4</v>
      </c>
      <c r="D63" s="8">
        <v>2.99</v>
      </c>
      <c r="E63" s="12">
        <v>4</v>
      </c>
      <c r="F63" s="8">
        <v>5.26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175</v>
      </c>
      <c r="C64" s="12">
        <v>3</v>
      </c>
      <c r="D64" s="8">
        <v>2.2400000000000002</v>
      </c>
      <c r="E64" s="12">
        <v>0</v>
      </c>
      <c r="F64" s="8">
        <v>0</v>
      </c>
      <c r="G64" s="12">
        <v>3</v>
      </c>
      <c r="H64" s="8">
        <v>5.66</v>
      </c>
      <c r="I64" s="12">
        <v>0</v>
      </c>
    </row>
    <row r="65" spans="2:9" ht="15" customHeight="1" x14ac:dyDescent="0.2">
      <c r="B65" t="s">
        <v>208</v>
      </c>
      <c r="C65" s="12">
        <v>3</v>
      </c>
      <c r="D65" s="8">
        <v>2.2400000000000002</v>
      </c>
      <c r="E65" s="12">
        <v>1</v>
      </c>
      <c r="F65" s="8">
        <v>1.32</v>
      </c>
      <c r="G65" s="12">
        <v>2</v>
      </c>
      <c r="H65" s="8">
        <v>3.77</v>
      </c>
      <c r="I65" s="12">
        <v>0</v>
      </c>
    </row>
    <row r="66" spans="2:9" ht="15" customHeight="1" x14ac:dyDescent="0.2">
      <c r="B66" t="s">
        <v>179</v>
      </c>
      <c r="C66" s="12">
        <v>3</v>
      </c>
      <c r="D66" s="8">
        <v>2.2400000000000002</v>
      </c>
      <c r="E66" s="12">
        <v>2</v>
      </c>
      <c r="F66" s="8">
        <v>2.63</v>
      </c>
      <c r="G66" s="12">
        <v>1</v>
      </c>
      <c r="H66" s="8">
        <v>1.89</v>
      </c>
      <c r="I66" s="12">
        <v>0</v>
      </c>
    </row>
    <row r="67" spans="2:9" ht="15" customHeight="1" x14ac:dyDescent="0.2">
      <c r="B67" t="s">
        <v>247</v>
      </c>
      <c r="C67" s="12">
        <v>3</v>
      </c>
      <c r="D67" s="8">
        <v>2.2400000000000002</v>
      </c>
      <c r="E67" s="12">
        <v>2</v>
      </c>
      <c r="F67" s="8">
        <v>2.63</v>
      </c>
      <c r="G67" s="12">
        <v>1</v>
      </c>
      <c r="H67" s="8">
        <v>1.89</v>
      </c>
      <c r="I67" s="12">
        <v>0</v>
      </c>
    </row>
    <row r="68" spans="2:9" ht="15" customHeight="1" x14ac:dyDescent="0.2">
      <c r="B68" t="s">
        <v>186</v>
      </c>
      <c r="C68" s="12">
        <v>3</v>
      </c>
      <c r="D68" s="8">
        <v>2.2400000000000002</v>
      </c>
      <c r="E68" s="12">
        <v>3</v>
      </c>
      <c r="F68" s="8">
        <v>3.95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210</v>
      </c>
      <c r="C69" s="12">
        <v>2</v>
      </c>
      <c r="D69" s="8">
        <v>1.49</v>
      </c>
      <c r="E69" s="12">
        <v>2</v>
      </c>
      <c r="F69" s="8">
        <v>2.63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227</v>
      </c>
      <c r="C70" s="12">
        <v>2</v>
      </c>
      <c r="D70" s="8">
        <v>1.49</v>
      </c>
      <c r="E70" s="12">
        <v>1</v>
      </c>
      <c r="F70" s="8">
        <v>1.32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205</v>
      </c>
      <c r="C71" s="12">
        <v>2</v>
      </c>
      <c r="D71" s="8">
        <v>1.49</v>
      </c>
      <c r="E71" s="12">
        <v>2</v>
      </c>
      <c r="F71" s="8">
        <v>2.63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219</v>
      </c>
      <c r="C72" s="12">
        <v>2</v>
      </c>
      <c r="D72" s="8">
        <v>1.49</v>
      </c>
      <c r="E72" s="12">
        <v>1</v>
      </c>
      <c r="F72" s="8">
        <v>1.32</v>
      </c>
      <c r="G72" s="12">
        <v>1</v>
      </c>
      <c r="H72" s="8">
        <v>1.89</v>
      </c>
      <c r="I72" s="12">
        <v>0</v>
      </c>
    </row>
    <row r="73" spans="2:9" ht="15" customHeight="1" x14ac:dyDescent="0.2">
      <c r="B73" t="s">
        <v>215</v>
      </c>
      <c r="C73" s="12">
        <v>2</v>
      </c>
      <c r="D73" s="8">
        <v>1.49</v>
      </c>
      <c r="E73" s="12">
        <v>1</v>
      </c>
      <c r="F73" s="8">
        <v>1.32</v>
      </c>
      <c r="G73" s="12">
        <v>1</v>
      </c>
      <c r="H73" s="8">
        <v>1.89</v>
      </c>
      <c r="I73" s="12">
        <v>0</v>
      </c>
    </row>
    <row r="74" spans="2:9" ht="15" customHeight="1" x14ac:dyDescent="0.2">
      <c r="B74" t="s">
        <v>352</v>
      </c>
      <c r="C74" s="12">
        <v>2</v>
      </c>
      <c r="D74" s="8">
        <v>1.49</v>
      </c>
      <c r="E74" s="12">
        <v>2</v>
      </c>
      <c r="F74" s="8">
        <v>2.63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187</v>
      </c>
      <c r="C75" s="12">
        <v>2</v>
      </c>
      <c r="D75" s="8">
        <v>1.49</v>
      </c>
      <c r="E75" s="12">
        <v>2</v>
      </c>
      <c r="F75" s="8">
        <v>2.63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220</v>
      </c>
      <c r="C76" s="12">
        <v>2</v>
      </c>
      <c r="D76" s="8">
        <v>1.49</v>
      </c>
      <c r="E76" s="12">
        <v>0</v>
      </c>
      <c r="F76" s="8">
        <v>0</v>
      </c>
      <c r="G76" s="12">
        <v>2</v>
      </c>
      <c r="H76" s="8">
        <v>3.77</v>
      </c>
      <c r="I76" s="12">
        <v>0</v>
      </c>
    </row>
    <row r="77" spans="2:9" ht="15" customHeight="1" x14ac:dyDescent="0.2">
      <c r="B77" t="s">
        <v>188</v>
      </c>
      <c r="C77" s="12">
        <v>2</v>
      </c>
      <c r="D77" s="8">
        <v>1.49</v>
      </c>
      <c r="E77" s="12">
        <v>1</v>
      </c>
      <c r="F77" s="8">
        <v>1.32</v>
      </c>
      <c r="G77" s="12">
        <v>1</v>
      </c>
      <c r="H77" s="8">
        <v>1.89</v>
      </c>
      <c r="I77" s="12">
        <v>0</v>
      </c>
    </row>
    <row r="79" spans="2:9" ht="15" customHeight="1" x14ac:dyDescent="0.2">
      <c r="B79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E9EC4-9DC8-4596-A655-785A2C3A9929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439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21</v>
      </c>
      <c r="D6" s="8">
        <v>6.52</v>
      </c>
      <c r="E6" s="12">
        <v>9</v>
      </c>
      <c r="F6" s="8">
        <v>4.07</v>
      </c>
      <c r="G6" s="12">
        <v>12</v>
      </c>
      <c r="H6" s="8">
        <v>13.19</v>
      </c>
      <c r="I6" s="12">
        <v>0</v>
      </c>
    </row>
    <row r="7" spans="2:9" ht="15" customHeight="1" x14ac:dyDescent="0.2">
      <c r="B7" t="s">
        <v>80</v>
      </c>
      <c r="C7" s="12">
        <v>9</v>
      </c>
      <c r="D7" s="8">
        <v>2.8</v>
      </c>
      <c r="E7" s="12">
        <v>3</v>
      </c>
      <c r="F7" s="8">
        <v>1.36</v>
      </c>
      <c r="G7" s="12">
        <v>5</v>
      </c>
      <c r="H7" s="8">
        <v>5.49</v>
      </c>
      <c r="I7" s="12">
        <v>1</v>
      </c>
    </row>
    <row r="8" spans="2:9" ht="15" customHeight="1" x14ac:dyDescent="0.2">
      <c r="B8" t="s">
        <v>81</v>
      </c>
      <c r="C8" s="12">
        <v>2</v>
      </c>
      <c r="D8" s="8">
        <v>0.62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1</v>
      </c>
      <c r="D9" s="8">
        <v>0.31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2</v>
      </c>
      <c r="D10" s="8">
        <v>0.62</v>
      </c>
      <c r="E10" s="12">
        <v>0</v>
      </c>
      <c r="F10" s="8">
        <v>0</v>
      </c>
      <c r="G10" s="12">
        <v>2</v>
      </c>
      <c r="H10" s="8">
        <v>2.2000000000000002</v>
      </c>
      <c r="I10" s="12">
        <v>0</v>
      </c>
    </row>
    <row r="11" spans="2:9" ht="15" customHeight="1" x14ac:dyDescent="0.2">
      <c r="B11" t="s">
        <v>84</v>
      </c>
      <c r="C11" s="12">
        <v>46</v>
      </c>
      <c r="D11" s="8">
        <v>14.29</v>
      </c>
      <c r="E11" s="12">
        <v>18</v>
      </c>
      <c r="F11" s="8">
        <v>8.14</v>
      </c>
      <c r="G11" s="12">
        <v>27</v>
      </c>
      <c r="H11" s="8">
        <v>29.67</v>
      </c>
      <c r="I11" s="12">
        <v>1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7</v>
      </c>
      <c r="D13" s="8">
        <v>2.17</v>
      </c>
      <c r="E13" s="12">
        <v>1</v>
      </c>
      <c r="F13" s="8">
        <v>0.45</v>
      </c>
      <c r="G13" s="12">
        <v>5</v>
      </c>
      <c r="H13" s="8">
        <v>5.49</v>
      </c>
      <c r="I13" s="12">
        <v>0</v>
      </c>
    </row>
    <row r="14" spans="2:9" ht="15" customHeight="1" x14ac:dyDescent="0.2">
      <c r="B14" t="s">
        <v>87</v>
      </c>
      <c r="C14" s="12">
        <v>3</v>
      </c>
      <c r="D14" s="8">
        <v>0.93</v>
      </c>
      <c r="E14" s="12">
        <v>2</v>
      </c>
      <c r="F14" s="8">
        <v>0.9</v>
      </c>
      <c r="G14" s="12">
        <v>1</v>
      </c>
      <c r="H14" s="8">
        <v>1.1000000000000001</v>
      </c>
      <c r="I14" s="12">
        <v>0</v>
      </c>
    </row>
    <row r="15" spans="2:9" ht="15" customHeight="1" x14ac:dyDescent="0.2">
      <c r="B15" t="s">
        <v>88</v>
      </c>
      <c r="C15" s="12">
        <v>206</v>
      </c>
      <c r="D15" s="8">
        <v>63.98</v>
      </c>
      <c r="E15" s="12">
        <v>173</v>
      </c>
      <c r="F15" s="8">
        <v>78.28</v>
      </c>
      <c r="G15" s="12">
        <v>32</v>
      </c>
      <c r="H15" s="8">
        <v>35.159999999999997</v>
      </c>
      <c r="I15" s="12">
        <v>0</v>
      </c>
    </row>
    <row r="16" spans="2:9" ht="15" customHeight="1" x14ac:dyDescent="0.2">
      <c r="B16" t="s">
        <v>89</v>
      </c>
      <c r="C16" s="12">
        <v>12</v>
      </c>
      <c r="D16" s="8">
        <v>3.73</v>
      </c>
      <c r="E16" s="12">
        <v>11</v>
      </c>
      <c r="F16" s="8">
        <v>4.9800000000000004</v>
      </c>
      <c r="G16" s="12">
        <v>1</v>
      </c>
      <c r="H16" s="8">
        <v>1.1000000000000001</v>
      </c>
      <c r="I16" s="12">
        <v>0</v>
      </c>
    </row>
    <row r="17" spans="2:9" ht="15" customHeight="1" x14ac:dyDescent="0.2">
      <c r="B17" t="s">
        <v>90</v>
      </c>
      <c r="C17" s="12">
        <v>6</v>
      </c>
      <c r="D17" s="8">
        <v>1.86</v>
      </c>
      <c r="E17" s="12">
        <v>2</v>
      </c>
      <c r="F17" s="8">
        <v>0.9</v>
      </c>
      <c r="G17" s="12">
        <v>2</v>
      </c>
      <c r="H17" s="8">
        <v>2.2000000000000002</v>
      </c>
      <c r="I17" s="12">
        <v>0</v>
      </c>
    </row>
    <row r="18" spans="2:9" ht="15" customHeight="1" x14ac:dyDescent="0.2">
      <c r="B18" t="s">
        <v>91</v>
      </c>
      <c r="C18" s="12">
        <v>4</v>
      </c>
      <c r="D18" s="8">
        <v>1.24</v>
      </c>
      <c r="E18" s="12">
        <v>1</v>
      </c>
      <c r="F18" s="8">
        <v>0.45</v>
      </c>
      <c r="G18" s="12">
        <v>2</v>
      </c>
      <c r="H18" s="8">
        <v>2.2000000000000002</v>
      </c>
      <c r="I18" s="12">
        <v>0</v>
      </c>
    </row>
    <row r="19" spans="2:9" ht="15" customHeight="1" x14ac:dyDescent="0.2">
      <c r="B19" t="s">
        <v>92</v>
      </c>
      <c r="C19" s="12">
        <v>3</v>
      </c>
      <c r="D19" s="8">
        <v>0.93</v>
      </c>
      <c r="E19" s="12">
        <v>1</v>
      </c>
      <c r="F19" s="8">
        <v>0.45</v>
      </c>
      <c r="G19" s="12">
        <v>2</v>
      </c>
      <c r="H19" s="8">
        <v>2.2000000000000002</v>
      </c>
      <c r="I19" s="12">
        <v>0</v>
      </c>
    </row>
    <row r="20" spans="2:9" ht="15" customHeight="1" x14ac:dyDescent="0.2">
      <c r="B20" s="9" t="s">
        <v>363</v>
      </c>
      <c r="C20" s="12">
        <f>SUM(LTBL_20563[総数／事業所数])</f>
        <v>322</v>
      </c>
      <c r="E20" s="12">
        <f>SUBTOTAL(109,LTBL_20563[個人／事業所数])</f>
        <v>221</v>
      </c>
      <c r="G20" s="12">
        <f>SUBTOTAL(109,LTBL_20563[法人／事業所数])</f>
        <v>91</v>
      </c>
      <c r="I20" s="12">
        <f>SUBTOTAL(109,LTBL_20563[法人以外の団体／事業所数])</f>
        <v>2</v>
      </c>
    </row>
    <row r="21" spans="2:9" ht="15" customHeight="1" x14ac:dyDescent="0.2">
      <c r="E21" s="11">
        <f>LTBL_20563[[#Totals],[個人／事業所数]]/LTBL_20563[[#Totals],[総数／事業所数]]</f>
        <v>0.68633540372670809</v>
      </c>
      <c r="G21" s="11">
        <f>LTBL_20563[[#Totals],[法人／事業所数]]/LTBL_20563[[#Totals],[総数／事業所数]]</f>
        <v>0.28260869565217389</v>
      </c>
      <c r="I21" s="11">
        <f>LTBL_20563[[#Totals],[法人以外の団体／事業所数]]/LTBL_20563[[#Totals],[総数／事業所数]]</f>
        <v>6.2111801242236021E-3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114</v>
      </c>
      <c r="C24" s="12">
        <v>163</v>
      </c>
      <c r="D24" s="8">
        <v>50.62</v>
      </c>
      <c r="E24" s="12">
        <v>138</v>
      </c>
      <c r="F24" s="8">
        <v>62.44</v>
      </c>
      <c r="G24" s="12">
        <v>25</v>
      </c>
      <c r="H24" s="8">
        <v>27.47</v>
      </c>
      <c r="I24" s="12">
        <v>0</v>
      </c>
    </row>
    <row r="25" spans="2:9" ht="15" customHeight="1" x14ac:dyDescent="0.2">
      <c r="B25" t="s">
        <v>115</v>
      </c>
      <c r="C25" s="12">
        <v>41</v>
      </c>
      <c r="D25" s="8">
        <v>12.73</v>
      </c>
      <c r="E25" s="12">
        <v>34</v>
      </c>
      <c r="F25" s="8">
        <v>15.38</v>
      </c>
      <c r="G25" s="12">
        <v>6</v>
      </c>
      <c r="H25" s="8">
        <v>6.59</v>
      </c>
      <c r="I25" s="12">
        <v>0</v>
      </c>
    </row>
    <row r="26" spans="2:9" ht="15" customHeight="1" x14ac:dyDescent="0.2">
      <c r="B26" t="s">
        <v>110</v>
      </c>
      <c r="C26" s="12">
        <v>23</v>
      </c>
      <c r="D26" s="8">
        <v>7.14</v>
      </c>
      <c r="E26" s="12">
        <v>8</v>
      </c>
      <c r="F26" s="8">
        <v>3.62</v>
      </c>
      <c r="G26" s="12">
        <v>15</v>
      </c>
      <c r="H26" s="8">
        <v>16.48</v>
      </c>
      <c r="I26" s="12">
        <v>0</v>
      </c>
    </row>
    <row r="27" spans="2:9" ht="15" customHeight="1" x14ac:dyDescent="0.2">
      <c r="B27" t="s">
        <v>108</v>
      </c>
      <c r="C27" s="12">
        <v>11</v>
      </c>
      <c r="D27" s="8">
        <v>3.42</v>
      </c>
      <c r="E27" s="12">
        <v>4</v>
      </c>
      <c r="F27" s="8">
        <v>1.81</v>
      </c>
      <c r="G27" s="12">
        <v>6</v>
      </c>
      <c r="H27" s="8">
        <v>6.59</v>
      </c>
      <c r="I27" s="12">
        <v>1</v>
      </c>
    </row>
    <row r="28" spans="2:9" ht="15" customHeight="1" x14ac:dyDescent="0.2">
      <c r="B28" t="s">
        <v>101</v>
      </c>
      <c r="C28" s="12">
        <v>9</v>
      </c>
      <c r="D28" s="8">
        <v>2.8</v>
      </c>
      <c r="E28" s="12">
        <v>3</v>
      </c>
      <c r="F28" s="8">
        <v>1.36</v>
      </c>
      <c r="G28" s="12">
        <v>6</v>
      </c>
      <c r="H28" s="8">
        <v>6.59</v>
      </c>
      <c r="I28" s="12">
        <v>0</v>
      </c>
    </row>
    <row r="29" spans="2:9" ht="15" customHeight="1" x14ac:dyDescent="0.2">
      <c r="B29" t="s">
        <v>116</v>
      </c>
      <c r="C29" s="12">
        <v>9</v>
      </c>
      <c r="D29" s="8">
        <v>2.8</v>
      </c>
      <c r="E29" s="12">
        <v>9</v>
      </c>
      <c r="F29" s="8">
        <v>4.07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102</v>
      </c>
      <c r="C30" s="12">
        <v>8</v>
      </c>
      <c r="D30" s="8">
        <v>2.48</v>
      </c>
      <c r="E30" s="12">
        <v>5</v>
      </c>
      <c r="F30" s="8">
        <v>2.2599999999999998</v>
      </c>
      <c r="G30" s="12">
        <v>3</v>
      </c>
      <c r="H30" s="8">
        <v>3.3</v>
      </c>
      <c r="I30" s="12">
        <v>0</v>
      </c>
    </row>
    <row r="31" spans="2:9" ht="15" customHeight="1" x14ac:dyDescent="0.2">
      <c r="B31" t="s">
        <v>117</v>
      </c>
      <c r="C31" s="12">
        <v>6</v>
      </c>
      <c r="D31" s="8">
        <v>1.86</v>
      </c>
      <c r="E31" s="12">
        <v>2</v>
      </c>
      <c r="F31" s="8">
        <v>0.9</v>
      </c>
      <c r="G31" s="12">
        <v>2</v>
      </c>
      <c r="H31" s="8">
        <v>2.2000000000000002</v>
      </c>
      <c r="I31" s="12">
        <v>0</v>
      </c>
    </row>
    <row r="32" spans="2:9" ht="15" customHeight="1" x14ac:dyDescent="0.2">
      <c r="B32" t="s">
        <v>125</v>
      </c>
      <c r="C32" s="12">
        <v>5</v>
      </c>
      <c r="D32" s="8">
        <v>1.55</v>
      </c>
      <c r="E32" s="12">
        <v>1</v>
      </c>
      <c r="F32" s="8">
        <v>0.45</v>
      </c>
      <c r="G32" s="12">
        <v>4</v>
      </c>
      <c r="H32" s="8">
        <v>4.4000000000000004</v>
      </c>
      <c r="I32" s="12">
        <v>0</v>
      </c>
    </row>
    <row r="33" spans="2:9" ht="15" customHeight="1" x14ac:dyDescent="0.2">
      <c r="B33" t="s">
        <v>103</v>
      </c>
      <c r="C33" s="12">
        <v>4</v>
      </c>
      <c r="D33" s="8">
        <v>1.24</v>
      </c>
      <c r="E33" s="12">
        <v>1</v>
      </c>
      <c r="F33" s="8">
        <v>0.45</v>
      </c>
      <c r="G33" s="12">
        <v>3</v>
      </c>
      <c r="H33" s="8">
        <v>3.3</v>
      </c>
      <c r="I33" s="12">
        <v>0</v>
      </c>
    </row>
    <row r="34" spans="2:9" ht="15" customHeight="1" x14ac:dyDescent="0.2">
      <c r="B34" t="s">
        <v>107</v>
      </c>
      <c r="C34" s="12">
        <v>4</v>
      </c>
      <c r="D34" s="8">
        <v>1.24</v>
      </c>
      <c r="E34" s="12">
        <v>3</v>
      </c>
      <c r="F34" s="8">
        <v>1.36</v>
      </c>
      <c r="G34" s="12">
        <v>1</v>
      </c>
      <c r="H34" s="8">
        <v>1.1000000000000001</v>
      </c>
      <c r="I34" s="12">
        <v>0</v>
      </c>
    </row>
    <row r="35" spans="2:9" ht="15" customHeight="1" x14ac:dyDescent="0.2">
      <c r="B35" t="s">
        <v>153</v>
      </c>
      <c r="C35" s="12">
        <v>4</v>
      </c>
      <c r="D35" s="8">
        <v>1.24</v>
      </c>
      <c r="E35" s="12">
        <v>1</v>
      </c>
      <c r="F35" s="8">
        <v>0.45</v>
      </c>
      <c r="G35" s="12">
        <v>3</v>
      </c>
      <c r="H35" s="8">
        <v>3.3</v>
      </c>
      <c r="I35" s="12">
        <v>0</v>
      </c>
    </row>
    <row r="36" spans="2:9" ht="15" customHeight="1" x14ac:dyDescent="0.2">
      <c r="B36" t="s">
        <v>127</v>
      </c>
      <c r="C36" s="12">
        <v>3</v>
      </c>
      <c r="D36" s="8">
        <v>0.93</v>
      </c>
      <c r="E36" s="12">
        <v>0</v>
      </c>
      <c r="F36" s="8">
        <v>0</v>
      </c>
      <c r="G36" s="12">
        <v>2</v>
      </c>
      <c r="H36" s="8">
        <v>2.2000000000000002</v>
      </c>
      <c r="I36" s="12">
        <v>1</v>
      </c>
    </row>
    <row r="37" spans="2:9" ht="15" customHeight="1" x14ac:dyDescent="0.2">
      <c r="B37" t="s">
        <v>111</v>
      </c>
      <c r="C37" s="12">
        <v>3</v>
      </c>
      <c r="D37" s="8">
        <v>0.93</v>
      </c>
      <c r="E37" s="12">
        <v>0</v>
      </c>
      <c r="F37" s="8">
        <v>0</v>
      </c>
      <c r="G37" s="12">
        <v>2</v>
      </c>
      <c r="H37" s="8">
        <v>2.2000000000000002</v>
      </c>
      <c r="I37" s="12">
        <v>0</v>
      </c>
    </row>
    <row r="38" spans="2:9" ht="15" customHeight="1" x14ac:dyDescent="0.2">
      <c r="B38" t="s">
        <v>113</v>
      </c>
      <c r="C38" s="12">
        <v>3</v>
      </c>
      <c r="D38" s="8">
        <v>0.93</v>
      </c>
      <c r="E38" s="12">
        <v>2</v>
      </c>
      <c r="F38" s="8">
        <v>0.9</v>
      </c>
      <c r="G38" s="12">
        <v>1</v>
      </c>
      <c r="H38" s="8">
        <v>1.1000000000000001</v>
      </c>
      <c r="I38" s="12">
        <v>0</v>
      </c>
    </row>
    <row r="39" spans="2:9" ht="15" customHeight="1" x14ac:dyDescent="0.2">
      <c r="B39" t="s">
        <v>132</v>
      </c>
      <c r="C39" s="12">
        <v>3</v>
      </c>
      <c r="D39" s="8">
        <v>0.93</v>
      </c>
      <c r="E39" s="12">
        <v>2</v>
      </c>
      <c r="F39" s="8">
        <v>0.9</v>
      </c>
      <c r="G39" s="12">
        <v>1</v>
      </c>
      <c r="H39" s="8">
        <v>1.1000000000000001</v>
      </c>
      <c r="I39" s="12">
        <v>0</v>
      </c>
    </row>
    <row r="40" spans="2:9" ht="15" customHeight="1" x14ac:dyDescent="0.2">
      <c r="B40" t="s">
        <v>119</v>
      </c>
      <c r="C40" s="12">
        <v>3</v>
      </c>
      <c r="D40" s="8">
        <v>0.93</v>
      </c>
      <c r="E40" s="12">
        <v>0</v>
      </c>
      <c r="F40" s="8">
        <v>0</v>
      </c>
      <c r="G40" s="12">
        <v>2</v>
      </c>
      <c r="H40" s="8">
        <v>2.2000000000000002</v>
      </c>
      <c r="I40" s="12">
        <v>0</v>
      </c>
    </row>
    <row r="41" spans="2:9" ht="15" customHeight="1" x14ac:dyDescent="0.2">
      <c r="B41" t="s">
        <v>137</v>
      </c>
      <c r="C41" s="12">
        <v>2</v>
      </c>
      <c r="D41" s="8">
        <v>0.62</v>
      </c>
      <c r="E41" s="12">
        <v>2</v>
      </c>
      <c r="F41" s="8">
        <v>0.9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156</v>
      </c>
      <c r="C42" s="12">
        <v>2</v>
      </c>
      <c r="D42" s="8">
        <v>0.62</v>
      </c>
      <c r="E42" s="12">
        <v>0</v>
      </c>
      <c r="F42" s="8">
        <v>0</v>
      </c>
      <c r="G42" s="12">
        <v>2</v>
      </c>
      <c r="H42" s="8">
        <v>2.2000000000000002</v>
      </c>
      <c r="I42" s="12">
        <v>0</v>
      </c>
    </row>
    <row r="43" spans="2:9" ht="15" customHeight="1" x14ac:dyDescent="0.2">
      <c r="B43" t="s">
        <v>139</v>
      </c>
      <c r="C43" s="12">
        <v>2</v>
      </c>
      <c r="D43" s="8">
        <v>0.62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140</v>
      </c>
      <c r="C44" s="12">
        <v>2</v>
      </c>
      <c r="D44" s="8">
        <v>0.62</v>
      </c>
      <c r="E44" s="12">
        <v>0</v>
      </c>
      <c r="F44" s="8">
        <v>0</v>
      </c>
      <c r="G44" s="12">
        <v>2</v>
      </c>
      <c r="H44" s="8">
        <v>2.2000000000000002</v>
      </c>
      <c r="I44" s="12">
        <v>0</v>
      </c>
    </row>
    <row r="45" spans="2:9" ht="15" customHeight="1" x14ac:dyDescent="0.2">
      <c r="B45" t="s">
        <v>109</v>
      </c>
      <c r="C45" s="12">
        <v>2</v>
      </c>
      <c r="D45" s="8">
        <v>0.62</v>
      </c>
      <c r="E45" s="12">
        <v>2</v>
      </c>
      <c r="F45" s="8">
        <v>0.9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129</v>
      </c>
      <c r="C46" s="12">
        <v>2</v>
      </c>
      <c r="D46" s="8">
        <v>0.62</v>
      </c>
      <c r="E46" s="12">
        <v>1</v>
      </c>
      <c r="F46" s="8">
        <v>0.45</v>
      </c>
      <c r="G46" s="12">
        <v>1</v>
      </c>
      <c r="H46" s="8">
        <v>1.1000000000000001</v>
      </c>
      <c r="I46" s="12">
        <v>0</v>
      </c>
    </row>
    <row r="49" spans="2:9" ht="33" customHeight="1" x14ac:dyDescent="0.2">
      <c r="B49" t="s">
        <v>365</v>
      </c>
      <c r="C49" s="10" t="s">
        <v>94</v>
      </c>
      <c r="D49" s="10" t="s">
        <v>95</v>
      </c>
      <c r="E49" s="10" t="s">
        <v>96</v>
      </c>
      <c r="F49" s="10" t="s">
        <v>97</v>
      </c>
      <c r="G49" s="10" t="s">
        <v>98</v>
      </c>
      <c r="H49" s="10" t="s">
        <v>99</v>
      </c>
      <c r="I49" s="10" t="s">
        <v>100</v>
      </c>
    </row>
    <row r="50" spans="2:9" ht="15" customHeight="1" x14ac:dyDescent="0.2">
      <c r="B50" t="s">
        <v>185</v>
      </c>
      <c r="C50" s="12">
        <v>159</v>
      </c>
      <c r="D50" s="8">
        <v>49.38</v>
      </c>
      <c r="E50" s="12">
        <v>136</v>
      </c>
      <c r="F50" s="8">
        <v>61.54</v>
      </c>
      <c r="G50" s="12">
        <v>23</v>
      </c>
      <c r="H50" s="8">
        <v>25.27</v>
      </c>
      <c r="I50" s="12">
        <v>0</v>
      </c>
    </row>
    <row r="51" spans="2:9" ht="15" customHeight="1" x14ac:dyDescent="0.2">
      <c r="B51" t="s">
        <v>188</v>
      </c>
      <c r="C51" s="12">
        <v>11</v>
      </c>
      <c r="D51" s="8">
        <v>3.42</v>
      </c>
      <c r="E51" s="12">
        <v>11</v>
      </c>
      <c r="F51" s="8">
        <v>4.9800000000000004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187</v>
      </c>
      <c r="C52" s="12">
        <v>9</v>
      </c>
      <c r="D52" s="8">
        <v>2.8</v>
      </c>
      <c r="E52" s="12">
        <v>8</v>
      </c>
      <c r="F52" s="8">
        <v>3.62</v>
      </c>
      <c r="G52" s="12">
        <v>1</v>
      </c>
      <c r="H52" s="8">
        <v>1.1000000000000001</v>
      </c>
      <c r="I52" s="12">
        <v>0</v>
      </c>
    </row>
    <row r="53" spans="2:9" ht="15" customHeight="1" x14ac:dyDescent="0.2">
      <c r="B53" t="s">
        <v>186</v>
      </c>
      <c r="C53" s="12">
        <v>8</v>
      </c>
      <c r="D53" s="8">
        <v>2.48</v>
      </c>
      <c r="E53" s="12">
        <v>4</v>
      </c>
      <c r="F53" s="8">
        <v>1.81</v>
      </c>
      <c r="G53" s="12">
        <v>4</v>
      </c>
      <c r="H53" s="8">
        <v>4.4000000000000004</v>
      </c>
      <c r="I53" s="12">
        <v>0</v>
      </c>
    </row>
    <row r="54" spans="2:9" ht="15" customHeight="1" x14ac:dyDescent="0.2">
      <c r="B54" t="s">
        <v>181</v>
      </c>
      <c r="C54" s="12">
        <v>7</v>
      </c>
      <c r="D54" s="8">
        <v>2.17</v>
      </c>
      <c r="E54" s="12">
        <v>5</v>
      </c>
      <c r="F54" s="8">
        <v>2.2599999999999998</v>
      </c>
      <c r="G54" s="12">
        <v>2</v>
      </c>
      <c r="H54" s="8">
        <v>2.2000000000000002</v>
      </c>
      <c r="I54" s="12">
        <v>0</v>
      </c>
    </row>
    <row r="55" spans="2:9" ht="15" customHeight="1" x14ac:dyDescent="0.2">
      <c r="B55" t="s">
        <v>225</v>
      </c>
      <c r="C55" s="12">
        <v>5</v>
      </c>
      <c r="D55" s="8">
        <v>1.55</v>
      </c>
      <c r="E55" s="12">
        <v>1</v>
      </c>
      <c r="F55" s="8">
        <v>0.45</v>
      </c>
      <c r="G55" s="12">
        <v>4</v>
      </c>
      <c r="H55" s="8">
        <v>4.4000000000000004</v>
      </c>
      <c r="I55" s="12">
        <v>0</v>
      </c>
    </row>
    <row r="56" spans="2:9" ht="15" customHeight="1" x14ac:dyDescent="0.2">
      <c r="B56" t="s">
        <v>179</v>
      </c>
      <c r="C56" s="12">
        <v>5</v>
      </c>
      <c r="D56" s="8">
        <v>1.55</v>
      </c>
      <c r="E56" s="12">
        <v>2</v>
      </c>
      <c r="F56" s="8">
        <v>0.9</v>
      </c>
      <c r="G56" s="12">
        <v>3</v>
      </c>
      <c r="H56" s="8">
        <v>3.3</v>
      </c>
      <c r="I56" s="12">
        <v>0</v>
      </c>
    </row>
    <row r="57" spans="2:9" ht="15" customHeight="1" x14ac:dyDescent="0.2">
      <c r="B57" t="s">
        <v>190</v>
      </c>
      <c r="C57" s="12">
        <v>5</v>
      </c>
      <c r="D57" s="8">
        <v>1.55</v>
      </c>
      <c r="E57" s="12">
        <v>5</v>
      </c>
      <c r="F57" s="8">
        <v>2.2599999999999998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174</v>
      </c>
      <c r="C58" s="12">
        <v>4</v>
      </c>
      <c r="D58" s="8">
        <v>1.24</v>
      </c>
      <c r="E58" s="12">
        <v>0</v>
      </c>
      <c r="F58" s="8">
        <v>0</v>
      </c>
      <c r="G58" s="12">
        <v>4</v>
      </c>
      <c r="H58" s="8">
        <v>4.4000000000000004</v>
      </c>
      <c r="I58" s="12">
        <v>0</v>
      </c>
    </row>
    <row r="59" spans="2:9" ht="15" customHeight="1" x14ac:dyDescent="0.2">
      <c r="B59" t="s">
        <v>216</v>
      </c>
      <c r="C59" s="12">
        <v>4</v>
      </c>
      <c r="D59" s="8">
        <v>1.24</v>
      </c>
      <c r="E59" s="12">
        <v>0</v>
      </c>
      <c r="F59" s="8">
        <v>0</v>
      </c>
      <c r="G59" s="12">
        <v>4</v>
      </c>
      <c r="H59" s="8">
        <v>4.4000000000000004</v>
      </c>
      <c r="I59" s="12">
        <v>0</v>
      </c>
    </row>
    <row r="60" spans="2:9" ht="15" customHeight="1" x14ac:dyDescent="0.2">
      <c r="B60" t="s">
        <v>189</v>
      </c>
      <c r="C60" s="12">
        <v>4</v>
      </c>
      <c r="D60" s="8">
        <v>1.24</v>
      </c>
      <c r="E60" s="12">
        <v>4</v>
      </c>
      <c r="F60" s="8">
        <v>1.81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198</v>
      </c>
      <c r="C61" s="12">
        <v>4</v>
      </c>
      <c r="D61" s="8">
        <v>1.24</v>
      </c>
      <c r="E61" s="12">
        <v>3</v>
      </c>
      <c r="F61" s="8">
        <v>1.36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176</v>
      </c>
      <c r="C62" s="12">
        <v>3</v>
      </c>
      <c r="D62" s="8">
        <v>0.93</v>
      </c>
      <c r="E62" s="12">
        <v>3</v>
      </c>
      <c r="F62" s="8">
        <v>1.36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262</v>
      </c>
      <c r="C63" s="12">
        <v>3</v>
      </c>
      <c r="D63" s="8">
        <v>0.93</v>
      </c>
      <c r="E63" s="12">
        <v>0</v>
      </c>
      <c r="F63" s="8">
        <v>0</v>
      </c>
      <c r="G63" s="12">
        <v>2</v>
      </c>
      <c r="H63" s="8">
        <v>2.2000000000000002</v>
      </c>
      <c r="I63" s="12">
        <v>1</v>
      </c>
    </row>
    <row r="64" spans="2:9" ht="15" customHeight="1" x14ac:dyDescent="0.2">
      <c r="B64" t="s">
        <v>197</v>
      </c>
      <c r="C64" s="12">
        <v>3</v>
      </c>
      <c r="D64" s="8">
        <v>0.93</v>
      </c>
      <c r="E64" s="12">
        <v>2</v>
      </c>
      <c r="F64" s="8">
        <v>0.9</v>
      </c>
      <c r="G64" s="12">
        <v>1</v>
      </c>
      <c r="H64" s="8">
        <v>1.1000000000000001</v>
      </c>
      <c r="I64" s="12">
        <v>0</v>
      </c>
    </row>
    <row r="65" spans="2:9" ht="15" customHeight="1" x14ac:dyDescent="0.2">
      <c r="B65" t="s">
        <v>215</v>
      </c>
      <c r="C65" s="12">
        <v>3</v>
      </c>
      <c r="D65" s="8">
        <v>0.93</v>
      </c>
      <c r="E65" s="12">
        <v>1</v>
      </c>
      <c r="F65" s="8">
        <v>0.45</v>
      </c>
      <c r="G65" s="12">
        <v>2</v>
      </c>
      <c r="H65" s="8">
        <v>2.2000000000000002</v>
      </c>
      <c r="I65" s="12">
        <v>0</v>
      </c>
    </row>
    <row r="66" spans="2:9" ht="15" customHeight="1" x14ac:dyDescent="0.2">
      <c r="B66" t="s">
        <v>322</v>
      </c>
      <c r="C66" s="12">
        <v>3</v>
      </c>
      <c r="D66" s="8">
        <v>0.93</v>
      </c>
      <c r="E66" s="12">
        <v>0</v>
      </c>
      <c r="F66" s="8">
        <v>0</v>
      </c>
      <c r="G66" s="12">
        <v>3</v>
      </c>
      <c r="H66" s="8">
        <v>3.3</v>
      </c>
      <c r="I66" s="12">
        <v>0</v>
      </c>
    </row>
    <row r="67" spans="2:9" ht="15" customHeight="1" x14ac:dyDescent="0.2">
      <c r="B67" t="s">
        <v>184</v>
      </c>
      <c r="C67" s="12">
        <v>3</v>
      </c>
      <c r="D67" s="8">
        <v>0.93</v>
      </c>
      <c r="E67" s="12">
        <v>2</v>
      </c>
      <c r="F67" s="8">
        <v>0.9</v>
      </c>
      <c r="G67" s="12">
        <v>1</v>
      </c>
      <c r="H67" s="8">
        <v>1.1000000000000001</v>
      </c>
      <c r="I67" s="12">
        <v>0</v>
      </c>
    </row>
    <row r="68" spans="2:9" ht="15" customHeight="1" x14ac:dyDescent="0.2">
      <c r="B68" t="s">
        <v>247</v>
      </c>
      <c r="C68" s="12">
        <v>3</v>
      </c>
      <c r="D68" s="8">
        <v>0.93</v>
      </c>
      <c r="E68" s="12">
        <v>2</v>
      </c>
      <c r="F68" s="8">
        <v>0.9</v>
      </c>
      <c r="G68" s="12">
        <v>1</v>
      </c>
      <c r="H68" s="8">
        <v>1.1000000000000001</v>
      </c>
      <c r="I68" s="12">
        <v>0</v>
      </c>
    </row>
    <row r="69" spans="2:9" ht="15" customHeight="1" x14ac:dyDescent="0.2">
      <c r="B69" t="s">
        <v>220</v>
      </c>
      <c r="C69" s="12">
        <v>3</v>
      </c>
      <c r="D69" s="8">
        <v>0.93</v>
      </c>
      <c r="E69" s="12">
        <v>3</v>
      </c>
      <c r="F69" s="8">
        <v>1.36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223</v>
      </c>
      <c r="C70" s="12">
        <v>3</v>
      </c>
      <c r="D70" s="8">
        <v>0.93</v>
      </c>
      <c r="E70" s="12">
        <v>0</v>
      </c>
      <c r="F70" s="8">
        <v>0</v>
      </c>
      <c r="G70" s="12">
        <v>1</v>
      </c>
      <c r="H70" s="8">
        <v>1.1000000000000001</v>
      </c>
      <c r="I70" s="12">
        <v>0</v>
      </c>
    </row>
    <row r="72" spans="2:9" ht="15" customHeight="1" x14ac:dyDescent="0.2">
      <c r="B72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48E30-CB7D-488E-96C3-D74E5952257C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440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49</v>
      </c>
      <c r="D6" s="8">
        <v>17.95</v>
      </c>
      <c r="E6" s="12">
        <v>19</v>
      </c>
      <c r="F6" s="8">
        <v>11.88</v>
      </c>
      <c r="G6" s="12">
        <v>30</v>
      </c>
      <c r="H6" s="8">
        <v>28.3</v>
      </c>
      <c r="I6" s="12">
        <v>0</v>
      </c>
    </row>
    <row r="7" spans="2:9" ht="15" customHeight="1" x14ac:dyDescent="0.2">
      <c r="B7" t="s">
        <v>80</v>
      </c>
      <c r="C7" s="12">
        <v>25</v>
      </c>
      <c r="D7" s="8">
        <v>9.16</v>
      </c>
      <c r="E7" s="12">
        <v>10</v>
      </c>
      <c r="F7" s="8">
        <v>6.25</v>
      </c>
      <c r="G7" s="12">
        <v>15</v>
      </c>
      <c r="H7" s="8">
        <v>14.15</v>
      </c>
      <c r="I7" s="12">
        <v>0</v>
      </c>
    </row>
    <row r="8" spans="2:9" ht="15" customHeight="1" x14ac:dyDescent="0.2">
      <c r="B8" t="s">
        <v>81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2</v>
      </c>
      <c r="D9" s="8">
        <v>0.73</v>
      </c>
      <c r="E9" s="12">
        <v>2</v>
      </c>
      <c r="F9" s="8">
        <v>1.25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2</v>
      </c>
      <c r="D10" s="8">
        <v>0.73</v>
      </c>
      <c r="E10" s="12">
        <v>0</v>
      </c>
      <c r="F10" s="8">
        <v>0</v>
      </c>
      <c r="G10" s="12">
        <v>1</v>
      </c>
      <c r="H10" s="8">
        <v>0.94</v>
      </c>
      <c r="I10" s="12">
        <v>0</v>
      </c>
    </row>
    <row r="11" spans="2:9" ht="15" customHeight="1" x14ac:dyDescent="0.2">
      <c r="B11" t="s">
        <v>84</v>
      </c>
      <c r="C11" s="12">
        <v>55</v>
      </c>
      <c r="D11" s="8">
        <v>20.149999999999999</v>
      </c>
      <c r="E11" s="12">
        <v>35</v>
      </c>
      <c r="F11" s="8">
        <v>21.88</v>
      </c>
      <c r="G11" s="12">
        <v>20</v>
      </c>
      <c r="H11" s="8">
        <v>18.87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3</v>
      </c>
      <c r="D13" s="8">
        <v>1.1000000000000001</v>
      </c>
      <c r="E13" s="12">
        <v>0</v>
      </c>
      <c r="F13" s="8">
        <v>0</v>
      </c>
      <c r="G13" s="12">
        <v>3</v>
      </c>
      <c r="H13" s="8">
        <v>2.83</v>
      </c>
      <c r="I13" s="12">
        <v>0</v>
      </c>
    </row>
    <row r="14" spans="2:9" ht="15" customHeight="1" x14ac:dyDescent="0.2">
      <c r="B14" t="s">
        <v>87</v>
      </c>
      <c r="C14" s="12">
        <v>14</v>
      </c>
      <c r="D14" s="8">
        <v>5.13</v>
      </c>
      <c r="E14" s="12">
        <v>7</v>
      </c>
      <c r="F14" s="8">
        <v>4.38</v>
      </c>
      <c r="G14" s="12">
        <v>7</v>
      </c>
      <c r="H14" s="8">
        <v>6.6</v>
      </c>
      <c r="I14" s="12">
        <v>0</v>
      </c>
    </row>
    <row r="15" spans="2:9" ht="15" customHeight="1" x14ac:dyDescent="0.2">
      <c r="B15" t="s">
        <v>88</v>
      </c>
      <c r="C15" s="12">
        <v>77</v>
      </c>
      <c r="D15" s="8">
        <v>28.21</v>
      </c>
      <c r="E15" s="12">
        <v>60</v>
      </c>
      <c r="F15" s="8">
        <v>37.5</v>
      </c>
      <c r="G15" s="12">
        <v>17</v>
      </c>
      <c r="H15" s="8">
        <v>16.04</v>
      </c>
      <c r="I15" s="12">
        <v>0</v>
      </c>
    </row>
    <row r="16" spans="2:9" ht="15" customHeight="1" x14ac:dyDescent="0.2">
      <c r="B16" t="s">
        <v>89</v>
      </c>
      <c r="C16" s="12">
        <v>23</v>
      </c>
      <c r="D16" s="8">
        <v>8.42</v>
      </c>
      <c r="E16" s="12">
        <v>16</v>
      </c>
      <c r="F16" s="8">
        <v>10</v>
      </c>
      <c r="G16" s="12">
        <v>7</v>
      </c>
      <c r="H16" s="8">
        <v>6.6</v>
      </c>
      <c r="I16" s="12">
        <v>0</v>
      </c>
    </row>
    <row r="17" spans="2:9" ht="15" customHeight="1" x14ac:dyDescent="0.2">
      <c r="B17" t="s">
        <v>90</v>
      </c>
      <c r="C17" s="12">
        <v>9</v>
      </c>
      <c r="D17" s="8">
        <v>3.3</v>
      </c>
      <c r="E17" s="12">
        <v>4</v>
      </c>
      <c r="F17" s="8">
        <v>2.5</v>
      </c>
      <c r="G17" s="12">
        <v>2</v>
      </c>
      <c r="H17" s="8">
        <v>1.89</v>
      </c>
      <c r="I17" s="12">
        <v>0</v>
      </c>
    </row>
    <row r="18" spans="2:9" ht="15" customHeight="1" x14ac:dyDescent="0.2">
      <c r="B18" t="s">
        <v>91</v>
      </c>
      <c r="C18" s="12">
        <v>8</v>
      </c>
      <c r="D18" s="8">
        <v>2.93</v>
      </c>
      <c r="E18" s="12">
        <v>4</v>
      </c>
      <c r="F18" s="8">
        <v>2.5</v>
      </c>
      <c r="G18" s="12">
        <v>2</v>
      </c>
      <c r="H18" s="8">
        <v>1.89</v>
      </c>
      <c r="I18" s="12">
        <v>0</v>
      </c>
    </row>
    <row r="19" spans="2:9" ht="15" customHeight="1" x14ac:dyDescent="0.2">
      <c r="B19" t="s">
        <v>92</v>
      </c>
      <c r="C19" s="12">
        <v>6</v>
      </c>
      <c r="D19" s="8">
        <v>2.2000000000000002</v>
      </c>
      <c r="E19" s="12">
        <v>3</v>
      </c>
      <c r="F19" s="8">
        <v>1.88</v>
      </c>
      <c r="G19" s="12">
        <v>2</v>
      </c>
      <c r="H19" s="8">
        <v>1.89</v>
      </c>
      <c r="I19" s="12">
        <v>0</v>
      </c>
    </row>
    <row r="20" spans="2:9" ht="15" customHeight="1" x14ac:dyDescent="0.2">
      <c r="B20" s="9" t="s">
        <v>363</v>
      </c>
      <c r="C20" s="12">
        <f>SUM(LTBL_20583[総数／事業所数])</f>
        <v>273</v>
      </c>
      <c r="E20" s="12">
        <f>SUBTOTAL(109,LTBL_20583[個人／事業所数])</f>
        <v>160</v>
      </c>
      <c r="G20" s="12">
        <f>SUBTOTAL(109,LTBL_20583[法人／事業所数])</f>
        <v>106</v>
      </c>
      <c r="I20" s="12">
        <f>SUBTOTAL(109,LTBL_20583[法人以外の団体／事業所数])</f>
        <v>0</v>
      </c>
    </row>
    <row r="21" spans="2:9" ht="15" customHeight="1" x14ac:dyDescent="0.2">
      <c r="E21" s="11">
        <f>LTBL_20583[[#Totals],[個人／事業所数]]/LTBL_20583[[#Totals],[総数／事業所数]]</f>
        <v>0.58608058608058611</v>
      </c>
      <c r="G21" s="11">
        <f>LTBL_20583[[#Totals],[法人／事業所数]]/LTBL_20583[[#Totals],[総数／事業所数]]</f>
        <v>0.38827838827838829</v>
      </c>
      <c r="I21" s="11">
        <f>LTBL_20583[[#Totals],[法人以外の団体／事業所数]]/LTBL_20583[[#Totals],[総数／事業所数]]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114</v>
      </c>
      <c r="C24" s="12">
        <v>45</v>
      </c>
      <c r="D24" s="8">
        <v>16.48</v>
      </c>
      <c r="E24" s="12">
        <v>36</v>
      </c>
      <c r="F24" s="8">
        <v>22.5</v>
      </c>
      <c r="G24" s="12">
        <v>9</v>
      </c>
      <c r="H24" s="8">
        <v>8.49</v>
      </c>
      <c r="I24" s="12">
        <v>0</v>
      </c>
    </row>
    <row r="25" spans="2:9" ht="15" customHeight="1" x14ac:dyDescent="0.2">
      <c r="B25" t="s">
        <v>115</v>
      </c>
      <c r="C25" s="12">
        <v>32</v>
      </c>
      <c r="D25" s="8">
        <v>11.72</v>
      </c>
      <c r="E25" s="12">
        <v>24</v>
      </c>
      <c r="F25" s="8">
        <v>15</v>
      </c>
      <c r="G25" s="12">
        <v>8</v>
      </c>
      <c r="H25" s="8">
        <v>7.55</v>
      </c>
      <c r="I25" s="12">
        <v>0</v>
      </c>
    </row>
    <row r="26" spans="2:9" ht="15" customHeight="1" x14ac:dyDescent="0.2">
      <c r="B26" t="s">
        <v>101</v>
      </c>
      <c r="C26" s="12">
        <v>28</v>
      </c>
      <c r="D26" s="8">
        <v>10.26</v>
      </c>
      <c r="E26" s="12">
        <v>5</v>
      </c>
      <c r="F26" s="8">
        <v>3.13</v>
      </c>
      <c r="G26" s="12">
        <v>23</v>
      </c>
      <c r="H26" s="8">
        <v>21.7</v>
      </c>
      <c r="I26" s="12">
        <v>0</v>
      </c>
    </row>
    <row r="27" spans="2:9" ht="15" customHeight="1" x14ac:dyDescent="0.2">
      <c r="B27" t="s">
        <v>110</v>
      </c>
      <c r="C27" s="12">
        <v>19</v>
      </c>
      <c r="D27" s="8">
        <v>6.96</v>
      </c>
      <c r="E27" s="12">
        <v>14</v>
      </c>
      <c r="F27" s="8">
        <v>8.75</v>
      </c>
      <c r="G27" s="12">
        <v>5</v>
      </c>
      <c r="H27" s="8">
        <v>4.72</v>
      </c>
      <c r="I27" s="12">
        <v>0</v>
      </c>
    </row>
    <row r="28" spans="2:9" ht="15" customHeight="1" x14ac:dyDescent="0.2">
      <c r="B28" t="s">
        <v>116</v>
      </c>
      <c r="C28" s="12">
        <v>18</v>
      </c>
      <c r="D28" s="8">
        <v>6.59</v>
      </c>
      <c r="E28" s="12">
        <v>14</v>
      </c>
      <c r="F28" s="8">
        <v>8.75</v>
      </c>
      <c r="G28" s="12">
        <v>4</v>
      </c>
      <c r="H28" s="8">
        <v>3.77</v>
      </c>
      <c r="I28" s="12">
        <v>0</v>
      </c>
    </row>
    <row r="29" spans="2:9" ht="15" customHeight="1" x14ac:dyDescent="0.2">
      <c r="B29" t="s">
        <v>108</v>
      </c>
      <c r="C29" s="12">
        <v>14</v>
      </c>
      <c r="D29" s="8">
        <v>5.13</v>
      </c>
      <c r="E29" s="12">
        <v>10</v>
      </c>
      <c r="F29" s="8">
        <v>6.25</v>
      </c>
      <c r="G29" s="12">
        <v>4</v>
      </c>
      <c r="H29" s="8">
        <v>3.77</v>
      </c>
      <c r="I29" s="12">
        <v>0</v>
      </c>
    </row>
    <row r="30" spans="2:9" ht="15" customHeight="1" x14ac:dyDescent="0.2">
      <c r="B30" t="s">
        <v>102</v>
      </c>
      <c r="C30" s="12">
        <v>13</v>
      </c>
      <c r="D30" s="8">
        <v>4.76</v>
      </c>
      <c r="E30" s="12">
        <v>11</v>
      </c>
      <c r="F30" s="8">
        <v>6.88</v>
      </c>
      <c r="G30" s="12">
        <v>2</v>
      </c>
      <c r="H30" s="8">
        <v>1.89</v>
      </c>
      <c r="I30" s="12">
        <v>0</v>
      </c>
    </row>
    <row r="31" spans="2:9" ht="15" customHeight="1" x14ac:dyDescent="0.2">
      <c r="B31" t="s">
        <v>104</v>
      </c>
      <c r="C31" s="12">
        <v>9</v>
      </c>
      <c r="D31" s="8">
        <v>3.3</v>
      </c>
      <c r="E31" s="12">
        <v>7</v>
      </c>
      <c r="F31" s="8">
        <v>4.38</v>
      </c>
      <c r="G31" s="12">
        <v>2</v>
      </c>
      <c r="H31" s="8">
        <v>1.89</v>
      </c>
      <c r="I31" s="12">
        <v>0</v>
      </c>
    </row>
    <row r="32" spans="2:9" ht="15" customHeight="1" x14ac:dyDescent="0.2">
      <c r="B32" t="s">
        <v>109</v>
      </c>
      <c r="C32" s="12">
        <v>9</v>
      </c>
      <c r="D32" s="8">
        <v>3.3</v>
      </c>
      <c r="E32" s="12">
        <v>6</v>
      </c>
      <c r="F32" s="8">
        <v>3.75</v>
      </c>
      <c r="G32" s="12">
        <v>3</v>
      </c>
      <c r="H32" s="8">
        <v>2.83</v>
      </c>
      <c r="I32" s="12">
        <v>0</v>
      </c>
    </row>
    <row r="33" spans="2:9" ht="15" customHeight="1" x14ac:dyDescent="0.2">
      <c r="B33" t="s">
        <v>117</v>
      </c>
      <c r="C33" s="12">
        <v>9</v>
      </c>
      <c r="D33" s="8">
        <v>3.3</v>
      </c>
      <c r="E33" s="12">
        <v>4</v>
      </c>
      <c r="F33" s="8">
        <v>2.5</v>
      </c>
      <c r="G33" s="12">
        <v>2</v>
      </c>
      <c r="H33" s="8">
        <v>1.89</v>
      </c>
      <c r="I33" s="12">
        <v>0</v>
      </c>
    </row>
    <row r="34" spans="2:9" ht="15" customHeight="1" x14ac:dyDescent="0.2">
      <c r="B34" t="s">
        <v>103</v>
      </c>
      <c r="C34" s="12">
        <v>8</v>
      </c>
      <c r="D34" s="8">
        <v>2.93</v>
      </c>
      <c r="E34" s="12">
        <v>3</v>
      </c>
      <c r="F34" s="8">
        <v>1.88</v>
      </c>
      <c r="G34" s="12">
        <v>5</v>
      </c>
      <c r="H34" s="8">
        <v>4.72</v>
      </c>
      <c r="I34" s="12">
        <v>0</v>
      </c>
    </row>
    <row r="35" spans="2:9" ht="15" customHeight="1" x14ac:dyDescent="0.2">
      <c r="B35" t="s">
        <v>113</v>
      </c>
      <c r="C35" s="12">
        <v>8</v>
      </c>
      <c r="D35" s="8">
        <v>2.93</v>
      </c>
      <c r="E35" s="12">
        <v>3</v>
      </c>
      <c r="F35" s="8">
        <v>1.88</v>
      </c>
      <c r="G35" s="12">
        <v>5</v>
      </c>
      <c r="H35" s="8">
        <v>4.72</v>
      </c>
      <c r="I35" s="12">
        <v>0</v>
      </c>
    </row>
    <row r="36" spans="2:9" ht="15" customHeight="1" x14ac:dyDescent="0.2">
      <c r="B36" t="s">
        <v>107</v>
      </c>
      <c r="C36" s="12">
        <v>7</v>
      </c>
      <c r="D36" s="8">
        <v>2.56</v>
      </c>
      <c r="E36" s="12">
        <v>5</v>
      </c>
      <c r="F36" s="8">
        <v>3.13</v>
      </c>
      <c r="G36" s="12">
        <v>2</v>
      </c>
      <c r="H36" s="8">
        <v>1.89</v>
      </c>
      <c r="I36" s="12">
        <v>0</v>
      </c>
    </row>
    <row r="37" spans="2:9" ht="15" customHeight="1" x14ac:dyDescent="0.2">
      <c r="B37" t="s">
        <v>112</v>
      </c>
      <c r="C37" s="12">
        <v>6</v>
      </c>
      <c r="D37" s="8">
        <v>2.2000000000000002</v>
      </c>
      <c r="E37" s="12">
        <v>4</v>
      </c>
      <c r="F37" s="8">
        <v>2.5</v>
      </c>
      <c r="G37" s="12">
        <v>2</v>
      </c>
      <c r="H37" s="8">
        <v>1.89</v>
      </c>
      <c r="I37" s="12">
        <v>0</v>
      </c>
    </row>
    <row r="38" spans="2:9" ht="15" customHeight="1" x14ac:dyDescent="0.2">
      <c r="B38" t="s">
        <v>118</v>
      </c>
      <c r="C38" s="12">
        <v>5</v>
      </c>
      <c r="D38" s="8">
        <v>1.83</v>
      </c>
      <c r="E38" s="12">
        <v>4</v>
      </c>
      <c r="F38" s="8">
        <v>2.5</v>
      </c>
      <c r="G38" s="12">
        <v>1</v>
      </c>
      <c r="H38" s="8">
        <v>0.94</v>
      </c>
      <c r="I38" s="12">
        <v>0</v>
      </c>
    </row>
    <row r="39" spans="2:9" ht="15" customHeight="1" x14ac:dyDescent="0.2">
      <c r="B39" t="s">
        <v>127</v>
      </c>
      <c r="C39" s="12">
        <v>4</v>
      </c>
      <c r="D39" s="8">
        <v>1.47</v>
      </c>
      <c r="E39" s="12">
        <v>1</v>
      </c>
      <c r="F39" s="8">
        <v>0.63</v>
      </c>
      <c r="G39" s="12">
        <v>3</v>
      </c>
      <c r="H39" s="8">
        <v>2.83</v>
      </c>
      <c r="I39" s="12">
        <v>0</v>
      </c>
    </row>
    <row r="40" spans="2:9" ht="15" customHeight="1" x14ac:dyDescent="0.2">
      <c r="B40" t="s">
        <v>122</v>
      </c>
      <c r="C40" s="12">
        <v>4</v>
      </c>
      <c r="D40" s="8">
        <v>1.47</v>
      </c>
      <c r="E40" s="12">
        <v>0</v>
      </c>
      <c r="F40" s="8">
        <v>0</v>
      </c>
      <c r="G40" s="12">
        <v>4</v>
      </c>
      <c r="H40" s="8">
        <v>3.77</v>
      </c>
      <c r="I40" s="12">
        <v>0</v>
      </c>
    </row>
    <row r="41" spans="2:9" ht="15" customHeight="1" x14ac:dyDescent="0.2">
      <c r="B41" t="s">
        <v>137</v>
      </c>
      <c r="C41" s="12">
        <v>3</v>
      </c>
      <c r="D41" s="8">
        <v>1.1000000000000001</v>
      </c>
      <c r="E41" s="12">
        <v>1</v>
      </c>
      <c r="F41" s="8">
        <v>0.63</v>
      </c>
      <c r="G41" s="12">
        <v>2</v>
      </c>
      <c r="H41" s="8">
        <v>1.89</v>
      </c>
      <c r="I41" s="12">
        <v>0</v>
      </c>
    </row>
    <row r="42" spans="2:9" ht="15" customHeight="1" x14ac:dyDescent="0.2">
      <c r="B42" t="s">
        <v>111</v>
      </c>
      <c r="C42" s="12">
        <v>3</v>
      </c>
      <c r="D42" s="8">
        <v>1.1000000000000001</v>
      </c>
      <c r="E42" s="12">
        <v>0</v>
      </c>
      <c r="F42" s="8">
        <v>0</v>
      </c>
      <c r="G42" s="12">
        <v>3</v>
      </c>
      <c r="H42" s="8">
        <v>2.83</v>
      </c>
      <c r="I42" s="12">
        <v>0</v>
      </c>
    </row>
    <row r="43" spans="2:9" ht="15" customHeight="1" x14ac:dyDescent="0.2">
      <c r="B43" t="s">
        <v>132</v>
      </c>
      <c r="C43" s="12">
        <v>3</v>
      </c>
      <c r="D43" s="8">
        <v>1.1000000000000001</v>
      </c>
      <c r="E43" s="12">
        <v>2</v>
      </c>
      <c r="F43" s="8">
        <v>1.25</v>
      </c>
      <c r="G43" s="12">
        <v>1</v>
      </c>
      <c r="H43" s="8">
        <v>0.94</v>
      </c>
      <c r="I43" s="12">
        <v>0</v>
      </c>
    </row>
    <row r="44" spans="2:9" ht="15" customHeight="1" x14ac:dyDescent="0.2">
      <c r="B44" t="s">
        <v>119</v>
      </c>
      <c r="C44" s="12">
        <v>3</v>
      </c>
      <c r="D44" s="8">
        <v>1.1000000000000001</v>
      </c>
      <c r="E44" s="12">
        <v>0</v>
      </c>
      <c r="F44" s="8">
        <v>0</v>
      </c>
      <c r="G44" s="12">
        <v>1</v>
      </c>
      <c r="H44" s="8">
        <v>0.94</v>
      </c>
      <c r="I44" s="12">
        <v>0</v>
      </c>
    </row>
    <row r="45" spans="2:9" ht="15" customHeight="1" x14ac:dyDescent="0.2">
      <c r="B45" t="s">
        <v>120</v>
      </c>
      <c r="C45" s="12">
        <v>3</v>
      </c>
      <c r="D45" s="8">
        <v>1.1000000000000001</v>
      </c>
      <c r="E45" s="12">
        <v>2</v>
      </c>
      <c r="F45" s="8">
        <v>1.25</v>
      </c>
      <c r="G45" s="12">
        <v>1</v>
      </c>
      <c r="H45" s="8">
        <v>0.94</v>
      </c>
      <c r="I45" s="12">
        <v>0</v>
      </c>
    </row>
    <row r="48" spans="2:9" ht="33" customHeight="1" x14ac:dyDescent="0.2">
      <c r="B48" t="s">
        <v>365</v>
      </c>
      <c r="C48" s="10" t="s">
        <v>94</v>
      </c>
      <c r="D48" s="10" t="s">
        <v>95</v>
      </c>
      <c r="E48" s="10" t="s">
        <v>96</v>
      </c>
      <c r="F48" s="10" t="s">
        <v>97</v>
      </c>
      <c r="G48" s="10" t="s">
        <v>98</v>
      </c>
      <c r="H48" s="10" t="s">
        <v>99</v>
      </c>
      <c r="I48" s="10" t="s">
        <v>100</v>
      </c>
    </row>
    <row r="49" spans="2:9" ht="15" customHeight="1" x14ac:dyDescent="0.2">
      <c r="B49" t="s">
        <v>185</v>
      </c>
      <c r="C49" s="12">
        <v>40</v>
      </c>
      <c r="D49" s="8">
        <v>14.65</v>
      </c>
      <c r="E49" s="12">
        <v>34</v>
      </c>
      <c r="F49" s="8">
        <v>21.25</v>
      </c>
      <c r="G49" s="12">
        <v>6</v>
      </c>
      <c r="H49" s="8">
        <v>5.66</v>
      </c>
      <c r="I49" s="12">
        <v>0</v>
      </c>
    </row>
    <row r="50" spans="2:9" ht="15" customHeight="1" x14ac:dyDescent="0.2">
      <c r="B50" t="s">
        <v>174</v>
      </c>
      <c r="C50" s="12">
        <v>15</v>
      </c>
      <c r="D50" s="8">
        <v>5.49</v>
      </c>
      <c r="E50" s="12">
        <v>2</v>
      </c>
      <c r="F50" s="8">
        <v>1.25</v>
      </c>
      <c r="G50" s="12">
        <v>13</v>
      </c>
      <c r="H50" s="8">
        <v>12.26</v>
      </c>
      <c r="I50" s="12">
        <v>0</v>
      </c>
    </row>
    <row r="51" spans="2:9" ht="15" customHeight="1" x14ac:dyDescent="0.2">
      <c r="B51" t="s">
        <v>186</v>
      </c>
      <c r="C51" s="12">
        <v>13</v>
      </c>
      <c r="D51" s="8">
        <v>4.76</v>
      </c>
      <c r="E51" s="12">
        <v>6</v>
      </c>
      <c r="F51" s="8">
        <v>3.75</v>
      </c>
      <c r="G51" s="12">
        <v>7</v>
      </c>
      <c r="H51" s="8">
        <v>6.6</v>
      </c>
      <c r="I51" s="12">
        <v>0</v>
      </c>
    </row>
    <row r="52" spans="2:9" ht="15" customHeight="1" x14ac:dyDescent="0.2">
      <c r="B52" t="s">
        <v>190</v>
      </c>
      <c r="C52" s="12">
        <v>8</v>
      </c>
      <c r="D52" s="8">
        <v>2.93</v>
      </c>
      <c r="E52" s="12">
        <v>8</v>
      </c>
      <c r="F52" s="8">
        <v>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353</v>
      </c>
      <c r="C53" s="12">
        <v>7</v>
      </c>
      <c r="D53" s="8">
        <v>2.56</v>
      </c>
      <c r="E53" s="12">
        <v>6</v>
      </c>
      <c r="F53" s="8">
        <v>3.75</v>
      </c>
      <c r="G53" s="12">
        <v>1</v>
      </c>
      <c r="H53" s="8">
        <v>0.94</v>
      </c>
      <c r="I53" s="12">
        <v>0</v>
      </c>
    </row>
    <row r="54" spans="2:9" ht="15" customHeight="1" x14ac:dyDescent="0.2">
      <c r="B54" t="s">
        <v>180</v>
      </c>
      <c r="C54" s="12">
        <v>7</v>
      </c>
      <c r="D54" s="8">
        <v>2.56</v>
      </c>
      <c r="E54" s="12">
        <v>4</v>
      </c>
      <c r="F54" s="8">
        <v>2.5</v>
      </c>
      <c r="G54" s="12">
        <v>3</v>
      </c>
      <c r="H54" s="8">
        <v>2.83</v>
      </c>
      <c r="I54" s="12">
        <v>0</v>
      </c>
    </row>
    <row r="55" spans="2:9" ht="15" customHeight="1" x14ac:dyDescent="0.2">
      <c r="B55" t="s">
        <v>191</v>
      </c>
      <c r="C55" s="12">
        <v>7</v>
      </c>
      <c r="D55" s="8">
        <v>2.56</v>
      </c>
      <c r="E55" s="12">
        <v>5</v>
      </c>
      <c r="F55" s="8">
        <v>3.13</v>
      </c>
      <c r="G55" s="12">
        <v>2</v>
      </c>
      <c r="H55" s="8">
        <v>1.89</v>
      </c>
      <c r="I55" s="12">
        <v>0</v>
      </c>
    </row>
    <row r="56" spans="2:9" ht="15" customHeight="1" x14ac:dyDescent="0.2">
      <c r="B56" t="s">
        <v>176</v>
      </c>
      <c r="C56" s="12">
        <v>6</v>
      </c>
      <c r="D56" s="8">
        <v>2.2000000000000002</v>
      </c>
      <c r="E56" s="12">
        <v>2</v>
      </c>
      <c r="F56" s="8">
        <v>1.25</v>
      </c>
      <c r="G56" s="12">
        <v>4</v>
      </c>
      <c r="H56" s="8">
        <v>3.77</v>
      </c>
      <c r="I56" s="12">
        <v>0</v>
      </c>
    </row>
    <row r="57" spans="2:9" ht="15" customHeight="1" x14ac:dyDescent="0.2">
      <c r="B57" t="s">
        <v>210</v>
      </c>
      <c r="C57" s="12">
        <v>6</v>
      </c>
      <c r="D57" s="8">
        <v>2.2000000000000002</v>
      </c>
      <c r="E57" s="12">
        <v>6</v>
      </c>
      <c r="F57" s="8">
        <v>3.75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198</v>
      </c>
      <c r="C58" s="12">
        <v>6</v>
      </c>
      <c r="D58" s="8">
        <v>2.2000000000000002</v>
      </c>
      <c r="E58" s="12">
        <v>6</v>
      </c>
      <c r="F58" s="8">
        <v>3.75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177</v>
      </c>
      <c r="C59" s="12">
        <v>5</v>
      </c>
      <c r="D59" s="8">
        <v>1.83</v>
      </c>
      <c r="E59" s="12">
        <v>1</v>
      </c>
      <c r="F59" s="8">
        <v>0.63</v>
      </c>
      <c r="G59" s="12">
        <v>4</v>
      </c>
      <c r="H59" s="8">
        <v>3.77</v>
      </c>
      <c r="I59" s="12">
        <v>0</v>
      </c>
    </row>
    <row r="60" spans="2:9" ht="15" customHeight="1" x14ac:dyDescent="0.2">
      <c r="B60" t="s">
        <v>181</v>
      </c>
      <c r="C60" s="12">
        <v>5</v>
      </c>
      <c r="D60" s="8">
        <v>1.83</v>
      </c>
      <c r="E60" s="12">
        <v>4</v>
      </c>
      <c r="F60" s="8">
        <v>2.5</v>
      </c>
      <c r="G60" s="12">
        <v>1</v>
      </c>
      <c r="H60" s="8">
        <v>0.94</v>
      </c>
      <c r="I60" s="12">
        <v>0</v>
      </c>
    </row>
    <row r="61" spans="2:9" ht="15" customHeight="1" x14ac:dyDescent="0.2">
      <c r="B61" t="s">
        <v>184</v>
      </c>
      <c r="C61" s="12">
        <v>5</v>
      </c>
      <c r="D61" s="8">
        <v>1.83</v>
      </c>
      <c r="E61" s="12">
        <v>1</v>
      </c>
      <c r="F61" s="8">
        <v>0.63</v>
      </c>
      <c r="G61" s="12">
        <v>4</v>
      </c>
      <c r="H61" s="8">
        <v>3.77</v>
      </c>
      <c r="I61" s="12">
        <v>0</v>
      </c>
    </row>
    <row r="62" spans="2:9" ht="15" customHeight="1" x14ac:dyDescent="0.2">
      <c r="B62" t="s">
        <v>192</v>
      </c>
      <c r="C62" s="12">
        <v>5</v>
      </c>
      <c r="D62" s="8">
        <v>1.83</v>
      </c>
      <c r="E62" s="12">
        <v>4</v>
      </c>
      <c r="F62" s="8">
        <v>2.5</v>
      </c>
      <c r="G62" s="12">
        <v>1</v>
      </c>
      <c r="H62" s="8">
        <v>0.94</v>
      </c>
      <c r="I62" s="12">
        <v>0</v>
      </c>
    </row>
    <row r="63" spans="2:9" ht="15" customHeight="1" x14ac:dyDescent="0.2">
      <c r="B63" t="s">
        <v>175</v>
      </c>
      <c r="C63" s="12">
        <v>4</v>
      </c>
      <c r="D63" s="8">
        <v>1.47</v>
      </c>
      <c r="E63" s="12">
        <v>1</v>
      </c>
      <c r="F63" s="8">
        <v>0.63</v>
      </c>
      <c r="G63" s="12">
        <v>3</v>
      </c>
      <c r="H63" s="8">
        <v>2.83</v>
      </c>
      <c r="I63" s="12">
        <v>0</v>
      </c>
    </row>
    <row r="64" spans="2:9" ht="15" customHeight="1" x14ac:dyDescent="0.2">
      <c r="B64" t="s">
        <v>295</v>
      </c>
      <c r="C64" s="12">
        <v>4</v>
      </c>
      <c r="D64" s="8">
        <v>1.47</v>
      </c>
      <c r="E64" s="12">
        <v>0</v>
      </c>
      <c r="F64" s="8">
        <v>0</v>
      </c>
      <c r="G64" s="12">
        <v>4</v>
      </c>
      <c r="H64" s="8">
        <v>3.77</v>
      </c>
      <c r="I64" s="12">
        <v>0</v>
      </c>
    </row>
    <row r="65" spans="2:9" ht="15" customHeight="1" x14ac:dyDescent="0.2">
      <c r="B65" t="s">
        <v>226</v>
      </c>
      <c r="C65" s="12">
        <v>4</v>
      </c>
      <c r="D65" s="8">
        <v>1.47</v>
      </c>
      <c r="E65" s="12">
        <v>3</v>
      </c>
      <c r="F65" s="8">
        <v>1.88</v>
      </c>
      <c r="G65" s="12">
        <v>1</v>
      </c>
      <c r="H65" s="8">
        <v>0.94</v>
      </c>
      <c r="I65" s="12">
        <v>0</v>
      </c>
    </row>
    <row r="66" spans="2:9" ht="15" customHeight="1" x14ac:dyDescent="0.2">
      <c r="B66" t="s">
        <v>233</v>
      </c>
      <c r="C66" s="12">
        <v>4</v>
      </c>
      <c r="D66" s="8">
        <v>1.47</v>
      </c>
      <c r="E66" s="12">
        <v>3</v>
      </c>
      <c r="F66" s="8">
        <v>1.88</v>
      </c>
      <c r="G66" s="12">
        <v>1</v>
      </c>
      <c r="H66" s="8">
        <v>0.94</v>
      </c>
      <c r="I66" s="12">
        <v>0</v>
      </c>
    </row>
    <row r="67" spans="2:9" ht="15" customHeight="1" x14ac:dyDescent="0.2">
      <c r="B67" t="s">
        <v>187</v>
      </c>
      <c r="C67" s="12">
        <v>4</v>
      </c>
      <c r="D67" s="8">
        <v>1.47</v>
      </c>
      <c r="E67" s="12">
        <v>4</v>
      </c>
      <c r="F67" s="8">
        <v>2.5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220</v>
      </c>
      <c r="C68" s="12">
        <v>4</v>
      </c>
      <c r="D68" s="8">
        <v>1.47</v>
      </c>
      <c r="E68" s="12">
        <v>4</v>
      </c>
      <c r="F68" s="8">
        <v>2.5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223</v>
      </c>
      <c r="C69" s="12">
        <v>4</v>
      </c>
      <c r="D69" s="8">
        <v>1.47</v>
      </c>
      <c r="E69" s="12">
        <v>0</v>
      </c>
      <c r="F69" s="8">
        <v>0</v>
      </c>
      <c r="G69" s="12">
        <v>1</v>
      </c>
      <c r="H69" s="8">
        <v>0.94</v>
      </c>
      <c r="I69" s="12">
        <v>0</v>
      </c>
    </row>
    <row r="71" spans="2:9" ht="15" customHeight="1" x14ac:dyDescent="0.2">
      <c r="B71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A379F-7271-445B-8E92-6834CC4A724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369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0.05</v>
      </c>
      <c r="I5" s="12">
        <v>0</v>
      </c>
    </row>
    <row r="6" spans="2:9" ht="15" customHeight="1" x14ac:dyDescent="0.2">
      <c r="B6" t="s">
        <v>79</v>
      </c>
      <c r="C6" s="12">
        <v>580</v>
      </c>
      <c r="D6" s="8">
        <v>13.48</v>
      </c>
      <c r="E6" s="12">
        <v>231</v>
      </c>
      <c r="F6" s="8">
        <v>10.49</v>
      </c>
      <c r="G6" s="12">
        <v>349</v>
      </c>
      <c r="H6" s="8">
        <v>16.98</v>
      </c>
      <c r="I6" s="12">
        <v>0</v>
      </c>
    </row>
    <row r="7" spans="2:9" ht="15" customHeight="1" x14ac:dyDescent="0.2">
      <c r="B7" t="s">
        <v>80</v>
      </c>
      <c r="C7" s="12">
        <v>547</v>
      </c>
      <c r="D7" s="8">
        <v>12.72</v>
      </c>
      <c r="E7" s="12">
        <v>201</v>
      </c>
      <c r="F7" s="8">
        <v>9.1199999999999992</v>
      </c>
      <c r="G7" s="12">
        <v>346</v>
      </c>
      <c r="H7" s="8">
        <v>16.84</v>
      </c>
      <c r="I7" s="12">
        <v>0</v>
      </c>
    </row>
    <row r="8" spans="2:9" ht="15" customHeight="1" x14ac:dyDescent="0.2">
      <c r="B8" t="s">
        <v>81</v>
      </c>
      <c r="C8" s="12">
        <v>7</v>
      </c>
      <c r="D8" s="8">
        <v>0.16</v>
      </c>
      <c r="E8" s="12">
        <v>0</v>
      </c>
      <c r="F8" s="8">
        <v>0</v>
      </c>
      <c r="G8" s="12">
        <v>5</v>
      </c>
      <c r="H8" s="8">
        <v>0.24</v>
      </c>
      <c r="I8" s="12">
        <v>0</v>
      </c>
    </row>
    <row r="9" spans="2:9" ht="15" customHeight="1" x14ac:dyDescent="0.2">
      <c r="B9" t="s">
        <v>82</v>
      </c>
      <c r="C9" s="12">
        <v>36</v>
      </c>
      <c r="D9" s="8">
        <v>0.84</v>
      </c>
      <c r="E9" s="12">
        <v>6</v>
      </c>
      <c r="F9" s="8">
        <v>0.27</v>
      </c>
      <c r="G9" s="12">
        <v>30</v>
      </c>
      <c r="H9" s="8">
        <v>1.46</v>
      </c>
      <c r="I9" s="12">
        <v>0</v>
      </c>
    </row>
    <row r="10" spans="2:9" ht="15" customHeight="1" x14ac:dyDescent="0.2">
      <c r="B10" t="s">
        <v>83</v>
      </c>
      <c r="C10" s="12">
        <v>29</v>
      </c>
      <c r="D10" s="8">
        <v>0.67</v>
      </c>
      <c r="E10" s="12">
        <v>5</v>
      </c>
      <c r="F10" s="8">
        <v>0.23</v>
      </c>
      <c r="G10" s="12">
        <v>21</v>
      </c>
      <c r="H10" s="8">
        <v>1.02</v>
      </c>
      <c r="I10" s="12">
        <v>3</v>
      </c>
    </row>
    <row r="11" spans="2:9" ht="15" customHeight="1" x14ac:dyDescent="0.2">
      <c r="B11" t="s">
        <v>84</v>
      </c>
      <c r="C11" s="12">
        <v>933</v>
      </c>
      <c r="D11" s="8">
        <v>21.69</v>
      </c>
      <c r="E11" s="12">
        <v>331</v>
      </c>
      <c r="F11" s="8">
        <v>15.02</v>
      </c>
      <c r="G11" s="12">
        <v>602</v>
      </c>
      <c r="H11" s="8">
        <v>29.29</v>
      </c>
      <c r="I11" s="12">
        <v>0</v>
      </c>
    </row>
    <row r="12" spans="2:9" ht="15" customHeight="1" x14ac:dyDescent="0.2">
      <c r="B12" t="s">
        <v>85</v>
      </c>
      <c r="C12" s="12">
        <v>20</v>
      </c>
      <c r="D12" s="8">
        <v>0.46</v>
      </c>
      <c r="E12" s="12">
        <v>6</v>
      </c>
      <c r="F12" s="8">
        <v>0.27</v>
      </c>
      <c r="G12" s="12">
        <v>14</v>
      </c>
      <c r="H12" s="8">
        <v>0.68</v>
      </c>
      <c r="I12" s="12">
        <v>0</v>
      </c>
    </row>
    <row r="13" spans="2:9" ht="15" customHeight="1" x14ac:dyDescent="0.2">
      <c r="B13" t="s">
        <v>86</v>
      </c>
      <c r="C13" s="12">
        <v>450</v>
      </c>
      <c r="D13" s="8">
        <v>10.46</v>
      </c>
      <c r="E13" s="12">
        <v>244</v>
      </c>
      <c r="F13" s="8">
        <v>11.08</v>
      </c>
      <c r="G13" s="12">
        <v>205</v>
      </c>
      <c r="H13" s="8">
        <v>9.98</v>
      </c>
      <c r="I13" s="12">
        <v>0</v>
      </c>
    </row>
    <row r="14" spans="2:9" ht="15" customHeight="1" x14ac:dyDescent="0.2">
      <c r="B14" t="s">
        <v>87</v>
      </c>
      <c r="C14" s="12">
        <v>239</v>
      </c>
      <c r="D14" s="8">
        <v>5.56</v>
      </c>
      <c r="E14" s="12">
        <v>146</v>
      </c>
      <c r="F14" s="8">
        <v>6.63</v>
      </c>
      <c r="G14" s="12">
        <v>91</v>
      </c>
      <c r="H14" s="8">
        <v>4.43</v>
      </c>
      <c r="I14" s="12">
        <v>1</v>
      </c>
    </row>
    <row r="15" spans="2:9" ht="15" customHeight="1" x14ac:dyDescent="0.2">
      <c r="B15" t="s">
        <v>88</v>
      </c>
      <c r="C15" s="12">
        <v>527</v>
      </c>
      <c r="D15" s="8">
        <v>12.25</v>
      </c>
      <c r="E15" s="12">
        <v>408</v>
      </c>
      <c r="F15" s="8">
        <v>18.52</v>
      </c>
      <c r="G15" s="12">
        <v>119</v>
      </c>
      <c r="H15" s="8">
        <v>5.79</v>
      </c>
      <c r="I15" s="12">
        <v>0</v>
      </c>
    </row>
    <row r="16" spans="2:9" ht="15" customHeight="1" x14ac:dyDescent="0.2">
      <c r="B16" t="s">
        <v>89</v>
      </c>
      <c r="C16" s="12">
        <v>473</v>
      </c>
      <c r="D16" s="8">
        <v>10.99</v>
      </c>
      <c r="E16" s="12">
        <v>378</v>
      </c>
      <c r="F16" s="8">
        <v>17.16</v>
      </c>
      <c r="G16" s="12">
        <v>92</v>
      </c>
      <c r="H16" s="8">
        <v>4.4800000000000004</v>
      </c>
      <c r="I16" s="12">
        <v>1</v>
      </c>
    </row>
    <row r="17" spans="2:9" ht="15" customHeight="1" x14ac:dyDescent="0.2">
      <c r="B17" t="s">
        <v>90</v>
      </c>
      <c r="C17" s="12">
        <v>122</v>
      </c>
      <c r="D17" s="8">
        <v>2.84</v>
      </c>
      <c r="E17" s="12">
        <v>71</v>
      </c>
      <c r="F17" s="8">
        <v>3.22</v>
      </c>
      <c r="G17" s="12">
        <v>35</v>
      </c>
      <c r="H17" s="8">
        <v>1.7</v>
      </c>
      <c r="I17" s="12">
        <v>2</v>
      </c>
    </row>
    <row r="18" spans="2:9" ht="15" customHeight="1" x14ac:dyDescent="0.2">
      <c r="B18" t="s">
        <v>91</v>
      </c>
      <c r="C18" s="12">
        <v>184</v>
      </c>
      <c r="D18" s="8">
        <v>4.28</v>
      </c>
      <c r="E18" s="12">
        <v>123</v>
      </c>
      <c r="F18" s="8">
        <v>5.58</v>
      </c>
      <c r="G18" s="12">
        <v>53</v>
      </c>
      <c r="H18" s="8">
        <v>2.58</v>
      </c>
      <c r="I18" s="12">
        <v>0</v>
      </c>
    </row>
    <row r="19" spans="2:9" ht="15" customHeight="1" x14ac:dyDescent="0.2">
      <c r="B19" t="s">
        <v>92</v>
      </c>
      <c r="C19" s="12">
        <v>154</v>
      </c>
      <c r="D19" s="8">
        <v>3.58</v>
      </c>
      <c r="E19" s="12">
        <v>53</v>
      </c>
      <c r="F19" s="8">
        <v>2.41</v>
      </c>
      <c r="G19" s="12">
        <v>92</v>
      </c>
      <c r="H19" s="8">
        <v>4.4800000000000004</v>
      </c>
      <c r="I19" s="12">
        <v>4</v>
      </c>
    </row>
    <row r="20" spans="2:9" ht="15" customHeight="1" x14ac:dyDescent="0.2">
      <c r="B20" s="9" t="s">
        <v>363</v>
      </c>
      <c r="C20" s="12">
        <f>SUM(LTBL_20203[総数／事業所数])</f>
        <v>4302</v>
      </c>
      <c r="E20" s="12">
        <f>SUBTOTAL(109,LTBL_20203[個人／事業所数])</f>
        <v>2203</v>
      </c>
      <c r="G20" s="12">
        <f>SUBTOTAL(109,LTBL_20203[法人／事業所数])</f>
        <v>2055</v>
      </c>
      <c r="I20" s="12">
        <f>SUBTOTAL(109,LTBL_20203[法人以外の団体／事業所数])</f>
        <v>11</v>
      </c>
    </row>
    <row r="21" spans="2:9" ht="15" customHeight="1" x14ac:dyDescent="0.2">
      <c r="E21" s="11">
        <f>LTBL_20203[[#Totals],[個人／事業所数]]/LTBL_20203[[#Totals],[総数／事業所数]]</f>
        <v>0.51208740120874008</v>
      </c>
      <c r="G21" s="11">
        <f>LTBL_20203[[#Totals],[法人／事業所数]]/LTBL_20203[[#Totals],[総数／事業所数]]</f>
        <v>0.47768479776847977</v>
      </c>
      <c r="I21" s="11">
        <f>LTBL_20203[[#Totals],[法人以外の団体／事業所数]]/LTBL_20203[[#Totals],[総数／事業所数]]</f>
        <v>2.5569502556950256E-3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115</v>
      </c>
      <c r="C24" s="12">
        <v>431</v>
      </c>
      <c r="D24" s="8">
        <v>10.02</v>
      </c>
      <c r="E24" s="12">
        <v>360</v>
      </c>
      <c r="F24" s="8">
        <v>16.34</v>
      </c>
      <c r="G24" s="12">
        <v>71</v>
      </c>
      <c r="H24" s="8">
        <v>3.45</v>
      </c>
      <c r="I24" s="12">
        <v>0</v>
      </c>
    </row>
    <row r="25" spans="2:9" ht="15" customHeight="1" x14ac:dyDescent="0.2">
      <c r="B25" t="s">
        <v>116</v>
      </c>
      <c r="C25" s="12">
        <v>396</v>
      </c>
      <c r="D25" s="8">
        <v>9.2100000000000009</v>
      </c>
      <c r="E25" s="12">
        <v>345</v>
      </c>
      <c r="F25" s="8">
        <v>15.66</v>
      </c>
      <c r="G25" s="12">
        <v>51</v>
      </c>
      <c r="H25" s="8">
        <v>2.48</v>
      </c>
      <c r="I25" s="12">
        <v>0</v>
      </c>
    </row>
    <row r="26" spans="2:9" ht="15" customHeight="1" x14ac:dyDescent="0.2">
      <c r="B26" t="s">
        <v>111</v>
      </c>
      <c r="C26" s="12">
        <v>378</v>
      </c>
      <c r="D26" s="8">
        <v>8.7899999999999991</v>
      </c>
      <c r="E26" s="12">
        <v>232</v>
      </c>
      <c r="F26" s="8">
        <v>10.53</v>
      </c>
      <c r="G26" s="12">
        <v>145</v>
      </c>
      <c r="H26" s="8">
        <v>7.06</v>
      </c>
      <c r="I26" s="12">
        <v>0</v>
      </c>
    </row>
    <row r="27" spans="2:9" ht="15" customHeight="1" x14ac:dyDescent="0.2">
      <c r="B27" t="s">
        <v>110</v>
      </c>
      <c r="C27" s="12">
        <v>284</v>
      </c>
      <c r="D27" s="8">
        <v>6.6</v>
      </c>
      <c r="E27" s="12">
        <v>107</v>
      </c>
      <c r="F27" s="8">
        <v>4.8600000000000003</v>
      </c>
      <c r="G27" s="12">
        <v>177</v>
      </c>
      <c r="H27" s="8">
        <v>8.61</v>
      </c>
      <c r="I27" s="12">
        <v>0</v>
      </c>
    </row>
    <row r="28" spans="2:9" ht="15" customHeight="1" x14ac:dyDescent="0.2">
      <c r="B28" t="s">
        <v>101</v>
      </c>
      <c r="C28" s="12">
        <v>279</v>
      </c>
      <c r="D28" s="8">
        <v>6.49</v>
      </c>
      <c r="E28" s="12">
        <v>83</v>
      </c>
      <c r="F28" s="8">
        <v>3.77</v>
      </c>
      <c r="G28" s="12">
        <v>196</v>
      </c>
      <c r="H28" s="8">
        <v>9.5399999999999991</v>
      </c>
      <c r="I28" s="12">
        <v>0</v>
      </c>
    </row>
    <row r="29" spans="2:9" ht="15" customHeight="1" x14ac:dyDescent="0.2">
      <c r="B29" t="s">
        <v>102</v>
      </c>
      <c r="C29" s="12">
        <v>175</v>
      </c>
      <c r="D29" s="8">
        <v>4.07</v>
      </c>
      <c r="E29" s="12">
        <v>98</v>
      </c>
      <c r="F29" s="8">
        <v>4.45</v>
      </c>
      <c r="G29" s="12">
        <v>77</v>
      </c>
      <c r="H29" s="8">
        <v>3.75</v>
      </c>
      <c r="I29" s="12">
        <v>0</v>
      </c>
    </row>
    <row r="30" spans="2:9" ht="15" customHeight="1" x14ac:dyDescent="0.2">
      <c r="B30" t="s">
        <v>108</v>
      </c>
      <c r="C30" s="12">
        <v>152</v>
      </c>
      <c r="D30" s="8">
        <v>3.53</v>
      </c>
      <c r="E30" s="12">
        <v>92</v>
      </c>
      <c r="F30" s="8">
        <v>4.18</v>
      </c>
      <c r="G30" s="12">
        <v>60</v>
      </c>
      <c r="H30" s="8">
        <v>2.92</v>
      </c>
      <c r="I30" s="12">
        <v>0</v>
      </c>
    </row>
    <row r="31" spans="2:9" ht="15" customHeight="1" x14ac:dyDescent="0.2">
      <c r="B31" t="s">
        <v>109</v>
      </c>
      <c r="C31" s="12">
        <v>152</v>
      </c>
      <c r="D31" s="8">
        <v>3.53</v>
      </c>
      <c r="E31" s="12">
        <v>73</v>
      </c>
      <c r="F31" s="8">
        <v>3.31</v>
      </c>
      <c r="G31" s="12">
        <v>79</v>
      </c>
      <c r="H31" s="8">
        <v>3.84</v>
      </c>
      <c r="I31" s="12">
        <v>0</v>
      </c>
    </row>
    <row r="32" spans="2:9" ht="15" customHeight="1" x14ac:dyDescent="0.2">
      <c r="B32" t="s">
        <v>118</v>
      </c>
      <c r="C32" s="12">
        <v>136</v>
      </c>
      <c r="D32" s="8">
        <v>3.16</v>
      </c>
      <c r="E32" s="12">
        <v>123</v>
      </c>
      <c r="F32" s="8">
        <v>5.58</v>
      </c>
      <c r="G32" s="12">
        <v>13</v>
      </c>
      <c r="H32" s="8">
        <v>0.63</v>
      </c>
      <c r="I32" s="12">
        <v>0</v>
      </c>
    </row>
    <row r="33" spans="2:9" ht="15" customHeight="1" x14ac:dyDescent="0.2">
      <c r="B33" t="s">
        <v>105</v>
      </c>
      <c r="C33" s="12">
        <v>128</v>
      </c>
      <c r="D33" s="8">
        <v>2.98</v>
      </c>
      <c r="E33" s="12">
        <v>36</v>
      </c>
      <c r="F33" s="8">
        <v>1.63</v>
      </c>
      <c r="G33" s="12">
        <v>92</v>
      </c>
      <c r="H33" s="8">
        <v>4.4800000000000004</v>
      </c>
      <c r="I33" s="12">
        <v>0</v>
      </c>
    </row>
    <row r="34" spans="2:9" ht="15" customHeight="1" x14ac:dyDescent="0.2">
      <c r="B34" t="s">
        <v>112</v>
      </c>
      <c r="C34" s="12">
        <v>128</v>
      </c>
      <c r="D34" s="8">
        <v>2.98</v>
      </c>
      <c r="E34" s="12">
        <v>98</v>
      </c>
      <c r="F34" s="8">
        <v>4.45</v>
      </c>
      <c r="G34" s="12">
        <v>29</v>
      </c>
      <c r="H34" s="8">
        <v>1.41</v>
      </c>
      <c r="I34" s="12">
        <v>1</v>
      </c>
    </row>
    <row r="35" spans="2:9" ht="15" customHeight="1" x14ac:dyDescent="0.2">
      <c r="B35" t="s">
        <v>103</v>
      </c>
      <c r="C35" s="12">
        <v>126</v>
      </c>
      <c r="D35" s="8">
        <v>2.93</v>
      </c>
      <c r="E35" s="12">
        <v>50</v>
      </c>
      <c r="F35" s="8">
        <v>2.27</v>
      </c>
      <c r="G35" s="12">
        <v>76</v>
      </c>
      <c r="H35" s="8">
        <v>3.7</v>
      </c>
      <c r="I35" s="12">
        <v>0</v>
      </c>
    </row>
    <row r="36" spans="2:9" ht="15" customHeight="1" x14ac:dyDescent="0.2">
      <c r="B36" t="s">
        <v>117</v>
      </c>
      <c r="C36" s="12">
        <v>122</v>
      </c>
      <c r="D36" s="8">
        <v>2.84</v>
      </c>
      <c r="E36" s="12">
        <v>71</v>
      </c>
      <c r="F36" s="8">
        <v>3.22</v>
      </c>
      <c r="G36" s="12">
        <v>35</v>
      </c>
      <c r="H36" s="8">
        <v>1.7</v>
      </c>
      <c r="I36" s="12">
        <v>2</v>
      </c>
    </row>
    <row r="37" spans="2:9" ht="15" customHeight="1" x14ac:dyDescent="0.2">
      <c r="B37" t="s">
        <v>113</v>
      </c>
      <c r="C37" s="12">
        <v>99</v>
      </c>
      <c r="D37" s="8">
        <v>2.2999999999999998</v>
      </c>
      <c r="E37" s="12">
        <v>48</v>
      </c>
      <c r="F37" s="8">
        <v>2.1800000000000002</v>
      </c>
      <c r="G37" s="12">
        <v>50</v>
      </c>
      <c r="H37" s="8">
        <v>2.4300000000000002</v>
      </c>
      <c r="I37" s="12">
        <v>0</v>
      </c>
    </row>
    <row r="38" spans="2:9" ht="15" customHeight="1" x14ac:dyDescent="0.2">
      <c r="B38" t="s">
        <v>106</v>
      </c>
      <c r="C38" s="12">
        <v>84</v>
      </c>
      <c r="D38" s="8">
        <v>1.95</v>
      </c>
      <c r="E38" s="12">
        <v>3</v>
      </c>
      <c r="F38" s="8">
        <v>0.14000000000000001</v>
      </c>
      <c r="G38" s="12">
        <v>81</v>
      </c>
      <c r="H38" s="8">
        <v>3.94</v>
      </c>
      <c r="I38" s="12">
        <v>0</v>
      </c>
    </row>
    <row r="39" spans="2:9" ht="15" customHeight="1" x14ac:dyDescent="0.2">
      <c r="B39" t="s">
        <v>114</v>
      </c>
      <c r="C39" s="12">
        <v>84</v>
      </c>
      <c r="D39" s="8">
        <v>1.95</v>
      </c>
      <c r="E39" s="12">
        <v>47</v>
      </c>
      <c r="F39" s="8">
        <v>2.13</v>
      </c>
      <c r="G39" s="12">
        <v>37</v>
      </c>
      <c r="H39" s="8">
        <v>1.8</v>
      </c>
      <c r="I39" s="12">
        <v>0</v>
      </c>
    </row>
    <row r="40" spans="2:9" ht="15" customHeight="1" x14ac:dyDescent="0.2">
      <c r="B40" t="s">
        <v>107</v>
      </c>
      <c r="C40" s="12">
        <v>82</v>
      </c>
      <c r="D40" s="8">
        <v>1.91</v>
      </c>
      <c r="E40" s="12">
        <v>30</v>
      </c>
      <c r="F40" s="8">
        <v>1.36</v>
      </c>
      <c r="G40" s="12">
        <v>52</v>
      </c>
      <c r="H40" s="8">
        <v>2.5299999999999998</v>
      </c>
      <c r="I40" s="12">
        <v>0</v>
      </c>
    </row>
    <row r="41" spans="2:9" ht="15" customHeight="1" x14ac:dyDescent="0.2">
      <c r="B41" t="s">
        <v>120</v>
      </c>
      <c r="C41" s="12">
        <v>63</v>
      </c>
      <c r="D41" s="8">
        <v>1.46</v>
      </c>
      <c r="E41" s="12">
        <v>38</v>
      </c>
      <c r="F41" s="8">
        <v>1.72</v>
      </c>
      <c r="G41" s="12">
        <v>25</v>
      </c>
      <c r="H41" s="8">
        <v>1.22</v>
      </c>
      <c r="I41" s="12">
        <v>0</v>
      </c>
    </row>
    <row r="42" spans="2:9" ht="15" customHeight="1" x14ac:dyDescent="0.2">
      <c r="B42" t="s">
        <v>104</v>
      </c>
      <c r="C42" s="12">
        <v>60</v>
      </c>
      <c r="D42" s="8">
        <v>1.39</v>
      </c>
      <c r="E42" s="12">
        <v>22</v>
      </c>
      <c r="F42" s="8">
        <v>1</v>
      </c>
      <c r="G42" s="12">
        <v>38</v>
      </c>
      <c r="H42" s="8">
        <v>1.85</v>
      </c>
      <c r="I42" s="12">
        <v>0</v>
      </c>
    </row>
    <row r="43" spans="2:9" ht="15" customHeight="1" x14ac:dyDescent="0.2">
      <c r="B43" t="s">
        <v>121</v>
      </c>
      <c r="C43" s="12">
        <v>59</v>
      </c>
      <c r="D43" s="8">
        <v>1.37</v>
      </c>
      <c r="E43" s="12">
        <v>5</v>
      </c>
      <c r="F43" s="8">
        <v>0.23</v>
      </c>
      <c r="G43" s="12">
        <v>54</v>
      </c>
      <c r="H43" s="8">
        <v>2.63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183</v>
      </c>
      <c r="C47" s="12">
        <v>251</v>
      </c>
      <c r="D47" s="8">
        <v>5.83</v>
      </c>
      <c r="E47" s="12">
        <v>184</v>
      </c>
      <c r="F47" s="8">
        <v>8.35</v>
      </c>
      <c r="G47" s="12">
        <v>67</v>
      </c>
      <c r="H47" s="8">
        <v>3.26</v>
      </c>
      <c r="I47" s="12">
        <v>0</v>
      </c>
    </row>
    <row r="48" spans="2:9" ht="15" customHeight="1" x14ac:dyDescent="0.2">
      <c r="B48" t="s">
        <v>191</v>
      </c>
      <c r="C48" s="12">
        <v>228</v>
      </c>
      <c r="D48" s="8">
        <v>5.3</v>
      </c>
      <c r="E48" s="12">
        <v>211</v>
      </c>
      <c r="F48" s="8">
        <v>9.58</v>
      </c>
      <c r="G48" s="12">
        <v>17</v>
      </c>
      <c r="H48" s="8">
        <v>0.83</v>
      </c>
      <c r="I48" s="12">
        <v>0</v>
      </c>
    </row>
    <row r="49" spans="2:9" ht="15" customHeight="1" x14ac:dyDescent="0.2">
      <c r="B49" t="s">
        <v>190</v>
      </c>
      <c r="C49" s="12">
        <v>112</v>
      </c>
      <c r="D49" s="8">
        <v>2.6</v>
      </c>
      <c r="E49" s="12">
        <v>107</v>
      </c>
      <c r="F49" s="8">
        <v>4.8600000000000003</v>
      </c>
      <c r="G49" s="12">
        <v>5</v>
      </c>
      <c r="H49" s="8">
        <v>0.24</v>
      </c>
      <c r="I49" s="12">
        <v>0</v>
      </c>
    </row>
    <row r="50" spans="2:9" ht="15" customHeight="1" x14ac:dyDescent="0.2">
      <c r="B50" t="s">
        <v>188</v>
      </c>
      <c r="C50" s="12">
        <v>107</v>
      </c>
      <c r="D50" s="8">
        <v>2.4900000000000002</v>
      </c>
      <c r="E50" s="12">
        <v>94</v>
      </c>
      <c r="F50" s="8">
        <v>4.2699999999999996</v>
      </c>
      <c r="G50" s="12">
        <v>13</v>
      </c>
      <c r="H50" s="8">
        <v>0.63</v>
      </c>
      <c r="I50" s="12">
        <v>0</v>
      </c>
    </row>
    <row r="51" spans="2:9" ht="15" customHeight="1" x14ac:dyDescent="0.2">
      <c r="B51" t="s">
        <v>187</v>
      </c>
      <c r="C51" s="12">
        <v>102</v>
      </c>
      <c r="D51" s="8">
        <v>2.37</v>
      </c>
      <c r="E51" s="12">
        <v>77</v>
      </c>
      <c r="F51" s="8">
        <v>3.5</v>
      </c>
      <c r="G51" s="12">
        <v>25</v>
      </c>
      <c r="H51" s="8">
        <v>1.22</v>
      </c>
      <c r="I51" s="12">
        <v>0</v>
      </c>
    </row>
    <row r="52" spans="2:9" ht="15" customHeight="1" x14ac:dyDescent="0.2">
      <c r="B52" t="s">
        <v>174</v>
      </c>
      <c r="C52" s="12">
        <v>92</v>
      </c>
      <c r="D52" s="8">
        <v>2.14</v>
      </c>
      <c r="E52" s="12">
        <v>27</v>
      </c>
      <c r="F52" s="8">
        <v>1.23</v>
      </c>
      <c r="G52" s="12">
        <v>65</v>
      </c>
      <c r="H52" s="8">
        <v>3.16</v>
      </c>
      <c r="I52" s="12">
        <v>0</v>
      </c>
    </row>
    <row r="53" spans="2:9" ht="15" customHeight="1" x14ac:dyDescent="0.2">
      <c r="B53" t="s">
        <v>193</v>
      </c>
      <c r="C53" s="12">
        <v>89</v>
      </c>
      <c r="D53" s="8">
        <v>2.0699999999999998</v>
      </c>
      <c r="E53" s="12">
        <v>83</v>
      </c>
      <c r="F53" s="8">
        <v>3.77</v>
      </c>
      <c r="G53" s="12">
        <v>6</v>
      </c>
      <c r="H53" s="8">
        <v>0.28999999999999998</v>
      </c>
      <c r="I53" s="12">
        <v>0</v>
      </c>
    </row>
    <row r="54" spans="2:9" ht="15" customHeight="1" x14ac:dyDescent="0.2">
      <c r="B54" t="s">
        <v>180</v>
      </c>
      <c r="C54" s="12">
        <v>88</v>
      </c>
      <c r="D54" s="8">
        <v>2.0499999999999998</v>
      </c>
      <c r="E54" s="12">
        <v>36</v>
      </c>
      <c r="F54" s="8">
        <v>1.63</v>
      </c>
      <c r="G54" s="12">
        <v>52</v>
      </c>
      <c r="H54" s="8">
        <v>2.5299999999999998</v>
      </c>
      <c r="I54" s="12">
        <v>0</v>
      </c>
    </row>
    <row r="55" spans="2:9" ht="15" customHeight="1" x14ac:dyDescent="0.2">
      <c r="B55" t="s">
        <v>181</v>
      </c>
      <c r="C55" s="12">
        <v>76</v>
      </c>
      <c r="D55" s="8">
        <v>1.77</v>
      </c>
      <c r="E55" s="12">
        <v>44</v>
      </c>
      <c r="F55" s="8">
        <v>2</v>
      </c>
      <c r="G55" s="12">
        <v>32</v>
      </c>
      <c r="H55" s="8">
        <v>1.56</v>
      </c>
      <c r="I55" s="12">
        <v>0</v>
      </c>
    </row>
    <row r="56" spans="2:9" ht="15" customHeight="1" x14ac:dyDescent="0.2">
      <c r="B56" t="s">
        <v>185</v>
      </c>
      <c r="C56" s="12">
        <v>73</v>
      </c>
      <c r="D56" s="8">
        <v>1.7</v>
      </c>
      <c r="E56" s="12">
        <v>44</v>
      </c>
      <c r="F56" s="8">
        <v>2</v>
      </c>
      <c r="G56" s="12">
        <v>29</v>
      </c>
      <c r="H56" s="8">
        <v>1.41</v>
      </c>
      <c r="I56" s="12">
        <v>0</v>
      </c>
    </row>
    <row r="57" spans="2:9" ht="15" customHeight="1" x14ac:dyDescent="0.2">
      <c r="B57" t="s">
        <v>176</v>
      </c>
      <c r="C57" s="12">
        <v>72</v>
      </c>
      <c r="D57" s="8">
        <v>1.67</v>
      </c>
      <c r="E57" s="12">
        <v>30</v>
      </c>
      <c r="F57" s="8">
        <v>1.36</v>
      </c>
      <c r="G57" s="12">
        <v>42</v>
      </c>
      <c r="H57" s="8">
        <v>2.04</v>
      </c>
      <c r="I57" s="12">
        <v>0</v>
      </c>
    </row>
    <row r="58" spans="2:9" ht="15" customHeight="1" x14ac:dyDescent="0.2">
      <c r="B58" t="s">
        <v>184</v>
      </c>
      <c r="C58" s="12">
        <v>68</v>
      </c>
      <c r="D58" s="8">
        <v>1.58</v>
      </c>
      <c r="E58" s="12">
        <v>30</v>
      </c>
      <c r="F58" s="8">
        <v>1.36</v>
      </c>
      <c r="G58" s="12">
        <v>37</v>
      </c>
      <c r="H58" s="8">
        <v>1.8</v>
      </c>
      <c r="I58" s="12">
        <v>0</v>
      </c>
    </row>
    <row r="59" spans="2:9" ht="15" customHeight="1" x14ac:dyDescent="0.2">
      <c r="B59" t="s">
        <v>175</v>
      </c>
      <c r="C59" s="12">
        <v>65</v>
      </c>
      <c r="D59" s="8">
        <v>1.51</v>
      </c>
      <c r="E59" s="12">
        <v>15</v>
      </c>
      <c r="F59" s="8">
        <v>0.68</v>
      </c>
      <c r="G59" s="12">
        <v>50</v>
      </c>
      <c r="H59" s="8">
        <v>2.4300000000000002</v>
      </c>
      <c r="I59" s="12">
        <v>0</v>
      </c>
    </row>
    <row r="60" spans="2:9" ht="15" customHeight="1" x14ac:dyDescent="0.2">
      <c r="B60" t="s">
        <v>200</v>
      </c>
      <c r="C60" s="12">
        <v>63</v>
      </c>
      <c r="D60" s="8">
        <v>1.46</v>
      </c>
      <c r="E60" s="12">
        <v>38</v>
      </c>
      <c r="F60" s="8">
        <v>1.72</v>
      </c>
      <c r="G60" s="12">
        <v>25</v>
      </c>
      <c r="H60" s="8">
        <v>1.22</v>
      </c>
      <c r="I60" s="12">
        <v>0</v>
      </c>
    </row>
    <row r="61" spans="2:9" ht="15" customHeight="1" x14ac:dyDescent="0.2">
      <c r="B61" t="s">
        <v>194</v>
      </c>
      <c r="C61" s="12">
        <v>62</v>
      </c>
      <c r="D61" s="8">
        <v>1.44</v>
      </c>
      <c r="E61" s="12">
        <v>16</v>
      </c>
      <c r="F61" s="8">
        <v>0.73</v>
      </c>
      <c r="G61" s="12">
        <v>46</v>
      </c>
      <c r="H61" s="8">
        <v>2.2400000000000002</v>
      </c>
      <c r="I61" s="12">
        <v>0</v>
      </c>
    </row>
    <row r="62" spans="2:9" ht="15" customHeight="1" x14ac:dyDescent="0.2">
      <c r="B62" t="s">
        <v>177</v>
      </c>
      <c r="C62" s="12">
        <v>60</v>
      </c>
      <c r="D62" s="8">
        <v>1.39</v>
      </c>
      <c r="E62" s="12">
        <v>29</v>
      </c>
      <c r="F62" s="8">
        <v>1.32</v>
      </c>
      <c r="G62" s="12">
        <v>31</v>
      </c>
      <c r="H62" s="8">
        <v>1.51</v>
      </c>
      <c r="I62" s="12">
        <v>0</v>
      </c>
    </row>
    <row r="63" spans="2:9" ht="15" customHeight="1" x14ac:dyDescent="0.2">
      <c r="B63" t="s">
        <v>186</v>
      </c>
      <c r="C63" s="12">
        <v>59</v>
      </c>
      <c r="D63" s="8">
        <v>1.37</v>
      </c>
      <c r="E63" s="12">
        <v>45</v>
      </c>
      <c r="F63" s="8">
        <v>2.04</v>
      </c>
      <c r="G63" s="12">
        <v>14</v>
      </c>
      <c r="H63" s="8">
        <v>0.68</v>
      </c>
      <c r="I63" s="12">
        <v>0</v>
      </c>
    </row>
    <row r="64" spans="2:9" ht="15" customHeight="1" x14ac:dyDescent="0.2">
      <c r="B64" t="s">
        <v>189</v>
      </c>
      <c r="C64" s="12">
        <v>57</v>
      </c>
      <c r="D64" s="8">
        <v>1.32</v>
      </c>
      <c r="E64" s="12">
        <v>56</v>
      </c>
      <c r="F64" s="8">
        <v>2.54</v>
      </c>
      <c r="G64" s="12">
        <v>1</v>
      </c>
      <c r="H64" s="8">
        <v>0.05</v>
      </c>
      <c r="I64" s="12">
        <v>0</v>
      </c>
    </row>
    <row r="65" spans="2:9" ht="15" customHeight="1" x14ac:dyDescent="0.2">
      <c r="B65" t="s">
        <v>192</v>
      </c>
      <c r="C65" s="12">
        <v>56</v>
      </c>
      <c r="D65" s="8">
        <v>1.3</v>
      </c>
      <c r="E65" s="12">
        <v>40</v>
      </c>
      <c r="F65" s="8">
        <v>1.82</v>
      </c>
      <c r="G65" s="12">
        <v>16</v>
      </c>
      <c r="H65" s="8">
        <v>0.78</v>
      </c>
      <c r="I65" s="12">
        <v>0</v>
      </c>
    </row>
    <row r="66" spans="2:9" ht="15" customHeight="1" x14ac:dyDescent="0.2">
      <c r="B66" t="s">
        <v>182</v>
      </c>
      <c r="C66" s="12">
        <v>55</v>
      </c>
      <c r="D66" s="8">
        <v>1.28</v>
      </c>
      <c r="E66" s="12">
        <v>9</v>
      </c>
      <c r="F66" s="8">
        <v>0.41</v>
      </c>
      <c r="G66" s="12">
        <v>46</v>
      </c>
      <c r="H66" s="8">
        <v>2.2400000000000002</v>
      </c>
      <c r="I66" s="12">
        <v>0</v>
      </c>
    </row>
    <row r="68" spans="2:9" ht="15" customHeight="1" x14ac:dyDescent="0.2">
      <c r="B68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FCDA0-B6F2-44F0-A776-6ABCEFB3F712}">
  <sheetPr>
    <pageSetUpPr fitToPage="1"/>
  </sheetPr>
  <dimension ref="B2:I11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441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25</v>
      </c>
      <c r="D6" s="8">
        <v>27.78</v>
      </c>
      <c r="E6" s="12">
        <v>13</v>
      </c>
      <c r="F6" s="8">
        <v>23.21</v>
      </c>
      <c r="G6" s="12">
        <v>12</v>
      </c>
      <c r="H6" s="8">
        <v>42.86</v>
      </c>
      <c r="I6" s="12">
        <v>0</v>
      </c>
    </row>
    <row r="7" spans="2:9" ht="15" customHeight="1" x14ac:dyDescent="0.2">
      <c r="B7" t="s">
        <v>80</v>
      </c>
      <c r="C7" s="12">
        <v>7</v>
      </c>
      <c r="D7" s="8">
        <v>7.78</v>
      </c>
      <c r="E7" s="12">
        <v>3</v>
      </c>
      <c r="F7" s="8">
        <v>5.36</v>
      </c>
      <c r="G7" s="12">
        <v>4</v>
      </c>
      <c r="H7" s="8">
        <v>14.29</v>
      </c>
      <c r="I7" s="12">
        <v>0</v>
      </c>
    </row>
    <row r="8" spans="2:9" ht="15" customHeight="1" x14ac:dyDescent="0.2">
      <c r="B8" t="s">
        <v>81</v>
      </c>
      <c r="C8" s="12">
        <v>1</v>
      </c>
      <c r="D8" s="8">
        <v>1.1100000000000001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1</v>
      </c>
      <c r="D10" s="8">
        <v>1.1100000000000001</v>
      </c>
      <c r="E10" s="12">
        <v>1</v>
      </c>
      <c r="F10" s="8">
        <v>1.79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84</v>
      </c>
      <c r="C11" s="12">
        <v>27</v>
      </c>
      <c r="D11" s="8">
        <v>30</v>
      </c>
      <c r="E11" s="12">
        <v>18</v>
      </c>
      <c r="F11" s="8">
        <v>32.14</v>
      </c>
      <c r="G11" s="12">
        <v>9</v>
      </c>
      <c r="H11" s="8">
        <v>32.14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2</v>
      </c>
      <c r="D13" s="8">
        <v>2.2200000000000002</v>
      </c>
      <c r="E13" s="12">
        <v>0</v>
      </c>
      <c r="F13" s="8">
        <v>0</v>
      </c>
      <c r="G13" s="12">
        <v>2</v>
      </c>
      <c r="H13" s="8">
        <v>7.14</v>
      </c>
      <c r="I13" s="12">
        <v>0</v>
      </c>
    </row>
    <row r="14" spans="2:9" ht="15" customHeight="1" x14ac:dyDescent="0.2">
      <c r="B14" t="s">
        <v>87</v>
      </c>
      <c r="C14" s="12">
        <v>3</v>
      </c>
      <c r="D14" s="8">
        <v>3.33</v>
      </c>
      <c r="E14" s="12">
        <v>3</v>
      </c>
      <c r="F14" s="8">
        <v>5.36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88</v>
      </c>
      <c r="C15" s="12">
        <v>8</v>
      </c>
      <c r="D15" s="8">
        <v>8.89</v>
      </c>
      <c r="E15" s="12">
        <v>6</v>
      </c>
      <c r="F15" s="8">
        <v>10.71</v>
      </c>
      <c r="G15" s="12">
        <v>1</v>
      </c>
      <c r="H15" s="8">
        <v>3.57</v>
      </c>
      <c r="I15" s="12">
        <v>0</v>
      </c>
    </row>
    <row r="16" spans="2:9" ht="15" customHeight="1" x14ac:dyDescent="0.2">
      <c r="B16" t="s">
        <v>89</v>
      </c>
      <c r="C16" s="12">
        <v>8</v>
      </c>
      <c r="D16" s="8">
        <v>8.89</v>
      </c>
      <c r="E16" s="12">
        <v>8</v>
      </c>
      <c r="F16" s="8">
        <v>14.29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90</v>
      </c>
      <c r="C17" s="12">
        <v>1</v>
      </c>
      <c r="D17" s="8">
        <v>1.1100000000000001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5</v>
      </c>
      <c r="D18" s="8">
        <v>5.56</v>
      </c>
      <c r="E18" s="12">
        <v>2</v>
      </c>
      <c r="F18" s="8">
        <v>3.57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92</v>
      </c>
      <c r="C19" s="12">
        <v>2</v>
      </c>
      <c r="D19" s="8">
        <v>2.2200000000000002</v>
      </c>
      <c r="E19" s="12">
        <v>2</v>
      </c>
      <c r="F19" s="8">
        <v>3.57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363</v>
      </c>
      <c r="C20" s="12">
        <f>SUM(LTBL_20588[総数／事業所数])</f>
        <v>90</v>
      </c>
      <c r="E20" s="12">
        <f>SUBTOTAL(109,LTBL_20588[個人／事業所数])</f>
        <v>56</v>
      </c>
      <c r="G20" s="12">
        <f>SUBTOTAL(109,LTBL_20588[法人／事業所数])</f>
        <v>28</v>
      </c>
      <c r="I20" s="12">
        <f>SUBTOTAL(109,LTBL_20588[法人以外の団体／事業所数])</f>
        <v>0</v>
      </c>
    </row>
    <row r="21" spans="2:9" ht="15" customHeight="1" x14ac:dyDescent="0.2">
      <c r="E21" s="11">
        <f>LTBL_20588[[#Totals],[個人／事業所数]]/LTBL_20588[[#Totals],[総数／事業所数]]</f>
        <v>0.62222222222222223</v>
      </c>
      <c r="G21" s="11">
        <f>LTBL_20588[[#Totals],[法人／事業所数]]/LTBL_20588[[#Totals],[総数／事業所数]]</f>
        <v>0.31111111111111112</v>
      </c>
      <c r="I21" s="11">
        <f>LTBL_20588[[#Totals],[法人以外の団体／事業所数]]/LTBL_20588[[#Totals],[総数／事業所数]]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101</v>
      </c>
      <c r="C24" s="12">
        <v>14</v>
      </c>
      <c r="D24" s="8">
        <v>15.56</v>
      </c>
      <c r="E24" s="12">
        <v>3</v>
      </c>
      <c r="F24" s="8">
        <v>5.36</v>
      </c>
      <c r="G24" s="12">
        <v>11</v>
      </c>
      <c r="H24" s="8">
        <v>39.29</v>
      </c>
      <c r="I24" s="12">
        <v>0</v>
      </c>
    </row>
    <row r="25" spans="2:9" ht="15" customHeight="1" x14ac:dyDescent="0.2">
      <c r="B25" t="s">
        <v>110</v>
      </c>
      <c r="C25" s="12">
        <v>11</v>
      </c>
      <c r="D25" s="8">
        <v>12.22</v>
      </c>
      <c r="E25" s="12">
        <v>8</v>
      </c>
      <c r="F25" s="8">
        <v>14.29</v>
      </c>
      <c r="G25" s="12">
        <v>3</v>
      </c>
      <c r="H25" s="8">
        <v>10.71</v>
      </c>
      <c r="I25" s="12">
        <v>0</v>
      </c>
    </row>
    <row r="26" spans="2:9" ht="15" customHeight="1" x14ac:dyDescent="0.2">
      <c r="B26" t="s">
        <v>102</v>
      </c>
      <c r="C26" s="12">
        <v>9</v>
      </c>
      <c r="D26" s="8">
        <v>10</v>
      </c>
      <c r="E26" s="12">
        <v>8</v>
      </c>
      <c r="F26" s="8">
        <v>14.29</v>
      </c>
      <c r="G26" s="12">
        <v>1</v>
      </c>
      <c r="H26" s="8">
        <v>3.57</v>
      </c>
      <c r="I26" s="12">
        <v>0</v>
      </c>
    </row>
    <row r="27" spans="2:9" ht="15" customHeight="1" x14ac:dyDescent="0.2">
      <c r="B27" t="s">
        <v>108</v>
      </c>
      <c r="C27" s="12">
        <v>9</v>
      </c>
      <c r="D27" s="8">
        <v>10</v>
      </c>
      <c r="E27" s="12">
        <v>7</v>
      </c>
      <c r="F27" s="8">
        <v>12.5</v>
      </c>
      <c r="G27" s="12">
        <v>2</v>
      </c>
      <c r="H27" s="8">
        <v>7.14</v>
      </c>
      <c r="I27" s="12">
        <v>0</v>
      </c>
    </row>
    <row r="28" spans="2:9" ht="15" customHeight="1" x14ac:dyDescent="0.2">
      <c r="B28" t="s">
        <v>116</v>
      </c>
      <c r="C28" s="12">
        <v>8</v>
      </c>
      <c r="D28" s="8">
        <v>8.89</v>
      </c>
      <c r="E28" s="12">
        <v>8</v>
      </c>
      <c r="F28" s="8">
        <v>14.29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114</v>
      </c>
      <c r="C29" s="12">
        <v>5</v>
      </c>
      <c r="D29" s="8">
        <v>5.56</v>
      </c>
      <c r="E29" s="12">
        <v>3</v>
      </c>
      <c r="F29" s="8">
        <v>5.36</v>
      </c>
      <c r="G29" s="12">
        <v>1</v>
      </c>
      <c r="H29" s="8">
        <v>3.57</v>
      </c>
      <c r="I29" s="12">
        <v>0</v>
      </c>
    </row>
    <row r="30" spans="2:9" ht="15" customHeight="1" x14ac:dyDescent="0.2">
      <c r="B30" t="s">
        <v>107</v>
      </c>
      <c r="C30" s="12">
        <v>3</v>
      </c>
      <c r="D30" s="8">
        <v>3.33</v>
      </c>
      <c r="E30" s="12">
        <v>1</v>
      </c>
      <c r="F30" s="8">
        <v>1.79</v>
      </c>
      <c r="G30" s="12">
        <v>2</v>
      </c>
      <c r="H30" s="8">
        <v>7.14</v>
      </c>
      <c r="I30" s="12">
        <v>0</v>
      </c>
    </row>
    <row r="31" spans="2:9" ht="15" customHeight="1" x14ac:dyDescent="0.2">
      <c r="B31" t="s">
        <v>113</v>
      </c>
      <c r="C31" s="12">
        <v>3</v>
      </c>
      <c r="D31" s="8">
        <v>3.33</v>
      </c>
      <c r="E31" s="12">
        <v>3</v>
      </c>
      <c r="F31" s="8">
        <v>5.36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119</v>
      </c>
      <c r="C32" s="12">
        <v>3</v>
      </c>
      <c r="D32" s="8">
        <v>3.33</v>
      </c>
      <c r="E32" s="12">
        <v>0</v>
      </c>
      <c r="F32" s="8">
        <v>0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103</v>
      </c>
      <c r="C33" s="12">
        <v>2</v>
      </c>
      <c r="D33" s="8">
        <v>2.2200000000000002</v>
      </c>
      <c r="E33" s="12">
        <v>2</v>
      </c>
      <c r="F33" s="8">
        <v>3.57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130</v>
      </c>
      <c r="C34" s="12">
        <v>2</v>
      </c>
      <c r="D34" s="8">
        <v>2.2200000000000002</v>
      </c>
      <c r="E34" s="12">
        <v>2</v>
      </c>
      <c r="F34" s="8">
        <v>3.57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115</v>
      </c>
      <c r="C35" s="12">
        <v>2</v>
      </c>
      <c r="D35" s="8">
        <v>2.2200000000000002</v>
      </c>
      <c r="E35" s="12">
        <v>2</v>
      </c>
      <c r="F35" s="8">
        <v>3.57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118</v>
      </c>
      <c r="C36" s="12">
        <v>2</v>
      </c>
      <c r="D36" s="8">
        <v>2.2200000000000002</v>
      </c>
      <c r="E36" s="12">
        <v>2</v>
      </c>
      <c r="F36" s="8">
        <v>3.57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127</v>
      </c>
      <c r="C37" s="12">
        <v>1</v>
      </c>
      <c r="D37" s="8">
        <v>1.1100000000000001</v>
      </c>
      <c r="E37" s="12">
        <v>0</v>
      </c>
      <c r="F37" s="8">
        <v>0</v>
      </c>
      <c r="G37" s="12">
        <v>1</v>
      </c>
      <c r="H37" s="8">
        <v>3.57</v>
      </c>
      <c r="I37" s="12">
        <v>0</v>
      </c>
    </row>
    <row r="38" spans="2:9" ht="15" customHeight="1" x14ac:dyDescent="0.2">
      <c r="B38" t="s">
        <v>137</v>
      </c>
      <c r="C38" s="12">
        <v>1</v>
      </c>
      <c r="D38" s="8">
        <v>1.1100000000000001</v>
      </c>
      <c r="E38" s="12">
        <v>0</v>
      </c>
      <c r="F38" s="8">
        <v>0</v>
      </c>
      <c r="G38" s="12">
        <v>1</v>
      </c>
      <c r="H38" s="8">
        <v>3.57</v>
      </c>
      <c r="I38" s="12">
        <v>0</v>
      </c>
    </row>
    <row r="39" spans="2:9" ht="15" customHeight="1" x14ac:dyDescent="0.2">
      <c r="B39" t="s">
        <v>155</v>
      </c>
      <c r="C39" s="12">
        <v>1</v>
      </c>
      <c r="D39" s="8">
        <v>1.1100000000000001</v>
      </c>
      <c r="E39" s="12">
        <v>0</v>
      </c>
      <c r="F39" s="8">
        <v>0</v>
      </c>
      <c r="G39" s="12">
        <v>1</v>
      </c>
      <c r="H39" s="8">
        <v>3.57</v>
      </c>
      <c r="I39" s="12">
        <v>0</v>
      </c>
    </row>
    <row r="40" spans="2:9" ht="15" customHeight="1" x14ac:dyDescent="0.2">
      <c r="B40" t="s">
        <v>151</v>
      </c>
      <c r="C40" s="12">
        <v>1</v>
      </c>
      <c r="D40" s="8">
        <v>1.1100000000000001</v>
      </c>
      <c r="E40" s="12">
        <v>1</v>
      </c>
      <c r="F40" s="8">
        <v>1.79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136</v>
      </c>
      <c r="C41" s="12">
        <v>1</v>
      </c>
      <c r="D41" s="8">
        <v>1.1100000000000001</v>
      </c>
      <c r="E41" s="12">
        <v>0</v>
      </c>
      <c r="F41" s="8">
        <v>0</v>
      </c>
      <c r="G41" s="12">
        <v>1</v>
      </c>
      <c r="H41" s="8">
        <v>3.57</v>
      </c>
      <c r="I41" s="12">
        <v>0</v>
      </c>
    </row>
    <row r="42" spans="2:9" ht="15" customHeight="1" x14ac:dyDescent="0.2">
      <c r="B42" t="s">
        <v>139</v>
      </c>
      <c r="C42" s="12">
        <v>1</v>
      </c>
      <c r="D42" s="8">
        <v>1.1100000000000001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146</v>
      </c>
      <c r="C43" s="12">
        <v>1</v>
      </c>
      <c r="D43" s="8">
        <v>1.1100000000000001</v>
      </c>
      <c r="E43" s="12">
        <v>1</v>
      </c>
      <c r="F43" s="8">
        <v>1.79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125</v>
      </c>
      <c r="C44" s="12">
        <v>1</v>
      </c>
      <c r="D44" s="8">
        <v>1.1100000000000001</v>
      </c>
      <c r="E44" s="12">
        <v>0</v>
      </c>
      <c r="F44" s="8">
        <v>0</v>
      </c>
      <c r="G44" s="12">
        <v>1</v>
      </c>
      <c r="H44" s="8">
        <v>3.57</v>
      </c>
      <c r="I44" s="12">
        <v>0</v>
      </c>
    </row>
    <row r="45" spans="2:9" ht="15" customHeight="1" x14ac:dyDescent="0.2">
      <c r="B45" t="s">
        <v>121</v>
      </c>
      <c r="C45" s="12">
        <v>1</v>
      </c>
      <c r="D45" s="8">
        <v>1.1100000000000001</v>
      </c>
      <c r="E45" s="12">
        <v>0</v>
      </c>
      <c r="F45" s="8">
        <v>0</v>
      </c>
      <c r="G45" s="12">
        <v>1</v>
      </c>
      <c r="H45" s="8">
        <v>3.57</v>
      </c>
      <c r="I45" s="12">
        <v>0</v>
      </c>
    </row>
    <row r="46" spans="2:9" ht="15" customHeight="1" x14ac:dyDescent="0.2">
      <c r="B46" t="s">
        <v>122</v>
      </c>
      <c r="C46" s="12">
        <v>1</v>
      </c>
      <c r="D46" s="8">
        <v>1.1100000000000001</v>
      </c>
      <c r="E46" s="12">
        <v>1</v>
      </c>
      <c r="F46" s="8">
        <v>1.79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109</v>
      </c>
      <c r="C47" s="12">
        <v>1</v>
      </c>
      <c r="D47" s="8">
        <v>1.1100000000000001</v>
      </c>
      <c r="E47" s="12">
        <v>1</v>
      </c>
      <c r="F47" s="8">
        <v>1.79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123</v>
      </c>
      <c r="C48" s="12">
        <v>1</v>
      </c>
      <c r="D48" s="8">
        <v>1.1100000000000001</v>
      </c>
      <c r="E48" s="12">
        <v>0</v>
      </c>
      <c r="F48" s="8">
        <v>0</v>
      </c>
      <c r="G48" s="12">
        <v>1</v>
      </c>
      <c r="H48" s="8">
        <v>3.57</v>
      </c>
      <c r="I48" s="12">
        <v>0</v>
      </c>
    </row>
    <row r="49" spans="2:9" ht="15" customHeight="1" x14ac:dyDescent="0.2">
      <c r="B49" t="s">
        <v>153</v>
      </c>
      <c r="C49" s="12">
        <v>1</v>
      </c>
      <c r="D49" s="8">
        <v>1.1100000000000001</v>
      </c>
      <c r="E49" s="12">
        <v>0</v>
      </c>
      <c r="F49" s="8">
        <v>0</v>
      </c>
      <c r="G49" s="12">
        <v>1</v>
      </c>
      <c r="H49" s="8">
        <v>3.57</v>
      </c>
      <c r="I49" s="12">
        <v>0</v>
      </c>
    </row>
    <row r="50" spans="2:9" ht="15" customHeight="1" x14ac:dyDescent="0.2">
      <c r="B50" t="s">
        <v>129</v>
      </c>
      <c r="C50" s="12">
        <v>1</v>
      </c>
      <c r="D50" s="8">
        <v>1.1100000000000001</v>
      </c>
      <c r="E50" s="12">
        <v>1</v>
      </c>
      <c r="F50" s="8">
        <v>1.79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117</v>
      </c>
      <c r="C51" s="12">
        <v>1</v>
      </c>
      <c r="D51" s="8">
        <v>1.1100000000000001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120</v>
      </c>
      <c r="C52" s="12">
        <v>1</v>
      </c>
      <c r="D52" s="8">
        <v>1.1100000000000001</v>
      </c>
      <c r="E52" s="12">
        <v>1</v>
      </c>
      <c r="F52" s="8">
        <v>1.79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124</v>
      </c>
      <c r="C53" s="12">
        <v>1</v>
      </c>
      <c r="D53" s="8">
        <v>1.1100000000000001</v>
      </c>
      <c r="E53" s="12">
        <v>1</v>
      </c>
      <c r="F53" s="8">
        <v>1.79</v>
      </c>
      <c r="G53" s="12">
        <v>0</v>
      </c>
      <c r="H53" s="8">
        <v>0</v>
      </c>
      <c r="I53" s="12">
        <v>0</v>
      </c>
    </row>
    <row r="56" spans="2:9" ht="33" customHeight="1" x14ac:dyDescent="0.2">
      <c r="B56" t="s">
        <v>365</v>
      </c>
      <c r="C56" s="10" t="s">
        <v>94</v>
      </c>
      <c r="D56" s="10" t="s">
        <v>95</v>
      </c>
      <c r="E56" s="10" t="s">
        <v>96</v>
      </c>
      <c r="F56" s="10" t="s">
        <v>97</v>
      </c>
      <c r="G56" s="10" t="s">
        <v>98</v>
      </c>
      <c r="H56" s="10" t="s">
        <v>99</v>
      </c>
      <c r="I56" s="10" t="s">
        <v>100</v>
      </c>
    </row>
    <row r="57" spans="2:9" ht="15" customHeight="1" x14ac:dyDescent="0.2">
      <c r="B57" t="s">
        <v>174</v>
      </c>
      <c r="C57" s="12">
        <v>6</v>
      </c>
      <c r="D57" s="8">
        <v>6.67</v>
      </c>
      <c r="E57" s="12">
        <v>0</v>
      </c>
      <c r="F57" s="8">
        <v>0</v>
      </c>
      <c r="G57" s="12">
        <v>6</v>
      </c>
      <c r="H57" s="8">
        <v>21.43</v>
      </c>
      <c r="I57" s="12">
        <v>0</v>
      </c>
    </row>
    <row r="58" spans="2:9" ht="15" customHeight="1" x14ac:dyDescent="0.2">
      <c r="B58" t="s">
        <v>181</v>
      </c>
      <c r="C58" s="12">
        <v>6</v>
      </c>
      <c r="D58" s="8">
        <v>6.67</v>
      </c>
      <c r="E58" s="12">
        <v>5</v>
      </c>
      <c r="F58" s="8">
        <v>8.93</v>
      </c>
      <c r="G58" s="12">
        <v>1</v>
      </c>
      <c r="H58" s="8">
        <v>3.57</v>
      </c>
      <c r="I58" s="12">
        <v>0</v>
      </c>
    </row>
    <row r="59" spans="2:9" ht="15" customHeight="1" x14ac:dyDescent="0.2">
      <c r="B59" t="s">
        <v>176</v>
      </c>
      <c r="C59" s="12">
        <v>4</v>
      </c>
      <c r="D59" s="8">
        <v>4.4400000000000004</v>
      </c>
      <c r="E59" s="12">
        <v>3</v>
      </c>
      <c r="F59" s="8">
        <v>5.36</v>
      </c>
      <c r="G59" s="12">
        <v>1</v>
      </c>
      <c r="H59" s="8">
        <v>3.57</v>
      </c>
      <c r="I59" s="12">
        <v>0</v>
      </c>
    </row>
    <row r="60" spans="2:9" ht="15" customHeight="1" x14ac:dyDescent="0.2">
      <c r="B60" t="s">
        <v>214</v>
      </c>
      <c r="C60" s="12">
        <v>4</v>
      </c>
      <c r="D60" s="8">
        <v>4.4400000000000004</v>
      </c>
      <c r="E60" s="12">
        <v>3</v>
      </c>
      <c r="F60" s="8">
        <v>5.36</v>
      </c>
      <c r="G60" s="12">
        <v>1</v>
      </c>
      <c r="H60" s="8">
        <v>3.57</v>
      </c>
      <c r="I60" s="12">
        <v>0</v>
      </c>
    </row>
    <row r="61" spans="2:9" ht="15" customHeight="1" x14ac:dyDescent="0.2">
      <c r="B61" t="s">
        <v>185</v>
      </c>
      <c r="C61" s="12">
        <v>4</v>
      </c>
      <c r="D61" s="8">
        <v>4.4400000000000004</v>
      </c>
      <c r="E61" s="12">
        <v>2</v>
      </c>
      <c r="F61" s="8">
        <v>3.57</v>
      </c>
      <c r="G61" s="12">
        <v>1</v>
      </c>
      <c r="H61" s="8">
        <v>3.57</v>
      </c>
      <c r="I61" s="12">
        <v>0</v>
      </c>
    </row>
    <row r="62" spans="2:9" ht="15" customHeight="1" x14ac:dyDescent="0.2">
      <c r="B62" t="s">
        <v>190</v>
      </c>
      <c r="C62" s="12">
        <v>4</v>
      </c>
      <c r="D62" s="8">
        <v>4.4400000000000004</v>
      </c>
      <c r="E62" s="12">
        <v>4</v>
      </c>
      <c r="F62" s="8">
        <v>7.14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191</v>
      </c>
      <c r="C63" s="12">
        <v>4</v>
      </c>
      <c r="D63" s="8">
        <v>4.4400000000000004</v>
      </c>
      <c r="E63" s="12">
        <v>4</v>
      </c>
      <c r="F63" s="8">
        <v>7.14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175</v>
      </c>
      <c r="C64" s="12">
        <v>3</v>
      </c>
      <c r="D64" s="8">
        <v>3.33</v>
      </c>
      <c r="E64" s="12">
        <v>0</v>
      </c>
      <c r="F64" s="8">
        <v>0</v>
      </c>
      <c r="G64" s="12">
        <v>3</v>
      </c>
      <c r="H64" s="8">
        <v>10.71</v>
      </c>
      <c r="I64" s="12">
        <v>0</v>
      </c>
    </row>
    <row r="65" spans="2:9" ht="15" customHeight="1" x14ac:dyDescent="0.2">
      <c r="B65" t="s">
        <v>224</v>
      </c>
      <c r="C65" s="12">
        <v>2</v>
      </c>
      <c r="D65" s="8">
        <v>2.2200000000000002</v>
      </c>
      <c r="E65" s="12">
        <v>2</v>
      </c>
      <c r="F65" s="8">
        <v>3.57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218</v>
      </c>
      <c r="C66" s="12">
        <v>2</v>
      </c>
      <c r="D66" s="8">
        <v>2.2200000000000002</v>
      </c>
      <c r="E66" s="12">
        <v>2</v>
      </c>
      <c r="F66" s="8">
        <v>3.57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177</v>
      </c>
      <c r="C67" s="12">
        <v>2</v>
      </c>
      <c r="D67" s="8">
        <v>2.2200000000000002</v>
      </c>
      <c r="E67" s="12">
        <v>2</v>
      </c>
      <c r="F67" s="8">
        <v>3.57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197</v>
      </c>
      <c r="C68" s="12">
        <v>2</v>
      </c>
      <c r="D68" s="8">
        <v>2.2200000000000002</v>
      </c>
      <c r="E68" s="12">
        <v>2</v>
      </c>
      <c r="F68" s="8">
        <v>3.57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179</v>
      </c>
      <c r="C69" s="12">
        <v>2</v>
      </c>
      <c r="D69" s="8">
        <v>2.2200000000000002</v>
      </c>
      <c r="E69" s="12">
        <v>2</v>
      </c>
      <c r="F69" s="8">
        <v>3.57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219</v>
      </c>
      <c r="C70" s="12">
        <v>2</v>
      </c>
      <c r="D70" s="8">
        <v>2.2200000000000002</v>
      </c>
      <c r="E70" s="12">
        <v>2</v>
      </c>
      <c r="F70" s="8">
        <v>3.57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216</v>
      </c>
      <c r="C71" s="12">
        <v>2</v>
      </c>
      <c r="D71" s="8">
        <v>2.2200000000000002</v>
      </c>
      <c r="E71" s="12">
        <v>0</v>
      </c>
      <c r="F71" s="8">
        <v>0</v>
      </c>
      <c r="G71" s="12">
        <v>2</v>
      </c>
      <c r="H71" s="8">
        <v>7.14</v>
      </c>
      <c r="I71" s="12">
        <v>0</v>
      </c>
    </row>
    <row r="72" spans="2:9" ht="15" customHeight="1" x14ac:dyDescent="0.2">
      <c r="B72" t="s">
        <v>289</v>
      </c>
      <c r="C72" s="12">
        <v>2</v>
      </c>
      <c r="D72" s="8">
        <v>2.2200000000000002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260</v>
      </c>
      <c r="C73" s="12">
        <v>1</v>
      </c>
      <c r="D73" s="8">
        <v>1.1100000000000001</v>
      </c>
      <c r="E73" s="12">
        <v>0</v>
      </c>
      <c r="F73" s="8">
        <v>0</v>
      </c>
      <c r="G73" s="12">
        <v>1</v>
      </c>
      <c r="H73" s="8">
        <v>3.57</v>
      </c>
      <c r="I73" s="12">
        <v>0</v>
      </c>
    </row>
    <row r="74" spans="2:9" ht="15" customHeight="1" x14ac:dyDescent="0.2">
      <c r="B74" t="s">
        <v>210</v>
      </c>
      <c r="C74" s="12">
        <v>1</v>
      </c>
      <c r="D74" s="8">
        <v>1.1100000000000001</v>
      </c>
      <c r="E74" s="12">
        <v>1</v>
      </c>
      <c r="F74" s="8">
        <v>1.79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266</v>
      </c>
      <c r="C75" s="12">
        <v>1</v>
      </c>
      <c r="D75" s="8">
        <v>1.1100000000000001</v>
      </c>
      <c r="E75" s="12">
        <v>0</v>
      </c>
      <c r="F75" s="8">
        <v>0</v>
      </c>
      <c r="G75" s="12">
        <v>1</v>
      </c>
      <c r="H75" s="8">
        <v>3.57</v>
      </c>
      <c r="I75" s="12">
        <v>0</v>
      </c>
    </row>
    <row r="76" spans="2:9" ht="15" customHeight="1" x14ac:dyDescent="0.2">
      <c r="B76" t="s">
        <v>323</v>
      </c>
      <c r="C76" s="12">
        <v>1</v>
      </c>
      <c r="D76" s="8">
        <v>1.1100000000000001</v>
      </c>
      <c r="E76" s="12">
        <v>1</v>
      </c>
      <c r="F76" s="8">
        <v>1.79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201</v>
      </c>
      <c r="C77" s="12">
        <v>1</v>
      </c>
      <c r="D77" s="8">
        <v>1.1100000000000001</v>
      </c>
      <c r="E77" s="12">
        <v>1</v>
      </c>
      <c r="F77" s="8">
        <v>1.79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286</v>
      </c>
      <c r="C78" s="12">
        <v>1</v>
      </c>
      <c r="D78" s="8">
        <v>1.1100000000000001</v>
      </c>
      <c r="E78" s="12">
        <v>1</v>
      </c>
      <c r="F78" s="8">
        <v>1.79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308</v>
      </c>
      <c r="C79" s="12">
        <v>1</v>
      </c>
      <c r="D79" s="8">
        <v>1.1100000000000001</v>
      </c>
      <c r="E79" s="12">
        <v>0</v>
      </c>
      <c r="F79" s="8">
        <v>0</v>
      </c>
      <c r="G79" s="12">
        <v>1</v>
      </c>
      <c r="H79" s="8">
        <v>3.57</v>
      </c>
      <c r="I79" s="12">
        <v>0</v>
      </c>
    </row>
    <row r="80" spans="2:9" ht="15" customHeight="1" x14ac:dyDescent="0.2">
      <c r="B80" t="s">
        <v>230</v>
      </c>
      <c r="C80" s="12">
        <v>1</v>
      </c>
      <c r="D80" s="8">
        <v>1.1100000000000001</v>
      </c>
      <c r="E80" s="12">
        <v>0</v>
      </c>
      <c r="F80" s="8">
        <v>0</v>
      </c>
      <c r="G80" s="12">
        <v>1</v>
      </c>
      <c r="H80" s="8">
        <v>3.57</v>
      </c>
      <c r="I80" s="12">
        <v>0</v>
      </c>
    </row>
    <row r="81" spans="2:9" ht="15" customHeight="1" x14ac:dyDescent="0.2">
      <c r="B81" t="s">
        <v>236</v>
      </c>
      <c r="C81" s="12">
        <v>1</v>
      </c>
      <c r="D81" s="8">
        <v>1.1100000000000001</v>
      </c>
      <c r="E81" s="12">
        <v>1</v>
      </c>
      <c r="F81" s="8">
        <v>1.79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294</v>
      </c>
      <c r="C82" s="12">
        <v>1</v>
      </c>
      <c r="D82" s="8">
        <v>1.1100000000000001</v>
      </c>
      <c r="E82" s="12">
        <v>1</v>
      </c>
      <c r="F82" s="8">
        <v>1.79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279</v>
      </c>
      <c r="C83" s="12">
        <v>1</v>
      </c>
      <c r="D83" s="8">
        <v>1.1100000000000001</v>
      </c>
      <c r="E83" s="12">
        <v>0</v>
      </c>
      <c r="F83" s="8">
        <v>0</v>
      </c>
      <c r="G83" s="12">
        <v>1</v>
      </c>
      <c r="H83" s="8">
        <v>3.57</v>
      </c>
      <c r="I83" s="12">
        <v>0</v>
      </c>
    </row>
    <row r="84" spans="2:9" ht="15" customHeight="1" x14ac:dyDescent="0.2">
      <c r="B84" t="s">
        <v>354</v>
      </c>
      <c r="C84" s="12">
        <v>1</v>
      </c>
      <c r="D84" s="8">
        <v>1.1100000000000001</v>
      </c>
      <c r="E84" s="12">
        <v>1</v>
      </c>
      <c r="F84" s="8">
        <v>1.79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269</v>
      </c>
      <c r="C85" s="12">
        <v>1</v>
      </c>
      <c r="D85" s="8">
        <v>1.1100000000000001</v>
      </c>
      <c r="E85" s="12">
        <v>0</v>
      </c>
      <c r="F85" s="8">
        <v>0</v>
      </c>
      <c r="G85" s="12">
        <v>1</v>
      </c>
      <c r="H85" s="8">
        <v>3.57</v>
      </c>
      <c r="I85" s="12">
        <v>0</v>
      </c>
    </row>
    <row r="86" spans="2:9" ht="15" customHeight="1" x14ac:dyDescent="0.2">
      <c r="B86" t="s">
        <v>239</v>
      </c>
      <c r="C86" s="12">
        <v>1</v>
      </c>
      <c r="D86" s="8">
        <v>1.1100000000000001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241</v>
      </c>
      <c r="C87" s="12">
        <v>1</v>
      </c>
      <c r="D87" s="8">
        <v>1.1100000000000001</v>
      </c>
      <c r="E87" s="12">
        <v>1</v>
      </c>
      <c r="F87" s="8">
        <v>1.79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213</v>
      </c>
      <c r="C88" s="12">
        <v>1</v>
      </c>
      <c r="D88" s="8">
        <v>1.1100000000000001</v>
      </c>
      <c r="E88" s="12">
        <v>0</v>
      </c>
      <c r="F88" s="8">
        <v>0</v>
      </c>
      <c r="G88" s="12">
        <v>1</v>
      </c>
      <c r="H88" s="8">
        <v>3.57</v>
      </c>
      <c r="I88" s="12">
        <v>0</v>
      </c>
    </row>
    <row r="89" spans="2:9" ht="15" customHeight="1" x14ac:dyDescent="0.2">
      <c r="B89" t="s">
        <v>211</v>
      </c>
      <c r="C89" s="12">
        <v>1</v>
      </c>
      <c r="D89" s="8">
        <v>1.1100000000000001</v>
      </c>
      <c r="E89" s="12">
        <v>0</v>
      </c>
      <c r="F89" s="8">
        <v>0</v>
      </c>
      <c r="G89" s="12">
        <v>1</v>
      </c>
      <c r="H89" s="8">
        <v>3.57</v>
      </c>
      <c r="I89" s="12">
        <v>0</v>
      </c>
    </row>
    <row r="90" spans="2:9" ht="15" customHeight="1" x14ac:dyDescent="0.2">
      <c r="B90" t="s">
        <v>355</v>
      </c>
      <c r="C90" s="12">
        <v>1</v>
      </c>
      <c r="D90" s="8">
        <v>1.1100000000000001</v>
      </c>
      <c r="E90" s="12">
        <v>1</v>
      </c>
      <c r="F90" s="8">
        <v>1.79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356</v>
      </c>
      <c r="C91" s="12">
        <v>1</v>
      </c>
      <c r="D91" s="8">
        <v>1.1100000000000001</v>
      </c>
      <c r="E91" s="12">
        <v>0</v>
      </c>
      <c r="F91" s="8">
        <v>0</v>
      </c>
      <c r="G91" s="12">
        <v>1</v>
      </c>
      <c r="H91" s="8">
        <v>3.57</v>
      </c>
      <c r="I91" s="12">
        <v>0</v>
      </c>
    </row>
    <row r="92" spans="2:9" ht="15" customHeight="1" x14ac:dyDescent="0.2">
      <c r="B92" t="s">
        <v>196</v>
      </c>
      <c r="C92" s="12">
        <v>1</v>
      </c>
      <c r="D92" s="8">
        <v>1.1100000000000001</v>
      </c>
      <c r="E92" s="12">
        <v>0</v>
      </c>
      <c r="F92" s="8">
        <v>0</v>
      </c>
      <c r="G92" s="12">
        <v>1</v>
      </c>
      <c r="H92" s="8">
        <v>3.57</v>
      </c>
      <c r="I92" s="12">
        <v>0</v>
      </c>
    </row>
    <row r="93" spans="2:9" ht="15" customHeight="1" x14ac:dyDescent="0.2">
      <c r="B93" t="s">
        <v>226</v>
      </c>
      <c r="C93" s="12">
        <v>1</v>
      </c>
      <c r="D93" s="8">
        <v>1.1100000000000001</v>
      </c>
      <c r="E93" s="12">
        <v>1</v>
      </c>
      <c r="F93" s="8">
        <v>1.79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227</v>
      </c>
      <c r="C94" s="12">
        <v>1</v>
      </c>
      <c r="D94" s="8">
        <v>1.1100000000000001</v>
      </c>
      <c r="E94" s="12">
        <v>0</v>
      </c>
      <c r="F94" s="8">
        <v>0</v>
      </c>
      <c r="G94" s="12">
        <v>1</v>
      </c>
      <c r="H94" s="8">
        <v>3.57</v>
      </c>
      <c r="I94" s="12">
        <v>0</v>
      </c>
    </row>
    <row r="95" spans="2:9" ht="15" customHeight="1" x14ac:dyDescent="0.2">
      <c r="B95" t="s">
        <v>205</v>
      </c>
      <c r="C95" s="12">
        <v>1</v>
      </c>
      <c r="D95" s="8">
        <v>1.1100000000000001</v>
      </c>
      <c r="E95" s="12">
        <v>1</v>
      </c>
      <c r="F95" s="8">
        <v>1.79</v>
      </c>
      <c r="G95" s="12">
        <v>0</v>
      </c>
      <c r="H95" s="8">
        <v>0</v>
      </c>
      <c r="I95" s="12">
        <v>0</v>
      </c>
    </row>
    <row r="96" spans="2:9" ht="15" customHeight="1" x14ac:dyDescent="0.2">
      <c r="B96" t="s">
        <v>288</v>
      </c>
      <c r="C96" s="12">
        <v>1</v>
      </c>
      <c r="D96" s="8">
        <v>1.1100000000000001</v>
      </c>
      <c r="E96" s="12">
        <v>1</v>
      </c>
      <c r="F96" s="8">
        <v>1.79</v>
      </c>
      <c r="G96" s="12">
        <v>0</v>
      </c>
      <c r="H96" s="8">
        <v>0</v>
      </c>
      <c r="I96" s="12">
        <v>0</v>
      </c>
    </row>
    <row r="97" spans="2:9" ht="15" customHeight="1" x14ac:dyDescent="0.2">
      <c r="B97" t="s">
        <v>256</v>
      </c>
      <c r="C97" s="12">
        <v>1</v>
      </c>
      <c r="D97" s="8">
        <v>1.1100000000000001</v>
      </c>
      <c r="E97" s="12">
        <v>0</v>
      </c>
      <c r="F97" s="8">
        <v>0</v>
      </c>
      <c r="G97" s="12">
        <v>1</v>
      </c>
      <c r="H97" s="8">
        <v>3.57</v>
      </c>
      <c r="I97" s="12">
        <v>0</v>
      </c>
    </row>
    <row r="98" spans="2:9" ht="15" customHeight="1" x14ac:dyDescent="0.2">
      <c r="B98" t="s">
        <v>322</v>
      </c>
      <c r="C98" s="12">
        <v>1</v>
      </c>
      <c r="D98" s="8">
        <v>1.1100000000000001</v>
      </c>
      <c r="E98" s="12">
        <v>0</v>
      </c>
      <c r="F98" s="8">
        <v>0</v>
      </c>
      <c r="G98" s="12">
        <v>1</v>
      </c>
      <c r="H98" s="8">
        <v>3.57</v>
      </c>
      <c r="I98" s="12">
        <v>0</v>
      </c>
    </row>
    <row r="99" spans="2:9" ht="15" customHeight="1" x14ac:dyDescent="0.2">
      <c r="B99" t="s">
        <v>246</v>
      </c>
      <c r="C99" s="12">
        <v>1</v>
      </c>
      <c r="D99" s="8">
        <v>1.1100000000000001</v>
      </c>
      <c r="E99" s="12">
        <v>1</v>
      </c>
      <c r="F99" s="8">
        <v>1.79</v>
      </c>
      <c r="G99" s="12">
        <v>0</v>
      </c>
      <c r="H99" s="8">
        <v>0</v>
      </c>
      <c r="I99" s="12">
        <v>0</v>
      </c>
    </row>
    <row r="100" spans="2:9" ht="15" customHeight="1" x14ac:dyDescent="0.2">
      <c r="B100" t="s">
        <v>184</v>
      </c>
      <c r="C100" s="12">
        <v>1</v>
      </c>
      <c r="D100" s="8">
        <v>1.1100000000000001</v>
      </c>
      <c r="E100" s="12">
        <v>1</v>
      </c>
      <c r="F100" s="8">
        <v>1.79</v>
      </c>
      <c r="G100" s="12">
        <v>0</v>
      </c>
      <c r="H100" s="8">
        <v>0</v>
      </c>
      <c r="I100" s="12">
        <v>0</v>
      </c>
    </row>
    <row r="101" spans="2:9" ht="15" customHeight="1" x14ac:dyDescent="0.2">
      <c r="B101" t="s">
        <v>326</v>
      </c>
      <c r="C101" s="12">
        <v>1</v>
      </c>
      <c r="D101" s="8">
        <v>1.1100000000000001</v>
      </c>
      <c r="E101" s="12">
        <v>1</v>
      </c>
      <c r="F101" s="8">
        <v>1.79</v>
      </c>
      <c r="G101" s="12">
        <v>0</v>
      </c>
      <c r="H101" s="8">
        <v>0</v>
      </c>
      <c r="I101" s="12">
        <v>0</v>
      </c>
    </row>
    <row r="102" spans="2:9" ht="15" customHeight="1" x14ac:dyDescent="0.2">
      <c r="B102" t="s">
        <v>247</v>
      </c>
      <c r="C102" s="12">
        <v>1</v>
      </c>
      <c r="D102" s="8">
        <v>1.1100000000000001</v>
      </c>
      <c r="E102" s="12">
        <v>1</v>
      </c>
      <c r="F102" s="8">
        <v>1.79</v>
      </c>
      <c r="G102" s="12">
        <v>0</v>
      </c>
      <c r="H102" s="8">
        <v>0</v>
      </c>
      <c r="I102" s="12">
        <v>0</v>
      </c>
    </row>
    <row r="103" spans="2:9" ht="15" customHeight="1" x14ac:dyDescent="0.2">
      <c r="B103" t="s">
        <v>186</v>
      </c>
      <c r="C103" s="12">
        <v>1</v>
      </c>
      <c r="D103" s="8">
        <v>1.1100000000000001</v>
      </c>
      <c r="E103" s="12">
        <v>1</v>
      </c>
      <c r="F103" s="8">
        <v>1.79</v>
      </c>
      <c r="G103" s="12">
        <v>0</v>
      </c>
      <c r="H103" s="8">
        <v>0</v>
      </c>
      <c r="I103" s="12">
        <v>0</v>
      </c>
    </row>
    <row r="104" spans="2:9" ht="15" customHeight="1" x14ac:dyDescent="0.2">
      <c r="B104" t="s">
        <v>187</v>
      </c>
      <c r="C104" s="12">
        <v>1</v>
      </c>
      <c r="D104" s="8">
        <v>1.1100000000000001</v>
      </c>
      <c r="E104" s="12">
        <v>1</v>
      </c>
      <c r="F104" s="8">
        <v>1.79</v>
      </c>
      <c r="G104" s="12">
        <v>0</v>
      </c>
      <c r="H104" s="8">
        <v>0</v>
      </c>
      <c r="I104" s="12">
        <v>0</v>
      </c>
    </row>
    <row r="105" spans="2:9" ht="15" customHeight="1" x14ac:dyDescent="0.2">
      <c r="B105" t="s">
        <v>248</v>
      </c>
      <c r="C105" s="12">
        <v>1</v>
      </c>
      <c r="D105" s="8">
        <v>1.1100000000000001</v>
      </c>
      <c r="E105" s="12">
        <v>1</v>
      </c>
      <c r="F105" s="8">
        <v>1.79</v>
      </c>
      <c r="G105" s="12">
        <v>0</v>
      </c>
      <c r="H105" s="8">
        <v>0</v>
      </c>
      <c r="I105" s="12">
        <v>0</v>
      </c>
    </row>
    <row r="106" spans="2:9" ht="15" customHeight="1" x14ac:dyDescent="0.2">
      <c r="B106" t="s">
        <v>223</v>
      </c>
      <c r="C106" s="12">
        <v>1</v>
      </c>
      <c r="D106" s="8">
        <v>1.1100000000000001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2">
      <c r="B107" t="s">
        <v>278</v>
      </c>
      <c r="C107" s="12">
        <v>1</v>
      </c>
      <c r="D107" s="8">
        <v>1.1100000000000001</v>
      </c>
      <c r="E107" s="12">
        <v>1</v>
      </c>
      <c r="F107" s="8">
        <v>1.79</v>
      </c>
      <c r="G107" s="12">
        <v>0</v>
      </c>
      <c r="H107" s="8">
        <v>0</v>
      </c>
      <c r="I107" s="12">
        <v>0</v>
      </c>
    </row>
    <row r="108" spans="2:9" ht="15" customHeight="1" x14ac:dyDescent="0.2">
      <c r="B108" t="s">
        <v>193</v>
      </c>
      <c r="C108" s="12">
        <v>1</v>
      </c>
      <c r="D108" s="8">
        <v>1.1100000000000001</v>
      </c>
      <c r="E108" s="12">
        <v>1</v>
      </c>
      <c r="F108" s="8">
        <v>1.79</v>
      </c>
      <c r="G108" s="12">
        <v>0</v>
      </c>
      <c r="H108" s="8">
        <v>0</v>
      </c>
      <c r="I108" s="12">
        <v>0</v>
      </c>
    </row>
    <row r="109" spans="2:9" ht="15" customHeight="1" x14ac:dyDescent="0.2">
      <c r="B109" t="s">
        <v>264</v>
      </c>
      <c r="C109" s="12">
        <v>1</v>
      </c>
      <c r="D109" s="8">
        <v>1.1100000000000001</v>
      </c>
      <c r="E109" s="12">
        <v>0</v>
      </c>
      <c r="F109" s="8">
        <v>0</v>
      </c>
      <c r="G109" s="12">
        <v>0</v>
      </c>
      <c r="H109" s="8">
        <v>0</v>
      </c>
      <c r="I109" s="12">
        <v>0</v>
      </c>
    </row>
    <row r="110" spans="2:9" ht="15" customHeight="1" x14ac:dyDescent="0.2">
      <c r="B110" t="s">
        <v>200</v>
      </c>
      <c r="C110" s="12">
        <v>1</v>
      </c>
      <c r="D110" s="8">
        <v>1.1100000000000001</v>
      </c>
      <c r="E110" s="12">
        <v>1</v>
      </c>
      <c r="F110" s="8">
        <v>1.79</v>
      </c>
      <c r="G110" s="12">
        <v>0</v>
      </c>
      <c r="H110" s="8">
        <v>0</v>
      </c>
      <c r="I110" s="12">
        <v>0</v>
      </c>
    </row>
    <row r="111" spans="2:9" ht="15" customHeight="1" x14ac:dyDescent="0.2">
      <c r="B111" t="s">
        <v>259</v>
      </c>
      <c r="C111" s="12">
        <v>1</v>
      </c>
      <c r="D111" s="8">
        <v>1.1100000000000001</v>
      </c>
      <c r="E111" s="12">
        <v>1</v>
      </c>
      <c r="F111" s="8">
        <v>1.79</v>
      </c>
      <c r="G111" s="12">
        <v>0</v>
      </c>
      <c r="H111" s="8">
        <v>0</v>
      </c>
      <c r="I111" s="12">
        <v>0</v>
      </c>
    </row>
    <row r="113" spans="2:2" ht="15" customHeight="1" x14ac:dyDescent="0.2">
      <c r="B113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D317A-CB98-4093-8CC5-50DA9E38F216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442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58</v>
      </c>
      <c r="D6" s="8">
        <v>25.11</v>
      </c>
      <c r="E6" s="12">
        <v>31</v>
      </c>
      <c r="F6" s="8">
        <v>22.79</v>
      </c>
      <c r="G6" s="12">
        <v>27</v>
      </c>
      <c r="H6" s="8">
        <v>31.03</v>
      </c>
      <c r="I6" s="12">
        <v>0</v>
      </c>
    </row>
    <row r="7" spans="2:9" ht="15" customHeight="1" x14ac:dyDescent="0.2">
      <c r="B7" t="s">
        <v>80</v>
      </c>
      <c r="C7" s="12">
        <v>22</v>
      </c>
      <c r="D7" s="8">
        <v>9.52</v>
      </c>
      <c r="E7" s="12">
        <v>12</v>
      </c>
      <c r="F7" s="8">
        <v>8.82</v>
      </c>
      <c r="G7" s="12">
        <v>10</v>
      </c>
      <c r="H7" s="8">
        <v>11.49</v>
      </c>
      <c r="I7" s="12">
        <v>0</v>
      </c>
    </row>
    <row r="8" spans="2:9" ht="15" customHeight="1" x14ac:dyDescent="0.2">
      <c r="B8" t="s">
        <v>81</v>
      </c>
      <c r="C8" s="12">
        <v>2</v>
      </c>
      <c r="D8" s="8">
        <v>0.87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2</v>
      </c>
      <c r="D9" s="8">
        <v>0.87</v>
      </c>
      <c r="E9" s="12">
        <v>0</v>
      </c>
      <c r="F9" s="8">
        <v>0</v>
      </c>
      <c r="G9" s="12">
        <v>2</v>
      </c>
      <c r="H9" s="8">
        <v>2.2999999999999998</v>
      </c>
      <c r="I9" s="12">
        <v>0</v>
      </c>
    </row>
    <row r="10" spans="2:9" ht="15" customHeight="1" x14ac:dyDescent="0.2">
      <c r="B10" t="s">
        <v>83</v>
      </c>
      <c r="C10" s="12">
        <v>3</v>
      </c>
      <c r="D10" s="8">
        <v>1.3</v>
      </c>
      <c r="E10" s="12">
        <v>1</v>
      </c>
      <c r="F10" s="8">
        <v>0.74</v>
      </c>
      <c r="G10" s="12">
        <v>2</v>
      </c>
      <c r="H10" s="8">
        <v>2.2999999999999998</v>
      </c>
      <c r="I10" s="12">
        <v>0</v>
      </c>
    </row>
    <row r="11" spans="2:9" ht="15" customHeight="1" x14ac:dyDescent="0.2">
      <c r="B11" t="s">
        <v>84</v>
      </c>
      <c r="C11" s="12">
        <v>47</v>
      </c>
      <c r="D11" s="8">
        <v>20.350000000000001</v>
      </c>
      <c r="E11" s="12">
        <v>25</v>
      </c>
      <c r="F11" s="8">
        <v>18.38</v>
      </c>
      <c r="G11" s="12">
        <v>22</v>
      </c>
      <c r="H11" s="8">
        <v>25.29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3</v>
      </c>
      <c r="D13" s="8">
        <v>1.3</v>
      </c>
      <c r="E13" s="12">
        <v>1</v>
      </c>
      <c r="F13" s="8">
        <v>0.74</v>
      </c>
      <c r="G13" s="12">
        <v>2</v>
      </c>
      <c r="H13" s="8">
        <v>2.2999999999999998</v>
      </c>
      <c r="I13" s="12">
        <v>0</v>
      </c>
    </row>
    <row r="14" spans="2:9" ht="15" customHeight="1" x14ac:dyDescent="0.2">
      <c r="B14" t="s">
        <v>87</v>
      </c>
      <c r="C14" s="12">
        <v>13</v>
      </c>
      <c r="D14" s="8">
        <v>5.63</v>
      </c>
      <c r="E14" s="12">
        <v>5</v>
      </c>
      <c r="F14" s="8">
        <v>3.68</v>
      </c>
      <c r="G14" s="12">
        <v>8</v>
      </c>
      <c r="H14" s="8">
        <v>9.1999999999999993</v>
      </c>
      <c r="I14" s="12">
        <v>0</v>
      </c>
    </row>
    <row r="15" spans="2:9" ht="15" customHeight="1" x14ac:dyDescent="0.2">
      <c r="B15" t="s">
        <v>88</v>
      </c>
      <c r="C15" s="12">
        <v>29</v>
      </c>
      <c r="D15" s="8">
        <v>12.55</v>
      </c>
      <c r="E15" s="12">
        <v>25</v>
      </c>
      <c r="F15" s="8">
        <v>18.38</v>
      </c>
      <c r="G15" s="12">
        <v>4</v>
      </c>
      <c r="H15" s="8">
        <v>4.5999999999999996</v>
      </c>
      <c r="I15" s="12">
        <v>0</v>
      </c>
    </row>
    <row r="16" spans="2:9" ht="15" customHeight="1" x14ac:dyDescent="0.2">
      <c r="B16" t="s">
        <v>89</v>
      </c>
      <c r="C16" s="12">
        <v>23</v>
      </c>
      <c r="D16" s="8">
        <v>9.9600000000000009</v>
      </c>
      <c r="E16" s="12">
        <v>20</v>
      </c>
      <c r="F16" s="8">
        <v>14.71</v>
      </c>
      <c r="G16" s="12">
        <v>2</v>
      </c>
      <c r="H16" s="8">
        <v>2.2999999999999998</v>
      </c>
      <c r="I16" s="12">
        <v>0</v>
      </c>
    </row>
    <row r="17" spans="2:9" ht="15" customHeight="1" x14ac:dyDescent="0.2">
      <c r="B17" t="s">
        <v>90</v>
      </c>
      <c r="C17" s="12">
        <v>11</v>
      </c>
      <c r="D17" s="8">
        <v>4.76</v>
      </c>
      <c r="E17" s="12">
        <v>9</v>
      </c>
      <c r="F17" s="8">
        <v>6.62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13</v>
      </c>
      <c r="D18" s="8">
        <v>5.63</v>
      </c>
      <c r="E18" s="12">
        <v>6</v>
      </c>
      <c r="F18" s="8">
        <v>4.41</v>
      </c>
      <c r="G18" s="12">
        <v>5</v>
      </c>
      <c r="H18" s="8">
        <v>5.75</v>
      </c>
      <c r="I18" s="12">
        <v>0</v>
      </c>
    </row>
    <row r="19" spans="2:9" ht="15" customHeight="1" x14ac:dyDescent="0.2">
      <c r="B19" t="s">
        <v>92</v>
      </c>
      <c r="C19" s="12">
        <v>5</v>
      </c>
      <c r="D19" s="8">
        <v>2.16</v>
      </c>
      <c r="E19" s="12">
        <v>1</v>
      </c>
      <c r="F19" s="8">
        <v>0.74</v>
      </c>
      <c r="G19" s="12">
        <v>3</v>
      </c>
      <c r="H19" s="8">
        <v>3.45</v>
      </c>
      <c r="I19" s="12">
        <v>0</v>
      </c>
    </row>
    <row r="20" spans="2:9" ht="15" customHeight="1" x14ac:dyDescent="0.2">
      <c r="B20" s="9" t="s">
        <v>363</v>
      </c>
      <c r="C20" s="12">
        <f>SUM(LTBL_20590[総数／事業所数])</f>
        <v>231</v>
      </c>
      <c r="E20" s="12">
        <f>SUBTOTAL(109,LTBL_20590[個人／事業所数])</f>
        <v>136</v>
      </c>
      <c r="G20" s="12">
        <f>SUBTOTAL(109,LTBL_20590[法人／事業所数])</f>
        <v>87</v>
      </c>
      <c r="I20" s="12">
        <f>SUBTOTAL(109,LTBL_20590[法人以外の団体／事業所数])</f>
        <v>0</v>
      </c>
    </row>
    <row r="21" spans="2:9" ht="15" customHeight="1" x14ac:dyDescent="0.2">
      <c r="E21" s="11">
        <f>LTBL_20590[[#Totals],[個人／事業所数]]/LTBL_20590[[#Totals],[総数／事業所数]]</f>
        <v>0.58874458874458879</v>
      </c>
      <c r="G21" s="11">
        <f>LTBL_20590[[#Totals],[法人／事業所数]]/LTBL_20590[[#Totals],[総数／事業所数]]</f>
        <v>0.37662337662337664</v>
      </c>
      <c r="I21" s="11">
        <f>LTBL_20590[[#Totals],[法人以外の団体／事業所数]]/LTBL_20590[[#Totals],[総数／事業所数]]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101</v>
      </c>
      <c r="C24" s="12">
        <v>31</v>
      </c>
      <c r="D24" s="8">
        <v>13.42</v>
      </c>
      <c r="E24" s="12">
        <v>12</v>
      </c>
      <c r="F24" s="8">
        <v>8.82</v>
      </c>
      <c r="G24" s="12">
        <v>19</v>
      </c>
      <c r="H24" s="8">
        <v>21.84</v>
      </c>
      <c r="I24" s="12">
        <v>0</v>
      </c>
    </row>
    <row r="25" spans="2:9" ht="15" customHeight="1" x14ac:dyDescent="0.2">
      <c r="B25" t="s">
        <v>110</v>
      </c>
      <c r="C25" s="12">
        <v>22</v>
      </c>
      <c r="D25" s="8">
        <v>9.52</v>
      </c>
      <c r="E25" s="12">
        <v>10</v>
      </c>
      <c r="F25" s="8">
        <v>7.35</v>
      </c>
      <c r="G25" s="12">
        <v>12</v>
      </c>
      <c r="H25" s="8">
        <v>13.79</v>
      </c>
      <c r="I25" s="12">
        <v>0</v>
      </c>
    </row>
    <row r="26" spans="2:9" ht="15" customHeight="1" x14ac:dyDescent="0.2">
      <c r="B26" t="s">
        <v>102</v>
      </c>
      <c r="C26" s="12">
        <v>21</v>
      </c>
      <c r="D26" s="8">
        <v>9.09</v>
      </c>
      <c r="E26" s="12">
        <v>17</v>
      </c>
      <c r="F26" s="8">
        <v>12.5</v>
      </c>
      <c r="G26" s="12">
        <v>4</v>
      </c>
      <c r="H26" s="8">
        <v>4.5999999999999996</v>
      </c>
      <c r="I26" s="12">
        <v>0</v>
      </c>
    </row>
    <row r="27" spans="2:9" ht="15" customHeight="1" x14ac:dyDescent="0.2">
      <c r="B27" t="s">
        <v>116</v>
      </c>
      <c r="C27" s="12">
        <v>21</v>
      </c>
      <c r="D27" s="8">
        <v>9.09</v>
      </c>
      <c r="E27" s="12">
        <v>20</v>
      </c>
      <c r="F27" s="8">
        <v>14.71</v>
      </c>
      <c r="G27" s="12">
        <v>1</v>
      </c>
      <c r="H27" s="8">
        <v>1.1499999999999999</v>
      </c>
      <c r="I27" s="12">
        <v>0</v>
      </c>
    </row>
    <row r="28" spans="2:9" ht="15" customHeight="1" x14ac:dyDescent="0.2">
      <c r="B28" t="s">
        <v>114</v>
      </c>
      <c r="C28" s="12">
        <v>15</v>
      </c>
      <c r="D28" s="8">
        <v>6.49</v>
      </c>
      <c r="E28" s="12">
        <v>14</v>
      </c>
      <c r="F28" s="8">
        <v>10.29</v>
      </c>
      <c r="G28" s="12">
        <v>1</v>
      </c>
      <c r="H28" s="8">
        <v>1.1499999999999999</v>
      </c>
      <c r="I28" s="12">
        <v>0</v>
      </c>
    </row>
    <row r="29" spans="2:9" ht="15" customHeight="1" x14ac:dyDescent="0.2">
      <c r="B29" t="s">
        <v>115</v>
      </c>
      <c r="C29" s="12">
        <v>14</v>
      </c>
      <c r="D29" s="8">
        <v>6.06</v>
      </c>
      <c r="E29" s="12">
        <v>11</v>
      </c>
      <c r="F29" s="8">
        <v>8.09</v>
      </c>
      <c r="G29" s="12">
        <v>3</v>
      </c>
      <c r="H29" s="8">
        <v>3.45</v>
      </c>
      <c r="I29" s="12">
        <v>0</v>
      </c>
    </row>
    <row r="30" spans="2:9" ht="15" customHeight="1" x14ac:dyDescent="0.2">
      <c r="B30" t="s">
        <v>108</v>
      </c>
      <c r="C30" s="12">
        <v>11</v>
      </c>
      <c r="D30" s="8">
        <v>4.76</v>
      </c>
      <c r="E30" s="12">
        <v>8</v>
      </c>
      <c r="F30" s="8">
        <v>5.88</v>
      </c>
      <c r="G30" s="12">
        <v>3</v>
      </c>
      <c r="H30" s="8">
        <v>3.45</v>
      </c>
      <c r="I30" s="12">
        <v>0</v>
      </c>
    </row>
    <row r="31" spans="2:9" ht="15" customHeight="1" x14ac:dyDescent="0.2">
      <c r="B31" t="s">
        <v>117</v>
      </c>
      <c r="C31" s="12">
        <v>11</v>
      </c>
      <c r="D31" s="8">
        <v>4.76</v>
      </c>
      <c r="E31" s="12">
        <v>9</v>
      </c>
      <c r="F31" s="8">
        <v>6.62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113</v>
      </c>
      <c r="C32" s="12">
        <v>8</v>
      </c>
      <c r="D32" s="8">
        <v>3.46</v>
      </c>
      <c r="E32" s="12">
        <v>2</v>
      </c>
      <c r="F32" s="8">
        <v>1.47</v>
      </c>
      <c r="G32" s="12">
        <v>6</v>
      </c>
      <c r="H32" s="8">
        <v>6.9</v>
      </c>
      <c r="I32" s="12">
        <v>0</v>
      </c>
    </row>
    <row r="33" spans="2:9" ht="15" customHeight="1" x14ac:dyDescent="0.2">
      <c r="B33" t="s">
        <v>118</v>
      </c>
      <c r="C33" s="12">
        <v>7</v>
      </c>
      <c r="D33" s="8">
        <v>3.03</v>
      </c>
      <c r="E33" s="12">
        <v>6</v>
      </c>
      <c r="F33" s="8">
        <v>4.41</v>
      </c>
      <c r="G33" s="12">
        <v>1</v>
      </c>
      <c r="H33" s="8">
        <v>1.1499999999999999</v>
      </c>
      <c r="I33" s="12">
        <v>0</v>
      </c>
    </row>
    <row r="34" spans="2:9" ht="15" customHeight="1" x14ac:dyDescent="0.2">
      <c r="B34" t="s">
        <v>103</v>
      </c>
      <c r="C34" s="12">
        <v>6</v>
      </c>
      <c r="D34" s="8">
        <v>2.6</v>
      </c>
      <c r="E34" s="12">
        <v>2</v>
      </c>
      <c r="F34" s="8">
        <v>1.47</v>
      </c>
      <c r="G34" s="12">
        <v>4</v>
      </c>
      <c r="H34" s="8">
        <v>4.5999999999999996</v>
      </c>
      <c r="I34" s="12">
        <v>0</v>
      </c>
    </row>
    <row r="35" spans="2:9" ht="15" customHeight="1" x14ac:dyDescent="0.2">
      <c r="B35" t="s">
        <v>119</v>
      </c>
      <c r="C35" s="12">
        <v>6</v>
      </c>
      <c r="D35" s="8">
        <v>2.6</v>
      </c>
      <c r="E35" s="12">
        <v>0</v>
      </c>
      <c r="F35" s="8">
        <v>0</v>
      </c>
      <c r="G35" s="12">
        <v>4</v>
      </c>
      <c r="H35" s="8">
        <v>4.5999999999999996</v>
      </c>
      <c r="I35" s="12">
        <v>0</v>
      </c>
    </row>
    <row r="36" spans="2:9" ht="15" customHeight="1" x14ac:dyDescent="0.2">
      <c r="B36" t="s">
        <v>109</v>
      </c>
      <c r="C36" s="12">
        <v>5</v>
      </c>
      <c r="D36" s="8">
        <v>2.16</v>
      </c>
      <c r="E36" s="12">
        <v>3</v>
      </c>
      <c r="F36" s="8">
        <v>2.21</v>
      </c>
      <c r="G36" s="12">
        <v>2</v>
      </c>
      <c r="H36" s="8">
        <v>2.2999999999999998</v>
      </c>
      <c r="I36" s="12">
        <v>0</v>
      </c>
    </row>
    <row r="37" spans="2:9" ht="15" customHeight="1" x14ac:dyDescent="0.2">
      <c r="B37" t="s">
        <v>112</v>
      </c>
      <c r="C37" s="12">
        <v>5</v>
      </c>
      <c r="D37" s="8">
        <v>2.16</v>
      </c>
      <c r="E37" s="12">
        <v>3</v>
      </c>
      <c r="F37" s="8">
        <v>2.21</v>
      </c>
      <c r="G37" s="12">
        <v>2</v>
      </c>
      <c r="H37" s="8">
        <v>2.2999999999999998</v>
      </c>
      <c r="I37" s="12">
        <v>0</v>
      </c>
    </row>
    <row r="38" spans="2:9" ht="15" customHeight="1" x14ac:dyDescent="0.2">
      <c r="B38" t="s">
        <v>121</v>
      </c>
      <c r="C38" s="12">
        <v>4</v>
      </c>
      <c r="D38" s="8">
        <v>1.73</v>
      </c>
      <c r="E38" s="12">
        <v>3</v>
      </c>
      <c r="F38" s="8">
        <v>2.21</v>
      </c>
      <c r="G38" s="12">
        <v>1</v>
      </c>
      <c r="H38" s="8">
        <v>1.1499999999999999</v>
      </c>
      <c r="I38" s="12">
        <v>0</v>
      </c>
    </row>
    <row r="39" spans="2:9" ht="15" customHeight="1" x14ac:dyDescent="0.2">
      <c r="B39" t="s">
        <v>104</v>
      </c>
      <c r="C39" s="12">
        <v>3</v>
      </c>
      <c r="D39" s="8">
        <v>1.3</v>
      </c>
      <c r="E39" s="12">
        <v>1</v>
      </c>
      <c r="F39" s="8">
        <v>0.74</v>
      </c>
      <c r="G39" s="12">
        <v>2</v>
      </c>
      <c r="H39" s="8">
        <v>2.2999999999999998</v>
      </c>
      <c r="I39" s="12">
        <v>0</v>
      </c>
    </row>
    <row r="40" spans="2:9" ht="15" customHeight="1" x14ac:dyDescent="0.2">
      <c r="B40" t="s">
        <v>122</v>
      </c>
      <c r="C40" s="12">
        <v>3</v>
      </c>
      <c r="D40" s="8">
        <v>1.3</v>
      </c>
      <c r="E40" s="12">
        <v>0</v>
      </c>
      <c r="F40" s="8">
        <v>0</v>
      </c>
      <c r="G40" s="12">
        <v>3</v>
      </c>
      <c r="H40" s="8">
        <v>3.45</v>
      </c>
      <c r="I40" s="12">
        <v>0</v>
      </c>
    </row>
    <row r="41" spans="2:9" ht="15" customHeight="1" x14ac:dyDescent="0.2">
      <c r="B41" t="s">
        <v>127</v>
      </c>
      <c r="C41" s="12">
        <v>2</v>
      </c>
      <c r="D41" s="8">
        <v>0.87</v>
      </c>
      <c r="E41" s="12">
        <v>1</v>
      </c>
      <c r="F41" s="8">
        <v>0.74</v>
      </c>
      <c r="G41" s="12">
        <v>1</v>
      </c>
      <c r="H41" s="8">
        <v>1.1499999999999999</v>
      </c>
      <c r="I41" s="12">
        <v>0</v>
      </c>
    </row>
    <row r="42" spans="2:9" ht="15" customHeight="1" x14ac:dyDescent="0.2">
      <c r="B42" t="s">
        <v>142</v>
      </c>
      <c r="C42" s="12">
        <v>2</v>
      </c>
      <c r="D42" s="8">
        <v>0.87</v>
      </c>
      <c r="E42" s="12">
        <v>0</v>
      </c>
      <c r="F42" s="8">
        <v>0</v>
      </c>
      <c r="G42" s="12">
        <v>2</v>
      </c>
      <c r="H42" s="8">
        <v>2.2999999999999998</v>
      </c>
      <c r="I42" s="12">
        <v>0</v>
      </c>
    </row>
    <row r="43" spans="2:9" ht="15" customHeight="1" x14ac:dyDescent="0.2">
      <c r="B43" t="s">
        <v>137</v>
      </c>
      <c r="C43" s="12">
        <v>2</v>
      </c>
      <c r="D43" s="8">
        <v>0.87</v>
      </c>
      <c r="E43" s="12">
        <v>2</v>
      </c>
      <c r="F43" s="8">
        <v>1.47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130</v>
      </c>
      <c r="C44" s="12">
        <v>2</v>
      </c>
      <c r="D44" s="8">
        <v>0.87</v>
      </c>
      <c r="E44" s="12">
        <v>2</v>
      </c>
      <c r="F44" s="8">
        <v>1.47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135</v>
      </c>
      <c r="C45" s="12">
        <v>2</v>
      </c>
      <c r="D45" s="8">
        <v>0.87</v>
      </c>
      <c r="E45" s="12">
        <v>1</v>
      </c>
      <c r="F45" s="8">
        <v>0.74</v>
      </c>
      <c r="G45" s="12">
        <v>1</v>
      </c>
      <c r="H45" s="8">
        <v>1.1499999999999999</v>
      </c>
      <c r="I45" s="12">
        <v>0</v>
      </c>
    </row>
    <row r="46" spans="2:9" ht="15" customHeight="1" x14ac:dyDescent="0.2">
      <c r="B46" t="s">
        <v>139</v>
      </c>
      <c r="C46" s="12">
        <v>2</v>
      </c>
      <c r="D46" s="8">
        <v>0.87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159</v>
      </c>
      <c r="C47" s="12">
        <v>2</v>
      </c>
      <c r="D47" s="8">
        <v>0.87</v>
      </c>
      <c r="E47" s="12">
        <v>0</v>
      </c>
      <c r="F47" s="8">
        <v>0</v>
      </c>
      <c r="G47" s="12">
        <v>2</v>
      </c>
      <c r="H47" s="8">
        <v>2.2999999999999998</v>
      </c>
      <c r="I47" s="12">
        <v>0</v>
      </c>
    </row>
    <row r="48" spans="2:9" ht="15" customHeight="1" x14ac:dyDescent="0.2">
      <c r="B48" t="s">
        <v>111</v>
      </c>
      <c r="C48" s="12">
        <v>2</v>
      </c>
      <c r="D48" s="8">
        <v>0.87</v>
      </c>
      <c r="E48" s="12">
        <v>0</v>
      </c>
      <c r="F48" s="8">
        <v>0</v>
      </c>
      <c r="G48" s="12">
        <v>2</v>
      </c>
      <c r="H48" s="8">
        <v>2.2999999999999998</v>
      </c>
      <c r="I48" s="12">
        <v>0</v>
      </c>
    </row>
    <row r="49" spans="2:9" ht="15" customHeight="1" x14ac:dyDescent="0.2">
      <c r="B49" t="s">
        <v>124</v>
      </c>
      <c r="C49" s="12">
        <v>2</v>
      </c>
      <c r="D49" s="8">
        <v>0.87</v>
      </c>
      <c r="E49" s="12">
        <v>0</v>
      </c>
      <c r="F49" s="8">
        <v>0</v>
      </c>
      <c r="G49" s="12">
        <v>2</v>
      </c>
      <c r="H49" s="8">
        <v>2.2999999999999998</v>
      </c>
      <c r="I49" s="12">
        <v>0</v>
      </c>
    </row>
    <row r="52" spans="2:9" ht="33" customHeight="1" x14ac:dyDescent="0.2">
      <c r="B52" t="s">
        <v>365</v>
      </c>
      <c r="C52" s="10" t="s">
        <v>94</v>
      </c>
      <c r="D52" s="10" t="s">
        <v>95</v>
      </c>
      <c r="E52" s="10" t="s">
        <v>96</v>
      </c>
      <c r="F52" s="10" t="s">
        <v>97</v>
      </c>
      <c r="G52" s="10" t="s">
        <v>98</v>
      </c>
      <c r="H52" s="10" t="s">
        <v>99</v>
      </c>
      <c r="I52" s="10" t="s">
        <v>100</v>
      </c>
    </row>
    <row r="53" spans="2:9" ht="15" customHeight="1" x14ac:dyDescent="0.2">
      <c r="B53" t="s">
        <v>174</v>
      </c>
      <c r="C53" s="12">
        <v>14</v>
      </c>
      <c r="D53" s="8">
        <v>6.06</v>
      </c>
      <c r="E53" s="12">
        <v>5</v>
      </c>
      <c r="F53" s="8">
        <v>3.68</v>
      </c>
      <c r="G53" s="12">
        <v>9</v>
      </c>
      <c r="H53" s="8">
        <v>10.34</v>
      </c>
      <c r="I53" s="12">
        <v>0</v>
      </c>
    </row>
    <row r="54" spans="2:9" ht="15" customHeight="1" x14ac:dyDescent="0.2">
      <c r="B54" t="s">
        <v>185</v>
      </c>
      <c r="C54" s="12">
        <v>13</v>
      </c>
      <c r="D54" s="8">
        <v>5.63</v>
      </c>
      <c r="E54" s="12">
        <v>12</v>
      </c>
      <c r="F54" s="8">
        <v>8.82</v>
      </c>
      <c r="G54" s="12">
        <v>1</v>
      </c>
      <c r="H54" s="8">
        <v>1.1499999999999999</v>
      </c>
      <c r="I54" s="12">
        <v>0</v>
      </c>
    </row>
    <row r="55" spans="2:9" ht="15" customHeight="1" x14ac:dyDescent="0.2">
      <c r="B55" t="s">
        <v>191</v>
      </c>
      <c r="C55" s="12">
        <v>12</v>
      </c>
      <c r="D55" s="8">
        <v>5.19</v>
      </c>
      <c r="E55" s="12">
        <v>11</v>
      </c>
      <c r="F55" s="8">
        <v>8.09</v>
      </c>
      <c r="G55" s="12">
        <v>1</v>
      </c>
      <c r="H55" s="8">
        <v>1.1499999999999999</v>
      </c>
      <c r="I55" s="12">
        <v>0</v>
      </c>
    </row>
    <row r="56" spans="2:9" ht="15" customHeight="1" x14ac:dyDescent="0.2">
      <c r="B56" t="s">
        <v>190</v>
      </c>
      <c r="C56" s="12">
        <v>7</v>
      </c>
      <c r="D56" s="8">
        <v>3.03</v>
      </c>
      <c r="E56" s="12">
        <v>7</v>
      </c>
      <c r="F56" s="8">
        <v>5.15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192</v>
      </c>
      <c r="C57" s="12">
        <v>7</v>
      </c>
      <c r="D57" s="8">
        <v>3.03</v>
      </c>
      <c r="E57" s="12">
        <v>7</v>
      </c>
      <c r="F57" s="8">
        <v>5.15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175</v>
      </c>
      <c r="C58" s="12">
        <v>6</v>
      </c>
      <c r="D58" s="8">
        <v>2.6</v>
      </c>
      <c r="E58" s="12">
        <v>4</v>
      </c>
      <c r="F58" s="8">
        <v>2.94</v>
      </c>
      <c r="G58" s="12">
        <v>2</v>
      </c>
      <c r="H58" s="8">
        <v>2.2999999999999998</v>
      </c>
      <c r="I58" s="12">
        <v>0</v>
      </c>
    </row>
    <row r="59" spans="2:9" ht="15" customHeight="1" x14ac:dyDescent="0.2">
      <c r="B59" t="s">
        <v>176</v>
      </c>
      <c r="C59" s="12">
        <v>6</v>
      </c>
      <c r="D59" s="8">
        <v>2.6</v>
      </c>
      <c r="E59" s="12">
        <v>1</v>
      </c>
      <c r="F59" s="8">
        <v>0.74</v>
      </c>
      <c r="G59" s="12">
        <v>5</v>
      </c>
      <c r="H59" s="8">
        <v>5.75</v>
      </c>
      <c r="I59" s="12">
        <v>0</v>
      </c>
    </row>
    <row r="60" spans="2:9" ht="15" customHeight="1" x14ac:dyDescent="0.2">
      <c r="B60" t="s">
        <v>181</v>
      </c>
      <c r="C60" s="12">
        <v>6</v>
      </c>
      <c r="D60" s="8">
        <v>2.6</v>
      </c>
      <c r="E60" s="12">
        <v>4</v>
      </c>
      <c r="F60" s="8">
        <v>2.94</v>
      </c>
      <c r="G60" s="12">
        <v>2</v>
      </c>
      <c r="H60" s="8">
        <v>2.2999999999999998</v>
      </c>
      <c r="I60" s="12">
        <v>0</v>
      </c>
    </row>
    <row r="61" spans="2:9" ht="15" customHeight="1" x14ac:dyDescent="0.2">
      <c r="B61" t="s">
        <v>218</v>
      </c>
      <c r="C61" s="12">
        <v>5</v>
      </c>
      <c r="D61" s="8">
        <v>2.16</v>
      </c>
      <c r="E61" s="12">
        <v>4</v>
      </c>
      <c r="F61" s="8">
        <v>2.94</v>
      </c>
      <c r="G61" s="12">
        <v>1</v>
      </c>
      <c r="H61" s="8">
        <v>1.1499999999999999</v>
      </c>
      <c r="I61" s="12">
        <v>0</v>
      </c>
    </row>
    <row r="62" spans="2:9" ht="15" customHeight="1" x14ac:dyDescent="0.2">
      <c r="B62" t="s">
        <v>261</v>
      </c>
      <c r="C62" s="12">
        <v>5</v>
      </c>
      <c r="D62" s="8">
        <v>2.16</v>
      </c>
      <c r="E62" s="12">
        <v>4</v>
      </c>
      <c r="F62" s="8">
        <v>2.94</v>
      </c>
      <c r="G62" s="12">
        <v>1</v>
      </c>
      <c r="H62" s="8">
        <v>1.1499999999999999</v>
      </c>
      <c r="I62" s="12">
        <v>0</v>
      </c>
    </row>
    <row r="63" spans="2:9" ht="15" customHeight="1" x14ac:dyDescent="0.2">
      <c r="B63" t="s">
        <v>178</v>
      </c>
      <c r="C63" s="12">
        <v>5</v>
      </c>
      <c r="D63" s="8">
        <v>2.16</v>
      </c>
      <c r="E63" s="12">
        <v>1</v>
      </c>
      <c r="F63" s="8">
        <v>0.74</v>
      </c>
      <c r="G63" s="12">
        <v>4</v>
      </c>
      <c r="H63" s="8">
        <v>4.5999999999999996</v>
      </c>
      <c r="I63" s="12">
        <v>0</v>
      </c>
    </row>
    <row r="64" spans="2:9" ht="15" customHeight="1" x14ac:dyDescent="0.2">
      <c r="B64" t="s">
        <v>180</v>
      </c>
      <c r="C64" s="12">
        <v>5</v>
      </c>
      <c r="D64" s="8">
        <v>2.16</v>
      </c>
      <c r="E64" s="12">
        <v>3</v>
      </c>
      <c r="F64" s="8">
        <v>2.21</v>
      </c>
      <c r="G64" s="12">
        <v>2</v>
      </c>
      <c r="H64" s="8">
        <v>2.2999999999999998</v>
      </c>
      <c r="I64" s="12">
        <v>0</v>
      </c>
    </row>
    <row r="65" spans="2:9" ht="15" customHeight="1" x14ac:dyDescent="0.2">
      <c r="B65" t="s">
        <v>216</v>
      </c>
      <c r="C65" s="12">
        <v>5</v>
      </c>
      <c r="D65" s="8">
        <v>2.16</v>
      </c>
      <c r="E65" s="12">
        <v>1</v>
      </c>
      <c r="F65" s="8">
        <v>0.74</v>
      </c>
      <c r="G65" s="12">
        <v>4</v>
      </c>
      <c r="H65" s="8">
        <v>4.5999999999999996</v>
      </c>
      <c r="I65" s="12">
        <v>0</v>
      </c>
    </row>
    <row r="66" spans="2:9" ht="15" customHeight="1" x14ac:dyDescent="0.2">
      <c r="B66" t="s">
        <v>184</v>
      </c>
      <c r="C66" s="12">
        <v>5</v>
      </c>
      <c r="D66" s="8">
        <v>2.16</v>
      </c>
      <c r="E66" s="12">
        <v>2</v>
      </c>
      <c r="F66" s="8">
        <v>1.47</v>
      </c>
      <c r="G66" s="12">
        <v>3</v>
      </c>
      <c r="H66" s="8">
        <v>3.45</v>
      </c>
      <c r="I66" s="12">
        <v>0</v>
      </c>
    </row>
    <row r="67" spans="2:9" ht="15" customHeight="1" x14ac:dyDescent="0.2">
      <c r="B67" t="s">
        <v>187</v>
      </c>
      <c r="C67" s="12">
        <v>5</v>
      </c>
      <c r="D67" s="8">
        <v>2.16</v>
      </c>
      <c r="E67" s="12">
        <v>4</v>
      </c>
      <c r="F67" s="8">
        <v>2.94</v>
      </c>
      <c r="G67" s="12">
        <v>1</v>
      </c>
      <c r="H67" s="8">
        <v>1.1499999999999999</v>
      </c>
      <c r="I67" s="12">
        <v>0</v>
      </c>
    </row>
    <row r="68" spans="2:9" ht="15" customHeight="1" x14ac:dyDescent="0.2">
      <c r="B68" t="s">
        <v>201</v>
      </c>
      <c r="C68" s="12">
        <v>4</v>
      </c>
      <c r="D68" s="8">
        <v>1.73</v>
      </c>
      <c r="E68" s="12">
        <v>4</v>
      </c>
      <c r="F68" s="8">
        <v>2.94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214</v>
      </c>
      <c r="C69" s="12">
        <v>4</v>
      </c>
      <c r="D69" s="8">
        <v>1.73</v>
      </c>
      <c r="E69" s="12">
        <v>3</v>
      </c>
      <c r="F69" s="8">
        <v>2.21</v>
      </c>
      <c r="G69" s="12">
        <v>1</v>
      </c>
      <c r="H69" s="8">
        <v>1.1499999999999999</v>
      </c>
      <c r="I69" s="12">
        <v>0</v>
      </c>
    </row>
    <row r="70" spans="2:9" ht="15" customHeight="1" x14ac:dyDescent="0.2">
      <c r="B70" t="s">
        <v>179</v>
      </c>
      <c r="C70" s="12">
        <v>4</v>
      </c>
      <c r="D70" s="8">
        <v>1.73</v>
      </c>
      <c r="E70" s="12">
        <v>2</v>
      </c>
      <c r="F70" s="8">
        <v>1.47</v>
      </c>
      <c r="G70" s="12">
        <v>2</v>
      </c>
      <c r="H70" s="8">
        <v>2.2999999999999998</v>
      </c>
      <c r="I70" s="12">
        <v>0</v>
      </c>
    </row>
    <row r="71" spans="2:9" ht="15" customHeight="1" x14ac:dyDescent="0.2">
      <c r="B71" t="s">
        <v>215</v>
      </c>
      <c r="C71" s="12">
        <v>4</v>
      </c>
      <c r="D71" s="8">
        <v>1.73</v>
      </c>
      <c r="E71" s="12">
        <v>2</v>
      </c>
      <c r="F71" s="8">
        <v>1.47</v>
      </c>
      <c r="G71" s="12">
        <v>2</v>
      </c>
      <c r="H71" s="8">
        <v>2.2999999999999998</v>
      </c>
      <c r="I71" s="12">
        <v>0</v>
      </c>
    </row>
    <row r="72" spans="2:9" ht="15" customHeight="1" x14ac:dyDescent="0.2">
      <c r="B72" t="s">
        <v>193</v>
      </c>
      <c r="C72" s="12">
        <v>4</v>
      </c>
      <c r="D72" s="8">
        <v>1.73</v>
      </c>
      <c r="E72" s="12">
        <v>4</v>
      </c>
      <c r="F72" s="8">
        <v>2.94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271</v>
      </c>
      <c r="C73" s="12">
        <v>4</v>
      </c>
      <c r="D73" s="8">
        <v>1.73</v>
      </c>
      <c r="E73" s="12">
        <v>0</v>
      </c>
      <c r="F73" s="8">
        <v>0</v>
      </c>
      <c r="G73" s="12">
        <v>4</v>
      </c>
      <c r="H73" s="8">
        <v>4.5999999999999996</v>
      </c>
      <c r="I73" s="12">
        <v>0</v>
      </c>
    </row>
    <row r="75" spans="2:9" ht="15" customHeight="1" x14ac:dyDescent="0.2">
      <c r="B75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BE7FE-67F8-4999-B676-95C5263182D1}">
  <sheetPr>
    <pageSetUpPr fitToPage="1"/>
  </sheetPr>
  <dimension ref="B2:I8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443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17</v>
      </c>
      <c r="D6" s="8">
        <v>28.33</v>
      </c>
      <c r="E6" s="12">
        <v>9</v>
      </c>
      <c r="F6" s="8">
        <v>27.27</v>
      </c>
      <c r="G6" s="12">
        <v>8</v>
      </c>
      <c r="H6" s="8">
        <v>30.77</v>
      </c>
      <c r="I6" s="12">
        <v>0</v>
      </c>
    </row>
    <row r="7" spans="2:9" ht="15" customHeight="1" x14ac:dyDescent="0.2">
      <c r="B7" t="s">
        <v>80</v>
      </c>
      <c r="C7" s="12">
        <v>6</v>
      </c>
      <c r="D7" s="8">
        <v>10</v>
      </c>
      <c r="E7" s="12">
        <v>2</v>
      </c>
      <c r="F7" s="8">
        <v>6.06</v>
      </c>
      <c r="G7" s="12">
        <v>4</v>
      </c>
      <c r="H7" s="8">
        <v>15.38</v>
      </c>
      <c r="I7" s="12">
        <v>0</v>
      </c>
    </row>
    <row r="8" spans="2:9" ht="15" customHeight="1" x14ac:dyDescent="0.2">
      <c r="B8" t="s">
        <v>81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82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83</v>
      </c>
      <c r="C10" s="12">
        <v>1</v>
      </c>
      <c r="D10" s="8">
        <v>1.67</v>
      </c>
      <c r="E10" s="12">
        <v>0</v>
      </c>
      <c r="F10" s="8">
        <v>0</v>
      </c>
      <c r="G10" s="12">
        <v>1</v>
      </c>
      <c r="H10" s="8">
        <v>3.85</v>
      </c>
      <c r="I10" s="12">
        <v>0</v>
      </c>
    </row>
    <row r="11" spans="2:9" ht="15" customHeight="1" x14ac:dyDescent="0.2">
      <c r="B11" t="s">
        <v>84</v>
      </c>
      <c r="C11" s="12">
        <v>16</v>
      </c>
      <c r="D11" s="8">
        <v>26.67</v>
      </c>
      <c r="E11" s="12">
        <v>10</v>
      </c>
      <c r="F11" s="8">
        <v>30.3</v>
      </c>
      <c r="G11" s="12">
        <v>6</v>
      </c>
      <c r="H11" s="8">
        <v>23.08</v>
      </c>
      <c r="I11" s="12">
        <v>0</v>
      </c>
    </row>
    <row r="12" spans="2:9" ht="15" customHeight="1" x14ac:dyDescent="0.2">
      <c r="B12" t="s">
        <v>85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86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87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88</v>
      </c>
      <c r="C15" s="12">
        <v>9</v>
      </c>
      <c r="D15" s="8">
        <v>15</v>
      </c>
      <c r="E15" s="12">
        <v>7</v>
      </c>
      <c r="F15" s="8">
        <v>21.21</v>
      </c>
      <c r="G15" s="12">
        <v>2</v>
      </c>
      <c r="H15" s="8">
        <v>7.69</v>
      </c>
      <c r="I15" s="12">
        <v>0</v>
      </c>
    </row>
    <row r="16" spans="2:9" ht="15" customHeight="1" x14ac:dyDescent="0.2">
      <c r="B16" t="s">
        <v>89</v>
      </c>
      <c r="C16" s="12">
        <v>7</v>
      </c>
      <c r="D16" s="8">
        <v>11.67</v>
      </c>
      <c r="E16" s="12">
        <v>4</v>
      </c>
      <c r="F16" s="8">
        <v>12.12</v>
      </c>
      <c r="G16" s="12">
        <v>3</v>
      </c>
      <c r="H16" s="8">
        <v>11.54</v>
      </c>
      <c r="I16" s="12">
        <v>0</v>
      </c>
    </row>
    <row r="17" spans="2:9" ht="15" customHeight="1" x14ac:dyDescent="0.2">
      <c r="B17" t="s">
        <v>90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91</v>
      </c>
      <c r="C18" s="12">
        <v>2</v>
      </c>
      <c r="D18" s="8">
        <v>3.33</v>
      </c>
      <c r="E18" s="12">
        <v>1</v>
      </c>
      <c r="F18" s="8">
        <v>3.03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92</v>
      </c>
      <c r="C19" s="12">
        <v>2</v>
      </c>
      <c r="D19" s="8">
        <v>3.33</v>
      </c>
      <c r="E19" s="12">
        <v>0</v>
      </c>
      <c r="F19" s="8">
        <v>0</v>
      </c>
      <c r="G19" s="12">
        <v>2</v>
      </c>
      <c r="H19" s="8">
        <v>7.69</v>
      </c>
      <c r="I19" s="12">
        <v>0</v>
      </c>
    </row>
    <row r="20" spans="2:9" ht="15" customHeight="1" x14ac:dyDescent="0.2">
      <c r="B20" s="9" t="s">
        <v>363</v>
      </c>
      <c r="C20" s="12">
        <f>SUM(LTBL_20602[総数／事業所数])</f>
        <v>60</v>
      </c>
      <c r="E20" s="12">
        <f>SUBTOTAL(109,LTBL_20602[個人／事業所数])</f>
        <v>33</v>
      </c>
      <c r="G20" s="12">
        <f>SUBTOTAL(109,LTBL_20602[法人／事業所数])</f>
        <v>26</v>
      </c>
      <c r="I20" s="12">
        <f>SUBTOTAL(109,LTBL_20602[法人以外の団体／事業所数])</f>
        <v>0</v>
      </c>
    </row>
    <row r="21" spans="2:9" ht="15" customHeight="1" x14ac:dyDescent="0.2">
      <c r="E21" s="11">
        <f>LTBL_20602[[#Totals],[個人／事業所数]]/LTBL_20602[[#Totals],[総数／事業所数]]</f>
        <v>0.55000000000000004</v>
      </c>
      <c r="G21" s="11">
        <f>LTBL_20602[[#Totals],[法人／事業所数]]/LTBL_20602[[#Totals],[総数／事業所数]]</f>
        <v>0.43333333333333335</v>
      </c>
      <c r="I21" s="11">
        <f>LTBL_20602[[#Totals],[法人以外の団体／事業所数]]/LTBL_20602[[#Totals],[総数／事業所数]]</f>
        <v>0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114</v>
      </c>
      <c r="C24" s="12">
        <v>8</v>
      </c>
      <c r="D24" s="8">
        <v>13.33</v>
      </c>
      <c r="E24" s="12">
        <v>6</v>
      </c>
      <c r="F24" s="8">
        <v>18.18</v>
      </c>
      <c r="G24" s="12">
        <v>2</v>
      </c>
      <c r="H24" s="8">
        <v>7.69</v>
      </c>
      <c r="I24" s="12">
        <v>0</v>
      </c>
    </row>
    <row r="25" spans="2:9" ht="15" customHeight="1" x14ac:dyDescent="0.2">
      <c r="B25" t="s">
        <v>101</v>
      </c>
      <c r="C25" s="12">
        <v>7</v>
      </c>
      <c r="D25" s="8">
        <v>11.67</v>
      </c>
      <c r="E25" s="12">
        <v>1</v>
      </c>
      <c r="F25" s="8">
        <v>3.03</v>
      </c>
      <c r="G25" s="12">
        <v>6</v>
      </c>
      <c r="H25" s="8">
        <v>23.08</v>
      </c>
      <c r="I25" s="12">
        <v>0</v>
      </c>
    </row>
    <row r="26" spans="2:9" ht="15" customHeight="1" x14ac:dyDescent="0.2">
      <c r="B26" t="s">
        <v>110</v>
      </c>
      <c r="C26" s="12">
        <v>6</v>
      </c>
      <c r="D26" s="8">
        <v>10</v>
      </c>
      <c r="E26" s="12">
        <v>2</v>
      </c>
      <c r="F26" s="8">
        <v>6.06</v>
      </c>
      <c r="G26" s="12">
        <v>4</v>
      </c>
      <c r="H26" s="8">
        <v>15.38</v>
      </c>
      <c r="I26" s="12">
        <v>0</v>
      </c>
    </row>
    <row r="27" spans="2:9" ht="15" customHeight="1" x14ac:dyDescent="0.2">
      <c r="B27" t="s">
        <v>102</v>
      </c>
      <c r="C27" s="12">
        <v>5</v>
      </c>
      <c r="D27" s="8">
        <v>8.33</v>
      </c>
      <c r="E27" s="12">
        <v>5</v>
      </c>
      <c r="F27" s="8">
        <v>15.15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103</v>
      </c>
      <c r="C28" s="12">
        <v>5</v>
      </c>
      <c r="D28" s="8">
        <v>8.33</v>
      </c>
      <c r="E28" s="12">
        <v>3</v>
      </c>
      <c r="F28" s="8">
        <v>9.09</v>
      </c>
      <c r="G28" s="12">
        <v>2</v>
      </c>
      <c r="H28" s="8">
        <v>7.69</v>
      </c>
      <c r="I28" s="12">
        <v>0</v>
      </c>
    </row>
    <row r="29" spans="2:9" ht="15" customHeight="1" x14ac:dyDescent="0.2">
      <c r="B29" t="s">
        <v>108</v>
      </c>
      <c r="C29" s="12">
        <v>5</v>
      </c>
      <c r="D29" s="8">
        <v>8.33</v>
      </c>
      <c r="E29" s="12">
        <v>4</v>
      </c>
      <c r="F29" s="8">
        <v>12.12</v>
      </c>
      <c r="G29" s="12">
        <v>1</v>
      </c>
      <c r="H29" s="8">
        <v>3.85</v>
      </c>
      <c r="I29" s="12">
        <v>0</v>
      </c>
    </row>
    <row r="30" spans="2:9" ht="15" customHeight="1" x14ac:dyDescent="0.2">
      <c r="B30" t="s">
        <v>116</v>
      </c>
      <c r="C30" s="12">
        <v>4</v>
      </c>
      <c r="D30" s="8">
        <v>6.67</v>
      </c>
      <c r="E30" s="12">
        <v>3</v>
      </c>
      <c r="F30" s="8">
        <v>9.09</v>
      </c>
      <c r="G30" s="12">
        <v>1</v>
      </c>
      <c r="H30" s="8">
        <v>3.85</v>
      </c>
      <c r="I30" s="12">
        <v>0</v>
      </c>
    </row>
    <row r="31" spans="2:9" ht="15" customHeight="1" x14ac:dyDescent="0.2">
      <c r="B31" t="s">
        <v>131</v>
      </c>
      <c r="C31" s="12">
        <v>3</v>
      </c>
      <c r="D31" s="8">
        <v>5</v>
      </c>
      <c r="E31" s="12">
        <v>1</v>
      </c>
      <c r="F31" s="8">
        <v>3.03</v>
      </c>
      <c r="G31" s="12">
        <v>2</v>
      </c>
      <c r="H31" s="8">
        <v>7.69</v>
      </c>
      <c r="I31" s="12">
        <v>0</v>
      </c>
    </row>
    <row r="32" spans="2:9" ht="15" customHeight="1" x14ac:dyDescent="0.2">
      <c r="B32" t="s">
        <v>127</v>
      </c>
      <c r="C32" s="12">
        <v>2</v>
      </c>
      <c r="D32" s="8">
        <v>3.33</v>
      </c>
      <c r="E32" s="12">
        <v>1</v>
      </c>
      <c r="F32" s="8">
        <v>3.03</v>
      </c>
      <c r="G32" s="12">
        <v>1</v>
      </c>
      <c r="H32" s="8">
        <v>3.85</v>
      </c>
      <c r="I32" s="12">
        <v>0</v>
      </c>
    </row>
    <row r="33" spans="2:9" ht="15" customHeight="1" x14ac:dyDescent="0.2">
      <c r="B33" t="s">
        <v>143</v>
      </c>
      <c r="C33" s="12">
        <v>2</v>
      </c>
      <c r="D33" s="8">
        <v>3.33</v>
      </c>
      <c r="E33" s="12">
        <v>0</v>
      </c>
      <c r="F33" s="8">
        <v>0</v>
      </c>
      <c r="G33" s="12">
        <v>2</v>
      </c>
      <c r="H33" s="8">
        <v>7.69</v>
      </c>
      <c r="I33" s="12">
        <v>0</v>
      </c>
    </row>
    <row r="34" spans="2:9" ht="15" customHeight="1" x14ac:dyDescent="0.2">
      <c r="B34" t="s">
        <v>109</v>
      </c>
      <c r="C34" s="12">
        <v>2</v>
      </c>
      <c r="D34" s="8">
        <v>3.33</v>
      </c>
      <c r="E34" s="12">
        <v>2</v>
      </c>
      <c r="F34" s="8">
        <v>6.06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118</v>
      </c>
      <c r="C35" s="12">
        <v>2</v>
      </c>
      <c r="D35" s="8">
        <v>3.33</v>
      </c>
      <c r="E35" s="12">
        <v>1</v>
      </c>
      <c r="F35" s="8">
        <v>3.03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137</v>
      </c>
      <c r="C36" s="12">
        <v>1</v>
      </c>
      <c r="D36" s="8">
        <v>1.67</v>
      </c>
      <c r="E36" s="12">
        <v>0</v>
      </c>
      <c r="F36" s="8">
        <v>0</v>
      </c>
      <c r="G36" s="12">
        <v>1</v>
      </c>
      <c r="H36" s="8">
        <v>3.85</v>
      </c>
      <c r="I36" s="12">
        <v>0</v>
      </c>
    </row>
    <row r="37" spans="2:9" ht="15" customHeight="1" x14ac:dyDescent="0.2">
      <c r="B37" t="s">
        <v>130</v>
      </c>
      <c r="C37" s="12">
        <v>1</v>
      </c>
      <c r="D37" s="8">
        <v>1.67</v>
      </c>
      <c r="E37" s="12">
        <v>1</v>
      </c>
      <c r="F37" s="8">
        <v>3.03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145</v>
      </c>
      <c r="C38" s="12">
        <v>1</v>
      </c>
      <c r="D38" s="8">
        <v>1.67</v>
      </c>
      <c r="E38" s="12">
        <v>0</v>
      </c>
      <c r="F38" s="8">
        <v>0</v>
      </c>
      <c r="G38" s="12">
        <v>1</v>
      </c>
      <c r="H38" s="8">
        <v>3.85</v>
      </c>
      <c r="I38" s="12">
        <v>0</v>
      </c>
    </row>
    <row r="39" spans="2:9" ht="15" customHeight="1" x14ac:dyDescent="0.2">
      <c r="B39" t="s">
        <v>125</v>
      </c>
      <c r="C39" s="12">
        <v>1</v>
      </c>
      <c r="D39" s="8">
        <v>1.67</v>
      </c>
      <c r="E39" s="12">
        <v>1</v>
      </c>
      <c r="F39" s="8">
        <v>3.03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121</v>
      </c>
      <c r="C40" s="12">
        <v>1</v>
      </c>
      <c r="D40" s="8">
        <v>1.67</v>
      </c>
      <c r="E40" s="12">
        <v>0</v>
      </c>
      <c r="F40" s="8">
        <v>0</v>
      </c>
      <c r="G40" s="12">
        <v>1</v>
      </c>
      <c r="H40" s="8">
        <v>3.85</v>
      </c>
      <c r="I40" s="12">
        <v>0</v>
      </c>
    </row>
    <row r="41" spans="2:9" ht="15" customHeight="1" x14ac:dyDescent="0.2">
      <c r="B41" t="s">
        <v>107</v>
      </c>
      <c r="C41" s="12">
        <v>1</v>
      </c>
      <c r="D41" s="8">
        <v>1.67</v>
      </c>
      <c r="E41" s="12">
        <v>1</v>
      </c>
      <c r="F41" s="8">
        <v>3.03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115</v>
      </c>
      <c r="C42" s="12">
        <v>1</v>
      </c>
      <c r="D42" s="8">
        <v>1.67</v>
      </c>
      <c r="E42" s="12">
        <v>1</v>
      </c>
      <c r="F42" s="8">
        <v>3.03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163</v>
      </c>
      <c r="C43" s="12">
        <v>1</v>
      </c>
      <c r="D43" s="8">
        <v>1.67</v>
      </c>
      <c r="E43" s="12">
        <v>0</v>
      </c>
      <c r="F43" s="8">
        <v>0</v>
      </c>
      <c r="G43" s="12">
        <v>1</v>
      </c>
      <c r="H43" s="8">
        <v>3.85</v>
      </c>
      <c r="I43" s="12">
        <v>0</v>
      </c>
    </row>
    <row r="44" spans="2:9" ht="15" customHeight="1" x14ac:dyDescent="0.2">
      <c r="B44" t="s">
        <v>124</v>
      </c>
      <c r="C44" s="12">
        <v>1</v>
      </c>
      <c r="D44" s="8">
        <v>1.67</v>
      </c>
      <c r="E44" s="12">
        <v>0</v>
      </c>
      <c r="F44" s="8">
        <v>0</v>
      </c>
      <c r="G44" s="12">
        <v>1</v>
      </c>
      <c r="H44" s="8">
        <v>3.85</v>
      </c>
      <c r="I44" s="12">
        <v>0</v>
      </c>
    </row>
    <row r="47" spans="2:9" ht="33" customHeight="1" x14ac:dyDescent="0.2">
      <c r="B47" t="s">
        <v>365</v>
      </c>
      <c r="C47" s="10" t="s">
        <v>94</v>
      </c>
      <c r="D47" s="10" t="s">
        <v>95</v>
      </c>
      <c r="E47" s="10" t="s">
        <v>96</v>
      </c>
      <c r="F47" s="10" t="s">
        <v>97</v>
      </c>
      <c r="G47" s="10" t="s">
        <v>98</v>
      </c>
      <c r="H47" s="10" t="s">
        <v>99</v>
      </c>
      <c r="I47" s="10" t="s">
        <v>100</v>
      </c>
    </row>
    <row r="48" spans="2:9" ht="15" customHeight="1" x14ac:dyDescent="0.2">
      <c r="B48" t="s">
        <v>185</v>
      </c>
      <c r="C48" s="12">
        <v>8</v>
      </c>
      <c r="D48" s="8">
        <v>13.33</v>
      </c>
      <c r="E48" s="12">
        <v>6</v>
      </c>
      <c r="F48" s="8">
        <v>18.18</v>
      </c>
      <c r="G48" s="12">
        <v>2</v>
      </c>
      <c r="H48" s="8">
        <v>7.69</v>
      </c>
      <c r="I48" s="12">
        <v>0</v>
      </c>
    </row>
    <row r="49" spans="2:9" ht="15" customHeight="1" x14ac:dyDescent="0.2">
      <c r="B49" t="s">
        <v>174</v>
      </c>
      <c r="C49" s="12">
        <v>5</v>
      </c>
      <c r="D49" s="8">
        <v>8.33</v>
      </c>
      <c r="E49" s="12">
        <v>0</v>
      </c>
      <c r="F49" s="8">
        <v>0</v>
      </c>
      <c r="G49" s="12">
        <v>5</v>
      </c>
      <c r="H49" s="8">
        <v>19.23</v>
      </c>
      <c r="I49" s="12">
        <v>0</v>
      </c>
    </row>
    <row r="50" spans="2:9" ht="15" customHeight="1" x14ac:dyDescent="0.2">
      <c r="B50" t="s">
        <v>210</v>
      </c>
      <c r="C50" s="12">
        <v>3</v>
      </c>
      <c r="D50" s="8">
        <v>5</v>
      </c>
      <c r="E50" s="12">
        <v>3</v>
      </c>
      <c r="F50" s="8">
        <v>9.09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178</v>
      </c>
      <c r="C51" s="12">
        <v>3</v>
      </c>
      <c r="D51" s="8">
        <v>5</v>
      </c>
      <c r="E51" s="12">
        <v>2</v>
      </c>
      <c r="F51" s="8">
        <v>6.06</v>
      </c>
      <c r="G51" s="12">
        <v>1</v>
      </c>
      <c r="H51" s="8">
        <v>3.85</v>
      </c>
      <c r="I51" s="12">
        <v>0</v>
      </c>
    </row>
    <row r="52" spans="2:9" ht="15" customHeight="1" x14ac:dyDescent="0.2">
      <c r="B52" t="s">
        <v>181</v>
      </c>
      <c r="C52" s="12">
        <v>3</v>
      </c>
      <c r="D52" s="8">
        <v>5</v>
      </c>
      <c r="E52" s="12">
        <v>1</v>
      </c>
      <c r="F52" s="8">
        <v>3.03</v>
      </c>
      <c r="G52" s="12">
        <v>2</v>
      </c>
      <c r="H52" s="8">
        <v>7.69</v>
      </c>
      <c r="I52" s="12">
        <v>0</v>
      </c>
    </row>
    <row r="53" spans="2:9" ht="15" customHeight="1" x14ac:dyDescent="0.2">
      <c r="B53" t="s">
        <v>177</v>
      </c>
      <c r="C53" s="12">
        <v>2</v>
      </c>
      <c r="D53" s="8">
        <v>3.33</v>
      </c>
      <c r="E53" s="12">
        <v>1</v>
      </c>
      <c r="F53" s="8">
        <v>3.03</v>
      </c>
      <c r="G53" s="12">
        <v>1</v>
      </c>
      <c r="H53" s="8">
        <v>3.85</v>
      </c>
      <c r="I53" s="12">
        <v>0</v>
      </c>
    </row>
    <row r="54" spans="2:9" ht="15" customHeight="1" x14ac:dyDescent="0.2">
      <c r="B54" t="s">
        <v>237</v>
      </c>
      <c r="C54" s="12">
        <v>2</v>
      </c>
      <c r="D54" s="8">
        <v>3.33</v>
      </c>
      <c r="E54" s="12">
        <v>0</v>
      </c>
      <c r="F54" s="8">
        <v>0</v>
      </c>
      <c r="G54" s="12">
        <v>2</v>
      </c>
      <c r="H54" s="8">
        <v>7.69</v>
      </c>
      <c r="I54" s="12">
        <v>0</v>
      </c>
    </row>
    <row r="55" spans="2:9" ht="15" customHeight="1" x14ac:dyDescent="0.2">
      <c r="B55" t="s">
        <v>179</v>
      </c>
      <c r="C55" s="12">
        <v>2</v>
      </c>
      <c r="D55" s="8">
        <v>3.33</v>
      </c>
      <c r="E55" s="12">
        <v>2</v>
      </c>
      <c r="F55" s="8">
        <v>6.06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190</v>
      </c>
      <c r="C56" s="12">
        <v>2</v>
      </c>
      <c r="D56" s="8">
        <v>3.33</v>
      </c>
      <c r="E56" s="12">
        <v>2</v>
      </c>
      <c r="F56" s="8">
        <v>6.06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359</v>
      </c>
      <c r="C57" s="12">
        <v>2</v>
      </c>
      <c r="D57" s="8">
        <v>3.33</v>
      </c>
      <c r="E57" s="12">
        <v>0</v>
      </c>
      <c r="F57" s="8">
        <v>0</v>
      </c>
      <c r="G57" s="12">
        <v>2</v>
      </c>
      <c r="H57" s="8">
        <v>7.69</v>
      </c>
      <c r="I57" s="12">
        <v>0</v>
      </c>
    </row>
    <row r="58" spans="2:9" ht="15" customHeight="1" x14ac:dyDescent="0.2">
      <c r="B58" t="s">
        <v>287</v>
      </c>
      <c r="C58" s="12">
        <v>1</v>
      </c>
      <c r="D58" s="8">
        <v>1.67</v>
      </c>
      <c r="E58" s="12">
        <v>0</v>
      </c>
      <c r="F58" s="8">
        <v>0</v>
      </c>
      <c r="G58" s="12">
        <v>1</v>
      </c>
      <c r="H58" s="8">
        <v>3.85</v>
      </c>
      <c r="I58" s="12">
        <v>0</v>
      </c>
    </row>
    <row r="59" spans="2:9" ht="15" customHeight="1" x14ac:dyDescent="0.2">
      <c r="B59" t="s">
        <v>176</v>
      </c>
      <c r="C59" s="12">
        <v>1</v>
      </c>
      <c r="D59" s="8">
        <v>1.67</v>
      </c>
      <c r="E59" s="12">
        <v>1</v>
      </c>
      <c r="F59" s="8">
        <v>3.03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201</v>
      </c>
      <c r="C60" s="12">
        <v>1</v>
      </c>
      <c r="D60" s="8">
        <v>1.67</v>
      </c>
      <c r="E60" s="12">
        <v>1</v>
      </c>
      <c r="F60" s="8">
        <v>3.03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286</v>
      </c>
      <c r="C61" s="12">
        <v>1</v>
      </c>
      <c r="D61" s="8">
        <v>1.67</v>
      </c>
      <c r="E61" s="12">
        <v>1</v>
      </c>
      <c r="F61" s="8">
        <v>3.03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262</v>
      </c>
      <c r="C62" s="12">
        <v>1</v>
      </c>
      <c r="D62" s="8">
        <v>1.67</v>
      </c>
      <c r="E62" s="12">
        <v>0</v>
      </c>
      <c r="F62" s="8">
        <v>0</v>
      </c>
      <c r="G62" s="12">
        <v>1</v>
      </c>
      <c r="H62" s="8">
        <v>3.85</v>
      </c>
      <c r="I62" s="12">
        <v>0</v>
      </c>
    </row>
    <row r="63" spans="2:9" ht="15" customHeight="1" x14ac:dyDescent="0.2">
      <c r="B63" t="s">
        <v>308</v>
      </c>
      <c r="C63" s="12">
        <v>1</v>
      </c>
      <c r="D63" s="8">
        <v>1.67</v>
      </c>
      <c r="E63" s="12">
        <v>1</v>
      </c>
      <c r="F63" s="8">
        <v>3.03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230</v>
      </c>
      <c r="C64" s="12">
        <v>1</v>
      </c>
      <c r="D64" s="8">
        <v>1.67</v>
      </c>
      <c r="E64" s="12">
        <v>0</v>
      </c>
      <c r="F64" s="8">
        <v>0</v>
      </c>
      <c r="G64" s="12">
        <v>1</v>
      </c>
      <c r="H64" s="8">
        <v>3.85</v>
      </c>
      <c r="I64" s="12">
        <v>0</v>
      </c>
    </row>
    <row r="65" spans="2:9" ht="15" customHeight="1" x14ac:dyDescent="0.2">
      <c r="B65" t="s">
        <v>236</v>
      </c>
      <c r="C65" s="12">
        <v>1</v>
      </c>
      <c r="D65" s="8">
        <v>1.67</v>
      </c>
      <c r="E65" s="12">
        <v>1</v>
      </c>
      <c r="F65" s="8">
        <v>3.03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240</v>
      </c>
      <c r="C66" s="12">
        <v>1</v>
      </c>
      <c r="D66" s="8">
        <v>1.67</v>
      </c>
      <c r="E66" s="12">
        <v>0</v>
      </c>
      <c r="F66" s="8">
        <v>0</v>
      </c>
      <c r="G66" s="12">
        <v>1</v>
      </c>
      <c r="H66" s="8">
        <v>3.85</v>
      </c>
      <c r="I66" s="12">
        <v>0</v>
      </c>
    </row>
    <row r="67" spans="2:9" ht="15" customHeight="1" x14ac:dyDescent="0.2">
      <c r="B67" t="s">
        <v>213</v>
      </c>
      <c r="C67" s="12">
        <v>1</v>
      </c>
      <c r="D67" s="8">
        <v>1.67</v>
      </c>
      <c r="E67" s="12">
        <v>1</v>
      </c>
      <c r="F67" s="8">
        <v>3.03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357</v>
      </c>
      <c r="C68" s="12">
        <v>1</v>
      </c>
      <c r="D68" s="8">
        <v>1.67</v>
      </c>
      <c r="E68" s="12">
        <v>0</v>
      </c>
      <c r="F68" s="8">
        <v>0</v>
      </c>
      <c r="G68" s="12">
        <v>1</v>
      </c>
      <c r="H68" s="8">
        <v>3.85</v>
      </c>
      <c r="I68" s="12">
        <v>0</v>
      </c>
    </row>
    <row r="69" spans="2:9" ht="15" customHeight="1" x14ac:dyDescent="0.2">
      <c r="B69" t="s">
        <v>226</v>
      </c>
      <c r="C69" s="12">
        <v>1</v>
      </c>
      <c r="D69" s="8">
        <v>1.67</v>
      </c>
      <c r="E69" s="12">
        <v>1</v>
      </c>
      <c r="F69" s="8">
        <v>3.03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233</v>
      </c>
      <c r="C70" s="12">
        <v>1</v>
      </c>
      <c r="D70" s="8">
        <v>1.67</v>
      </c>
      <c r="E70" s="12">
        <v>1</v>
      </c>
      <c r="F70" s="8">
        <v>3.03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227</v>
      </c>
      <c r="C71" s="12">
        <v>1</v>
      </c>
      <c r="D71" s="8">
        <v>1.67</v>
      </c>
      <c r="E71" s="12">
        <v>0</v>
      </c>
      <c r="F71" s="8">
        <v>0</v>
      </c>
      <c r="G71" s="12">
        <v>1</v>
      </c>
      <c r="H71" s="8">
        <v>3.85</v>
      </c>
      <c r="I71" s="12">
        <v>0</v>
      </c>
    </row>
    <row r="72" spans="2:9" ht="15" customHeight="1" x14ac:dyDescent="0.2">
      <c r="B72" t="s">
        <v>197</v>
      </c>
      <c r="C72" s="12">
        <v>1</v>
      </c>
      <c r="D72" s="8">
        <v>1.67</v>
      </c>
      <c r="E72" s="12">
        <v>1</v>
      </c>
      <c r="F72" s="8">
        <v>3.03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180</v>
      </c>
      <c r="C73" s="12">
        <v>1</v>
      </c>
      <c r="D73" s="8">
        <v>1.67</v>
      </c>
      <c r="E73" s="12">
        <v>1</v>
      </c>
      <c r="F73" s="8">
        <v>3.03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205</v>
      </c>
      <c r="C74" s="12">
        <v>1</v>
      </c>
      <c r="D74" s="8">
        <v>1.67</v>
      </c>
      <c r="E74" s="12">
        <v>1</v>
      </c>
      <c r="F74" s="8">
        <v>3.03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222</v>
      </c>
      <c r="C75" s="12">
        <v>1</v>
      </c>
      <c r="D75" s="8">
        <v>1.67</v>
      </c>
      <c r="E75" s="12">
        <v>1</v>
      </c>
      <c r="F75" s="8">
        <v>3.03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215</v>
      </c>
      <c r="C76" s="12">
        <v>1</v>
      </c>
      <c r="D76" s="8">
        <v>1.67</v>
      </c>
      <c r="E76" s="12">
        <v>0</v>
      </c>
      <c r="F76" s="8">
        <v>0</v>
      </c>
      <c r="G76" s="12">
        <v>1</v>
      </c>
      <c r="H76" s="8">
        <v>3.85</v>
      </c>
      <c r="I76" s="12">
        <v>0</v>
      </c>
    </row>
    <row r="77" spans="2:9" ht="15" customHeight="1" x14ac:dyDescent="0.2">
      <c r="B77" t="s">
        <v>216</v>
      </c>
      <c r="C77" s="12">
        <v>1</v>
      </c>
      <c r="D77" s="8">
        <v>1.67</v>
      </c>
      <c r="E77" s="12">
        <v>0</v>
      </c>
      <c r="F77" s="8">
        <v>0</v>
      </c>
      <c r="G77" s="12">
        <v>1</v>
      </c>
      <c r="H77" s="8">
        <v>3.85</v>
      </c>
      <c r="I77" s="12">
        <v>0</v>
      </c>
    </row>
    <row r="78" spans="2:9" ht="15" customHeight="1" x14ac:dyDescent="0.2">
      <c r="B78" t="s">
        <v>297</v>
      </c>
      <c r="C78" s="12">
        <v>1</v>
      </c>
      <c r="D78" s="8">
        <v>1.67</v>
      </c>
      <c r="E78" s="12">
        <v>1</v>
      </c>
      <c r="F78" s="8">
        <v>3.03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191</v>
      </c>
      <c r="C79" s="12">
        <v>1</v>
      </c>
      <c r="D79" s="8">
        <v>1.67</v>
      </c>
      <c r="E79" s="12">
        <v>1</v>
      </c>
      <c r="F79" s="8">
        <v>3.03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257</v>
      </c>
      <c r="C80" s="12">
        <v>1</v>
      </c>
      <c r="D80" s="8">
        <v>1.67</v>
      </c>
      <c r="E80" s="12">
        <v>0</v>
      </c>
      <c r="F80" s="8">
        <v>0</v>
      </c>
      <c r="G80" s="12">
        <v>1</v>
      </c>
      <c r="H80" s="8">
        <v>3.85</v>
      </c>
      <c r="I80" s="12">
        <v>0</v>
      </c>
    </row>
    <row r="81" spans="2:9" ht="15" customHeight="1" x14ac:dyDescent="0.2">
      <c r="B81" t="s">
        <v>358</v>
      </c>
      <c r="C81" s="12">
        <v>1</v>
      </c>
      <c r="D81" s="8">
        <v>1.67</v>
      </c>
      <c r="E81" s="12">
        <v>1</v>
      </c>
      <c r="F81" s="8">
        <v>3.03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278</v>
      </c>
      <c r="C82" s="12">
        <v>1</v>
      </c>
      <c r="D82" s="8">
        <v>1.67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193</v>
      </c>
      <c r="C83" s="12">
        <v>1</v>
      </c>
      <c r="D83" s="8">
        <v>1.67</v>
      </c>
      <c r="E83" s="12">
        <v>1</v>
      </c>
      <c r="F83" s="8">
        <v>3.03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290</v>
      </c>
      <c r="C84" s="12">
        <v>1</v>
      </c>
      <c r="D84" s="8">
        <v>1.67</v>
      </c>
      <c r="E84" s="12">
        <v>0</v>
      </c>
      <c r="F84" s="8">
        <v>0</v>
      </c>
      <c r="G84" s="12">
        <v>1</v>
      </c>
      <c r="H84" s="8">
        <v>3.85</v>
      </c>
      <c r="I84" s="12">
        <v>0</v>
      </c>
    </row>
    <row r="85" spans="2:9" ht="15" customHeight="1" x14ac:dyDescent="0.2">
      <c r="B85" t="s">
        <v>259</v>
      </c>
      <c r="C85" s="12">
        <v>1</v>
      </c>
      <c r="D85" s="8">
        <v>1.67</v>
      </c>
      <c r="E85" s="12">
        <v>0</v>
      </c>
      <c r="F85" s="8">
        <v>0</v>
      </c>
      <c r="G85" s="12">
        <v>1</v>
      </c>
      <c r="H85" s="8">
        <v>3.85</v>
      </c>
      <c r="I85" s="12">
        <v>0</v>
      </c>
    </row>
    <row r="87" spans="2:9" ht="15" customHeight="1" x14ac:dyDescent="0.2">
      <c r="B87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7077B-914A-43B1-A9AF-4C3A846EE785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370</v>
      </c>
    </row>
    <row r="4" spans="2:9" ht="33" customHeight="1" x14ac:dyDescent="0.2">
      <c r="B4" t="s">
        <v>362</v>
      </c>
      <c r="C4" s="10" t="s">
        <v>94</v>
      </c>
      <c r="D4" s="10" t="s">
        <v>95</v>
      </c>
      <c r="E4" s="10" t="s">
        <v>96</v>
      </c>
      <c r="F4" s="10" t="s">
        <v>97</v>
      </c>
      <c r="G4" s="10" t="s">
        <v>98</v>
      </c>
      <c r="H4" s="10" t="s">
        <v>99</v>
      </c>
      <c r="I4" s="10" t="s">
        <v>100</v>
      </c>
    </row>
    <row r="5" spans="2:9" ht="15" customHeight="1" x14ac:dyDescent="0.2">
      <c r="B5" t="s">
        <v>78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79</v>
      </c>
      <c r="C6" s="12">
        <v>179</v>
      </c>
      <c r="D6" s="8">
        <v>11.6</v>
      </c>
      <c r="E6" s="12">
        <v>59</v>
      </c>
      <c r="F6" s="8">
        <v>8.5500000000000007</v>
      </c>
      <c r="G6" s="12">
        <v>120</v>
      </c>
      <c r="H6" s="8">
        <v>14.6</v>
      </c>
      <c r="I6" s="12">
        <v>0</v>
      </c>
    </row>
    <row r="7" spans="2:9" ht="15" customHeight="1" x14ac:dyDescent="0.2">
      <c r="B7" t="s">
        <v>80</v>
      </c>
      <c r="C7" s="12">
        <v>348</v>
      </c>
      <c r="D7" s="8">
        <v>22.55</v>
      </c>
      <c r="E7" s="12">
        <v>108</v>
      </c>
      <c r="F7" s="8">
        <v>15.65</v>
      </c>
      <c r="G7" s="12">
        <v>240</v>
      </c>
      <c r="H7" s="8">
        <v>29.2</v>
      </c>
      <c r="I7" s="12">
        <v>0</v>
      </c>
    </row>
    <row r="8" spans="2:9" ht="15" customHeight="1" x14ac:dyDescent="0.2">
      <c r="B8" t="s">
        <v>81</v>
      </c>
      <c r="C8" s="12">
        <v>2</v>
      </c>
      <c r="D8" s="8">
        <v>0.13</v>
      </c>
      <c r="E8" s="12">
        <v>0</v>
      </c>
      <c r="F8" s="8">
        <v>0</v>
      </c>
      <c r="G8" s="12">
        <v>2</v>
      </c>
      <c r="H8" s="8">
        <v>0.24</v>
      </c>
      <c r="I8" s="12">
        <v>0</v>
      </c>
    </row>
    <row r="9" spans="2:9" ht="15" customHeight="1" x14ac:dyDescent="0.2">
      <c r="B9" t="s">
        <v>82</v>
      </c>
      <c r="C9" s="12">
        <v>9</v>
      </c>
      <c r="D9" s="8">
        <v>0.57999999999999996</v>
      </c>
      <c r="E9" s="12">
        <v>0</v>
      </c>
      <c r="F9" s="8">
        <v>0</v>
      </c>
      <c r="G9" s="12">
        <v>9</v>
      </c>
      <c r="H9" s="8">
        <v>1.0900000000000001</v>
      </c>
      <c r="I9" s="12">
        <v>0</v>
      </c>
    </row>
    <row r="10" spans="2:9" ht="15" customHeight="1" x14ac:dyDescent="0.2">
      <c r="B10" t="s">
        <v>83</v>
      </c>
      <c r="C10" s="12">
        <v>6</v>
      </c>
      <c r="D10" s="8">
        <v>0.39</v>
      </c>
      <c r="E10" s="12">
        <v>2</v>
      </c>
      <c r="F10" s="8">
        <v>0.28999999999999998</v>
      </c>
      <c r="G10" s="12">
        <v>3</v>
      </c>
      <c r="H10" s="8">
        <v>0.36</v>
      </c>
      <c r="I10" s="12">
        <v>1</v>
      </c>
    </row>
    <row r="11" spans="2:9" ht="15" customHeight="1" x14ac:dyDescent="0.2">
      <c r="B11" t="s">
        <v>84</v>
      </c>
      <c r="C11" s="12">
        <v>330</v>
      </c>
      <c r="D11" s="8">
        <v>21.39</v>
      </c>
      <c r="E11" s="12">
        <v>126</v>
      </c>
      <c r="F11" s="8">
        <v>18.260000000000002</v>
      </c>
      <c r="G11" s="12">
        <v>204</v>
      </c>
      <c r="H11" s="8">
        <v>24.82</v>
      </c>
      <c r="I11" s="12">
        <v>0</v>
      </c>
    </row>
    <row r="12" spans="2:9" ht="15" customHeight="1" x14ac:dyDescent="0.2">
      <c r="B12" t="s">
        <v>85</v>
      </c>
      <c r="C12" s="12">
        <v>18</v>
      </c>
      <c r="D12" s="8">
        <v>1.17</v>
      </c>
      <c r="E12" s="12">
        <v>3</v>
      </c>
      <c r="F12" s="8">
        <v>0.43</v>
      </c>
      <c r="G12" s="12">
        <v>15</v>
      </c>
      <c r="H12" s="8">
        <v>1.82</v>
      </c>
      <c r="I12" s="12">
        <v>0</v>
      </c>
    </row>
    <row r="13" spans="2:9" ht="15" customHeight="1" x14ac:dyDescent="0.2">
      <c r="B13" t="s">
        <v>86</v>
      </c>
      <c r="C13" s="12">
        <v>122</v>
      </c>
      <c r="D13" s="8">
        <v>7.91</v>
      </c>
      <c r="E13" s="12">
        <v>47</v>
      </c>
      <c r="F13" s="8">
        <v>6.81</v>
      </c>
      <c r="G13" s="12">
        <v>72</v>
      </c>
      <c r="H13" s="8">
        <v>8.76</v>
      </c>
      <c r="I13" s="12">
        <v>2</v>
      </c>
    </row>
    <row r="14" spans="2:9" ht="15" customHeight="1" x14ac:dyDescent="0.2">
      <c r="B14" t="s">
        <v>87</v>
      </c>
      <c r="C14" s="12">
        <v>77</v>
      </c>
      <c r="D14" s="8">
        <v>4.99</v>
      </c>
      <c r="E14" s="12">
        <v>44</v>
      </c>
      <c r="F14" s="8">
        <v>6.38</v>
      </c>
      <c r="G14" s="12">
        <v>32</v>
      </c>
      <c r="H14" s="8">
        <v>3.89</v>
      </c>
      <c r="I14" s="12">
        <v>0</v>
      </c>
    </row>
    <row r="15" spans="2:9" ht="15" customHeight="1" x14ac:dyDescent="0.2">
      <c r="B15" t="s">
        <v>88</v>
      </c>
      <c r="C15" s="12">
        <v>130</v>
      </c>
      <c r="D15" s="8">
        <v>8.43</v>
      </c>
      <c r="E15" s="12">
        <v>93</v>
      </c>
      <c r="F15" s="8">
        <v>13.48</v>
      </c>
      <c r="G15" s="12">
        <v>37</v>
      </c>
      <c r="H15" s="8">
        <v>4.5</v>
      </c>
      <c r="I15" s="12">
        <v>0</v>
      </c>
    </row>
    <row r="16" spans="2:9" ht="15" customHeight="1" x14ac:dyDescent="0.2">
      <c r="B16" t="s">
        <v>89</v>
      </c>
      <c r="C16" s="12">
        <v>159</v>
      </c>
      <c r="D16" s="8">
        <v>10.3</v>
      </c>
      <c r="E16" s="12">
        <v>131</v>
      </c>
      <c r="F16" s="8">
        <v>18.989999999999998</v>
      </c>
      <c r="G16" s="12">
        <v>28</v>
      </c>
      <c r="H16" s="8">
        <v>3.41</v>
      </c>
      <c r="I16" s="12">
        <v>0</v>
      </c>
    </row>
    <row r="17" spans="2:9" ht="15" customHeight="1" x14ac:dyDescent="0.2">
      <c r="B17" t="s">
        <v>90</v>
      </c>
      <c r="C17" s="12">
        <v>47</v>
      </c>
      <c r="D17" s="8">
        <v>3.05</v>
      </c>
      <c r="E17" s="12">
        <v>23</v>
      </c>
      <c r="F17" s="8">
        <v>3.33</v>
      </c>
      <c r="G17" s="12">
        <v>15</v>
      </c>
      <c r="H17" s="8">
        <v>1.82</v>
      </c>
      <c r="I17" s="12">
        <v>2</v>
      </c>
    </row>
    <row r="18" spans="2:9" ht="15" customHeight="1" x14ac:dyDescent="0.2">
      <c r="B18" t="s">
        <v>91</v>
      </c>
      <c r="C18" s="12">
        <v>65</v>
      </c>
      <c r="D18" s="8">
        <v>4.21</v>
      </c>
      <c r="E18" s="12">
        <v>35</v>
      </c>
      <c r="F18" s="8">
        <v>5.07</v>
      </c>
      <c r="G18" s="12">
        <v>18</v>
      </c>
      <c r="H18" s="8">
        <v>2.19</v>
      </c>
      <c r="I18" s="12">
        <v>0</v>
      </c>
    </row>
    <row r="19" spans="2:9" ht="15" customHeight="1" x14ac:dyDescent="0.2">
      <c r="B19" t="s">
        <v>92</v>
      </c>
      <c r="C19" s="12">
        <v>51</v>
      </c>
      <c r="D19" s="8">
        <v>3.31</v>
      </c>
      <c r="E19" s="12">
        <v>19</v>
      </c>
      <c r="F19" s="8">
        <v>2.75</v>
      </c>
      <c r="G19" s="12">
        <v>27</v>
      </c>
      <c r="H19" s="8">
        <v>3.28</v>
      </c>
      <c r="I19" s="12">
        <v>3</v>
      </c>
    </row>
    <row r="20" spans="2:9" ht="15" customHeight="1" x14ac:dyDescent="0.2">
      <c r="B20" s="9" t="s">
        <v>363</v>
      </c>
      <c r="C20" s="12">
        <f>SUM(LTBL_20204[総数／事業所数])</f>
        <v>1543</v>
      </c>
      <c r="E20" s="12">
        <f>SUBTOTAL(109,LTBL_20204[個人／事業所数])</f>
        <v>690</v>
      </c>
      <c r="G20" s="12">
        <f>SUBTOTAL(109,LTBL_20204[法人／事業所数])</f>
        <v>822</v>
      </c>
      <c r="I20" s="12">
        <f>SUBTOTAL(109,LTBL_20204[法人以外の団体／事業所数])</f>
        <v>8</v>
      </c>
    </row>
    <row r="21" spans="2:9" ht="15" customHeight="1" x14ac:dyDescent="0.2">
      <c r="E21" s="11">
        <f>LTBL_20204[[#Totals],[個人／事業所数]]/LTBL_20204[[#Totals],[総数／事業所数]]</f>
        <v>0.44718081659105641</v>
      </c>
      <c r="G21" s="11">
        <f>LTBL_20204[[#Totals],[法人／事業所数]]/LTBL_20204[[#Totals],[総数／事業所数]]</f>
        <v>0.53272845106934541</v>
      </c>
      <c r="I21" s="11">
        <f>LTBL_20204[[#Totals],[法人以外の団体／事業所数]]/LTBL_20204[[#Totals],[総数／事業所数]]</f>
        <v>5.1847051198963059E-3</v>
      </c>
    </row>
    <row r="23" spans="2:9" ht="33" customHeight="1" x14ac:dyDescent="0.2">
      <c r="B23" t="s">
        <v>364</v>
      </c>
      <c r="C23" s="10" t="s">
        <v>94</v>
      </c>
      <c r="D23" s="10" t="s">
        <v>95</v>
      </c>
      <c r="E23" s="10" t="s">
        <v>96</v>
      </c>
      <c r="F23" s="10" t="s">
        <v>97</v>
      </c>
      <c r="G23" s="10" t="s">
        <v>98</v>
      </c>
      <c r="H23" s="10" t="s">
        <v>99</v>
      </c>
      <c r="I23" s="10" t="s">
        <v>100</v>
      </c>
    </row>
    <row r="24" spans="2:9" ht="15" customHeight="1" x14ac:dyDescent="0.2">
      <c r="B24" t="s">
        <v>116</v>
      </c>
      <c r="C24" s="12">
        <v>135</v>
      </c>
      <c r="D24" s="8">
        <v>8.75</v>
      </c>
      <c r="E24" s="12">
        <v>118</v>
      </c>
      <c r="F24" s="8">
        <v>17.100000000000001</v>
      </c>
      <c r="G24" s="12">
        <v>17</v>
      </c>
      <c r="H24" s="8">
        <v>2.0699999999999998</v>
      </c>
      <c r="I24" s="12">
        <v>0</v>
      </c>
    </row>
    <row r="25" spans="2:9" ht="15" customHeight="1" x14ac:dyDescent="0.2">
      <c r="B25" t="s">
        <v>115</v>
      </c>
      <c r="C25" s="12">
        <v>113</v>
      </c>
      <c r="D25" s="8">
        <v>7.32</v>
      </c>
      <c r="E25" s="12">
        <v>88</v>
      </c>
      <c r="F25" s="8">
        <v>12.75</v>
      </c>
      <c r="G25" s="12">
        <v>25</v>
      </c>
      <c r="H25" s="8">
        <v>3.04</v>
      </c>
      <c r="I25" s="12">
        <v>0</v>
      </c>
    </row>
    <row r="26" spans="2:9" ht="15" customHeight="1" x14ac:dyDescent="0.2">
      <c r="B26" t="s">
        <v>111</v>
      </c>
      <c r="C26" s="12">
        <v>105</v>
      </c>
      <c r="D26" s="8">
        <v>6.8</v>
      </c>
      <c r="E26" s="12">
        <v>45</v>
      </c>
      <c r="F26" s="8">
        <v>6.52</v>
      </c>
      <c r="G26" s="12">
        <v>57</v>
      </c>
      <c r="H26" s="8">
        <v>6.93</v>
      </c>
      <c r="I26" s="12">
        <v>2</v>
      </c>
    </row>
    <row r="27" spans="2:9" ht="15" customHeight="1" x14ac:dyDescent="0.2">
      <c r="B27" t="s">
        <v>110</v>
      </c>
      <c r="C27" s="12">
        <v>87</v>
      </c>
      <c r="D27" s="8">
        <v>5.64</v>
      </c>
      <c r="E27" s="12">
        <v>37</v>
      </c>
      <c r="F27" s="8">
        <v>5.36</v>
      </c>
      <c r="G27" s="12">
        <v>50</v>
      </c>
      <c r="H27" s="8">
        <v>6.08</v>
      </c>
      <c r="I27" s="12">
        <v>0</v>
      </c>
    </row>
    <row r="28" spans="2:9" ht="15" customHeight="1" x14ac:dyDescent="0.2">
      <c r="B28" t="s">
        <v>105</v>
      </c>
      <c r="C28" s="12">
        <v>80</v>
      </c>
      <c r="D28" s="8">
        <v>5.18</v>
      </c>
      <c r="E28" s="12">
        <v>22</v>
      </c>
      <c r="F28" s="8">
        <v>3.19</v>
      </c>
      <c r="G28" s="12">
        <v>58</v>
      </c>
      <c r="H28" s="8">
        <v>7.06</v>
      </c>
      <c r="I28" s="12">
        <v>0</v>
      </c>
    </row>
    <row r="29" spans="2:9" ht="15" customHeight="1" x14ac:dyDescent="0.2">
      <c r="B29" t="s">
        <v>101</v>
      </c>
      <c r="C29" s="12">
        <v>73</v>
      </c>
      <c r="D29" s="8">
        <v>4.7300000000000004</v>
      </c>
      <c r="E29" s="12">
        <v>17</v>
      </c>
      <c r="F29" s="8">
        <v>2.46</v>
      </c>
      <c r="G29" s="12">
        <v>56</v>
      </c>
      <c r="H29" s="8">
        <v>6.81</v>
      </c>
      <c r="I29" s="12">
        <v>0</v>
      </c>
    </row>
    <row r="30" spans="2:9" ht="15" customHeight="1" x14ac:dyDescent="0.2">
      <c r="B30" t="s">
        <v>102</v>
      </c>
      <c r="C30" s="12">
        <v>73</v>
      </c>
      <c r="D30" s="8">
        <v>4.7300000000000004</v>
      </c>
      <c r="E30" s="12">
        <v>34</v>
      </c>
      <c r="F30" s="8">
        <v>4.93</v>
      </c>
      <c r="G30" s="12">
        <v>39</v>
      </c>
      <c r="H30" s="8">
        <v>4.74</v>
      </c>
      <c r="I30" s="12">
        <v>0</v>
      </c>
    </row>
    <row r="31" spans="2:9" ht="15" customHeight="1" x14ac:dyDescent="0.2">
      <c r="B31" t="s">
        <v>108</v>
      </c>
      <c r="C31" s="12">
        <v>58</v>
      </c>
      <c r="D31" s="8">
        <v>3.76</v>
      </c>
      <c r="E31" s="12">
        <v>34</v>
      </c>
      <c r="F31" s="8">
        <v>4.93</v>
      </c>
      <c r="G31" s="12">
        <v>24</v>
      </c>
      <c r="H31" s="8">
        <v>2.92</v>
      </c>
      <c r="I31" s="12">
        <v>0</v>
      </c>
    </row>
    <row r="32" spans="2:9" ht="15" customHeight="1" x14ac:dyDescent="0.2">
      <c r="B32" t="s">
        <v>104</v>
      </c>
      <c r="C32" s="12">
        <v>56</v>
      </c>
      <c r="D32" s="8">
        <v>3.63</v>
      </c>
      <c r="E32" s="12">
        <v>22</v>
      </c>
      <c r="F32" s="8">
        <v>3.19</v>
      </c>
      <c r="G32" s="12">
        <v>34</v>
      </c>
      <c r="H32" s="8">
        <v>4.1399999999999997</v>
      </c>
      <c r="I32" s="12">
        <v>0</v>
      </c>
    </row>
    <row r="33" spans="2:9" ht="15" customHeight="1" x14ac:dyDescent="0.2">
      <c r="B33" t="s">
        <v>109</v>
      </c>
      <c r="C33" s="12">
        <v>54</v>
      </c>
      <c r="D33" s="8">
        <v>3.5</v>
      </c>
      <c r="E33" s="12">
        <v>23</v>
      </c>
      <c r="F33" s="8">
        <v>3.33</v>
      </c>
      <c r="G33" s="12">
        <v>31</v>
      </c>
      <c r="H33" s="8">
        <v>3.77</v>
      </c>
      <c r="I33" s="12">
        <v>0</v>
      </c>
    </row>
    <row r="34" spans="2:9" ht="15" customHeight="1" x14ac:dyDescent="0.2">
      <c r="B34" t="s">
        <v>117</v>
      </c>
      <c r="C34" s="12">
        <v>47</v>
      </c>
      <c r="D34" s="8">
        <v>3.05</v>
      </c>
      <c r="E34" s="12">
        <v>23</v>
      </c>
      <c r="F34" s="8">
        <v>3.33</v>
      </c>
      <c r="G34" s="12">
        <v>15</v>
      </c>
      <c r="H34" s="8">
        <v>1.82</v>
      </c>
      <c r="I34" s="12">
        <v>2</v>
      </c>
    </row>
    <row r="35" spans="2:9" ht="15" customHeight="1" x14ac:dyDescent="0.2">
      <c r="B35" t="s">
        <v>118</v>
      </c>
      <c r="C35" s="12">
        <v>38</v>
      </c>
      <c r="D35" s="8">
        <v>2.46</v>
      </c>
      <c r="E35" s="12">
        <v>35</v>
      </c>
      <c r="F35" s="8">
        <v>5.07</v>
      </c>
      <c r="G35" s="12">
        <v>3</v>
      </c>
      <c r="H35" s="8">
        <v>0.36</v>
      </c>
      <c r="I35" s="12">
        <v>0</v>
      </c>
    </row>
    <row r="36" spans="2:9" ht="15" customHeight="1" x14ac:dyDescent="0.2">
      <c r="B36" t="s">
        <v>107</v>
      </c>
      <c r="C36" s="12">
        <v>36</v>
      </c>
      <c r="D36" s="8">
        <v>2.33</v>
      </c>
      <c r="E36" s="12">
        <v>16</v>
      </c>
      <c r="F36" s="8">
        <v>2.3199999999999998</v>
      </c>
      <c r="G36" s="12">
        <v>20</v>
      </c>
      <c r="H36" s="8">
        <v>2.4300000000000002</v>
      </c>
      <c r="I36" s="12">
        <v>0</v>
      </c>
    </row>
    <row r="37" spans="2:9" ht="15" customHeight="1" x14ac:dyDescent="0.2">
      <c r="B37" t="s">
        <v>113</v>
      </c>
      <c r="C37" s="12">
        <v>36</v>
      </c>
      <c r="D37" s="8">
        <v>2.33</v>
      </c>
      <c r="E37" s="12">
        <v>16</v>
      </c>
      <c r="F37" s="8">
        <v>2.3199999999999998</v>
      </c>
      <c r="G37" s="12">
        <v>19</v>
      </c>
      <c r="H37" s="8">
        <v>2.31</v>
      </c>
      <c r="I37" s="12">
        <v>0</v>
      </c>
    </row>
    <row r="38" spans="2:9" ht="15" customHeight="1" x14ac:dyDescent="0.2">
      <c r="B38" t="s">
        <v>112</v>
      </c>
      <c r="C38" s="12">
        <v>35</v>
      </c>
      <c r="D38" s="8">
        <v>2.27</v>
      </c>
      <c r="E38" s="12">
        <v>26</v>
      </c>
      <c r="F38" s="8">
        <v>3.77</v>
      </c>
      <c r="G38" s="12">
        <v>9</v>
      </c>
      <c r="H38" s="8">
        <v>1.0900000000000001</v>
      </c>
      <c r="I38" s="12">
        <v>0</v>
      </c>
    </row>
    <row r="39" spans="2:9" ht="15" customHeight="1" x14ac:dyDescent="0.2">
      <c r="B39" t="s">
        <v>103</v>
      </c>
      <c r="C39" s="12">
        <v>33</v>
      </c>
      <c r="D39" s="8">
        <v>2.14</v>
      </c>
      <c r="E39" s="12">
        <v>8</v>
      </c>
      <c r="F39" s="8">
        <v>1.1599999999999999</v>
      </c>
      <c r="G39" s="12">
        <v>25</v>
      </c>
      <c r="H39" s="8">
        <v>3.04</v>
      </c>
      <c r="I39" s="12">
        <v>0</v>
      </c>
    </row>
    <row r="40" spans="2:9" ht="15" customHeight="1" x14ac:dyDescent="0.2">
      <c r="B40" t="s">
        <v>106</v>
      </c>
      <c r="C40" s="12">
        <v>33</v>
      </c>
      <c r="D40" s="8">
        <v>2.14</v>
      </c>
      <c r="E40" s="12">
        <v>3</v>
      </c>
      <c r="F40" s="8">
        <v>0.43</v>
      </c>
      <c r="G40" s="12">
        <v>30</v>
      </c>
      <c r="H40" s="8">
        <v>3.65</v>
      </c>
      <c r="I40" s="12">
        <v>0</v>
      </c>
    </row>
    <row r="41" spans="2:9" ht="15" customHeight="1" x14ac:dyDescent="0.2">
      <c r="B41" t="s">
        <v>126</v>
      </c>
      <c r="C41" s="12">
        <v>32</v>
      </c>
      <c r="D41" s="8">
        <v>2.0699999999999998</v>
      </c>
      <c r="E41" s="12">
        <v>5</v>
      </c>
      <c r="F41" s="8">
        <v>0.72</v>
      </c>
      <c r="G41" s="12">
        <v>27</v>
      </c>
      <c r="H41" s="8">
        <v>3.28</v>
      </c>
      <c r="I41" s="12">
        <v>0</v>
      </c>
    </row>
    <row r="42" spans="2:9" ht="15" customHeight="1" x14ac:dyDescent="0.2">
      <c r="B42" t="s">
        <v>121</v>
      </c>
      <c r="C42" s="12">
        <v>28</v>
      </c>
      <c r="D42" s="8">
        <v>1.81</v>
      </c>
      <c r="E42" s="12">
        <v>4</v>
      </c>
      <c r="F42" s="8">
        <v>0.57999999999999996</v>
      </c>
      <c r="G42" s="12">
        <v>24</v>
      </c>
      <c r="H42" s="8">
        <v>2.92</v>
      </c>
      <c r="I42" s="12">
        <v>0</v>
      </c>
    </row>
    <row r="43" spans="2:9" ht="15" customHeight="1" x14ac:dyDescent="0.2">
      <c r="B43" t="s">
        <v>119</v>
      </c>
      <c r="C43" s="12">
        <v>27</v>
      </c>
      <c r="D43" s="8">
        <v>1.75</v>
      </c>
      <c r="E43" s="12">
        <v>0</v>
      </c>
      <c r="F43" s="8">
        <v>0</v>
      </c>
      <c r="G43" s="12">
        <v>15</v>
      </c>
      <c r="H43" s="8">
        <v>1.82</v>
      </c>
      <c r="I43" s="12">
        <v>0</v>
      </c>
    </row>
    <row r="46" spans="2:9" ht="33" customHeight="1" x14ac:dyDescent="0.2">
      <c r="B46" t="s">
        <v>365</v>
      </c>
      <c r="C46" s="10" t="s">
        <v>94</v>
      </c>
      <c r="D46" s="10" t="s">
        <v>95</v>
      </c>
      <c r="E46" s="10" t="s">
        <v>96</v>
      </c>
      <c r="F46" s="10" t="s">
        <v>97</v>
      </c>
      <c r="G46" s="10" t="s">
        <v>98</v>
      </c>
      <c r="H46" s="10" t="s">
        <v>99</v>
      </c>
      <c r="I46" s="10" t="s">
        <v>100</v>
      </c>
    </row>
    <row r="47" spans="2:9" ht="15" customHeight="1" x14ac:dyDescent="0.2">
      <c r="B47" t="s">
        <v>191</v>
      </c>
      <c r="C47" s="12">
        <v>70</v>
      </c>
      <c r="D47" s="8">
        <v>4.54</v>
      </c>
      <c r="E47" s="12">
        <v>68</v>
      </c>
      <c r="F47" s="8">
        <v>9.86</v>
      </c>
      <c r="G47" s="12">
        <v>2</v>
      </c>
      <c r="H47" s="8">
        <v>0.24</v>
      </c>
      <c r="I47" s="12">
        <v>0</v>
      </c>
    </row>
    <row r="48" spans="2:9" ht="15" customHeight="1" x14ac:dyDescent="0.2">
      <c r="B48" t="s">
        <v>183</v>
      </c>
      <c r="C48" s="12">
        <v>56</v>
      </c>
      <c r="D48" s="8">
        <v>3.63</v>
      </c>
      <c r="E48" s="12">
        <v>37</v>
      </c>
      <c r="F48" s="8">
        <v>5.36</v>
      </c>
      <c r="G48" s="12">
        <v>18</v>
      </c>
      <c r="H48" s="8">
        <v>2.19</v>
      </c>
      <c r="I48" s="12">
        <v>0</v>
      </c>
    </row>
    <row r="49" spans="2:9" ht="15" customHeight="1" x14ac:dyDescent="0.2">
      <c r="B49" t="s">
        <v>203</v>
      </c>
      <c r="C49" s="12">
        <v>46</v>
      </c>
      <c r="D49" s="8">
        <v>2.98</v>
      </c>
      <c r="E49" s="12">
        <v>15</v>
      </c>
      <c r="F49" s="8">
        <v>2.17</v>
      </c>
      <c r="G49" s="12">
        <v>31</v>
      </c>
      <c r="H49" s="8">
        <v>3.77</v>
      </c>
      <c r="I49" s="12">
        <v>0</v>
      </c>
    </row>
    <row r="50" spans="2:9" ht="15" customHeight="1" x14ac:dyDescent="0.2">
      <c r="B50" t="s">
        <v>190</v>
      </c>
      <c r="C50" s="12">
        <v>35</v>
      </c>
      <c r="D50" s="8">
        <v>2.27</v>
      </c>
      <c r="E50" s="12">
        <v>34</v>
      </c>
      <c r="F50" s="8">
        <v>4.93</v>
      </c>
      <c r="G50" s="12">
        <v>1</v>
      </c>
      <c r="H50" s="8">
        <v>0.12</v>
      </c>
      <c r="I50" s="12">
        <v>0</v>
      </c>
    </row>
    <row r="51" spans="2:9" ht="15" customHeight="1" x14ac:dyDescent="0.2">
      <c r="B51" t="s">
        <v>187</v>
      </c>
      <c r="C51" s="12">
        <v>32</v>
      </c>
      <c r="D51" s="8">
        <v>2.0699999999999998</v>
      </c>
      <c r="E51" s="12">
        <v>18</v>
      </c>
      <c r="F51" s="8">
        <v>2.61</v>
      </c>
      <c r="G51" s="12">
        <v>14</v>
      </c>
      <c r="H51" s="8">
        <v>1.7</v>
      </c>
      <c r="I51" s="12">
        <v>0</v>
      </c>
    </row>
    <row r="52" spans="2:9" ht="15" customHeight="1" x14ac:dyDescent="0.2">
      <c r="B52" t="s">
        <v>189</v>
      </c>
      <c r="C52" s="12">
        <v>31</v>
      </c>
      <c r="D52" s="8">
        <v>2.0099999999999998</v>
      </c>
      <c r="E52" s="12">
        <v>31</v>
      </c>
      <c r="F52" s="8">
        <v>4.49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180</v>
      </c>
      <c r="C53" s="12">
        <v>30</v>
      </c>
      <c r="D53" s="8">
        <v>1.94</v>
      </c>
      <c r="E53" s="12">
        <v>9</v>
      </c>
      <c r="F53" s="8">
        <v>1.3</v>
      </c>
      <c r="G53" s="12">
        <v>21</v>
      </c>
      <c r="H53" s="8">
        <v>2.5499999999999998</v>
      </c>
      <c r="I53" s="12">
        <v>0</v>
      </c>
    </row>
    <row r="54" spans="2:9" ht="15" customHeight="1" x14ac:dyDescent="0.2">
      <c r="B54" t="s">
        <v>182</v>
      </c>
      <c r="C54" s="12">
        <v>30</v>
      </c>
      <c r="D54" s="8">
        <v>1.94</v>
      </c>
      <c r="E54" s="12">
        <v>1</v>
      </c>
      <c r="F54" s="8">
        <v>0.14000000000000001</v>
      </c>
      <c r="G54" s="12">
        <v>29</v>
      </c>
      <c r="H54" s="8">
        <v>3.53</v>
      </c>
      <c r="I54" s="12">
        <v>0</v>
      </c>
    </row>
    <row r="55" spans="2:9" ht="15" customHeight="1" x14ac:dyDescent="0.2">
      <c r="B55" t="s">
        <v>175</v>
      </c>
      <c r="C55" s="12">
        <v>24</v>
      </c>
      <c r="D55" s="8">
        <v>1.56</v>
      </c>
      <c r="E55" s="12">
        <v>1</v>
      </c>
      <c r="F55" s="8">
        <v>0.14000000000000001</v>
      </c>
      <c r="G55" s="12">
        <v>23</v>
      </c>
      <c r="H55" s="8">
        <v>2.8</v>
      </c>
      <c r="I55" s="12">
        <v>0</v>
      </c>
    </row>
    <row r="56" spans="2:9" ht="15" customHeight="1" x14ac:dyDescent="0.2">
      <c r="B56" t="s">
        <v>194</v>
      </c>
      <c r="C56" s="12">
        <v>24</v>
      </c>
      <c r="D56" s="8">
        <v>1.56</v>
      </c>
      <c r="E56" s="12">
        <v>7</v>
      </c>
      <c r="F56" s="8">
        <v>1.01</v>
      </c>
      <c r="G56" s="12">
        <v>17</v>
      </c>
      <c r="H56" s="8">
        <v>2.0699999999999998</v>
      </c>
      <c r="I56" s="12">
        <v>0</v>
      </c>
    </row>
    <row r="57" spans="2:9" ht="15" customHeight="1" x14ac:dyDescent="0.2">
      <c r="B57" t="s">
        <v>181</v>
      </c>
      <c r="C57" s="12">
        <v>24</v>
      </c>
      <c r="D57" s="8">
        <v>1.56</v>
      </c>
      <c r="E57" s="12">
        <v>15</v>
      </c>
      <c r="F57" s="8">
        <v>2.17</v>
      </c>
      <c r="G57" s="12">
        <v>9</v>
      </c>
      <c r="H57" s="8">
        <v>1.0900000000000001</v>
      </c>
      <c r="I57" s="12">
        <v>0</v>
      </c>
    </row>
    <row r="58" spans="2:9" ht="15" customHeight="1" x14ac:dyDescent="0.2">
      <c r="B58" t="s">
        <v>204</v>
      </c>
      <c r="C58" s="12">
        <v>23</v>
      </c>
      <c r="D58" s="8">
        <v>1.49</v>
      </c>
      <c r="E58" s="12">
        <v>6</v>
      </c>
      <c r="F58" s="8">
        <v>0.87</v>
      </c>
      <c r="G58" s="12">
        <v>17</v>
      </c>
      <c r="H58" s="8">
        <v>2.0699999999999998</v>
      </c>
      <c r="I58" s="12">
        <v>0</v>
      </c>
    </row>
    <row r="59" spans="2:9" ht="15" customHeight="1" x14ac:dyDescent="0.2">
      <c r="B59" t="s">
        <v>192</v>
      </c>
      <c r="C59" s="12">
        <v>23</v>
      </c>
      <c r="D59" s="8">
        <v>1.49</v>
      </c>
      <c r="E59" s="12">
        <v>16</v>
      </c>
      <c r="F59" s="8">
        <v>2.3199999999999998</v>
      </c>
      <c r="G59" s="12">
        <v>7</v>
      </c>
      <c r="H59" s="8">
        <v>0.85</v>
      </c>
      <c r="I59" s="12">
        <v>0</v>
      </c>
    </row>
    <row r="60" spans="2:9" ht="15" customHeight="1" x14ac:dyDescent="0.2">
      <c r="B60" t="s">
        <v>174</v>
      </c>
      <c r="C60" s="12">
        <v>22</v>
      </c>
      <c r="D60" s="8">
        <v>1.43</v>
      </c>
      <c r="E60" s="12">
        <v>4</v>
      </c>
      <c r="F60" s="8">
        <v>0.57999999999999996</v>
      </c>
      <c r="G60" s="12">
        <v>18</v>
      </c>
      <c r="H60" s="8">
        <v>2.19</v>
      </c>
      <c r="I60" s="12">
        <v>0</v>
      </c>
    </row>
    <row r="61" spans="2:9" ht="15" customHeight="1" x14ac:dyDescent="0.2">
      <c r="B61" t="s">
        <v>202</v>
      </c>
      <c r="C61" s="12">
        <v>22</v>
      </c>
      <c r="D61" s="8">
        <v>1.43</v>
      </c>
      <c r="E61" s="12">
        <v>3</v>
      </c>
      <c r="F61" s="8">
        <v>0.43</v>
      </c>
      <c r="G61" s="12">
        <v>19</v>
      </c>
      <c r="H61" s="8">
        <v>2.31</v>
      </c>
      <c r="I61" s="12">
        <v>0</v>
      </c>
    </row>
    <row r="62" spans="2:9" ht="15" customHeight="1" x14ac:dyDescent="0.2">
      <c r="B62" t="s">
        <v>193</v>
      </c>
      <c r="C62" s="12">
        <v>22</v>
      </c>
      <c r="D62" s="8">
        <v>1.43</v>
      </c>
      <c r="E62" s="12">
        <v>22</v>
      </c>
      <c r="F62" s="8">
        <v>3.19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200</v>
      </c>
      <c r="C63" s="12">
        <v>22</v>
      </c>
      <c r="D63" s="8">
        <v>1.43</v>
      </c>
      <c r="E63" s="12">
        <v>14</v>
      </c>
      <c r="F63" s="8">
        <v>2.0299999999999998</v>
      </c>
      <c r="G63" s="12">
        <v>8</v>
      </c>
      <c r="H63" s="8">
        <v>0.97</v>
      </c>
      <c r="I63" s="12">
        <v>0</v>
      </c>
    </row>
    <row r="64" spans="2:9" ht="15" customHeight="1" x14ac:dyDescent="0.2">
      <c r="B64" t="s">
        <v>188</v>
      </c>
      <c r="C64" s="12">
        <v>21</v>
      </c>
      <c r="D64" s="8">
        <v>1.36</v>
      </c>
      <c r="E64" s="12">
        <v>16</v>
      </c>
      <c r="F64" s="8">
        <v>2.3199999999999998</v>
      </c>
      <c r="G64" s="12">
        <v>5</v>
      </c>
      <c r="H64" s="8">
        <v>0.61</v>
      </c>
      <c r="I64" s="12">
        <v>0</v>
      </c>
    </row>
    <row r="65" spans="2:9" ht="15" customHeight="1" x14ac:dyDescent="0.2">
      <c r="B65" t="s">
        <v>184</v>
      </c>
      <c r="C65" s="12">
        <v>20</v>
      </c>
      <c r="D65" s="8">
        <v>1.3</v>
      </c>
      <c r="E65" s="12">
        <v>10</v>
      </c>
      <c r="F65" s="8">
        <v>1.45</v>
      </c>
      <c r="G65" s="12">
        <v>9</v>
      </c>
      <c r="H65" s="8">
        <v>1.0900000000000001</v>
      </c>
      <c r="I65" s="12">
        <v>0</v>
      </c>
    </row>
    <row r="66" spans="2:9" ht="15" customHeight="1" x14ac:dyDescent="0.2">
      <c r="B66" t="s">
        <v>201</v>
      </c>
      <c r="C66" s="12">
        <v>19</v>
      </c>
      <c r="D66" s="8">
        <v>1.23</v>
      </c>
      <c r="E66" s="12">
        <v>8</v>
      </c>
      <c r="F66" s="8">
        <v>1.1599999999999999</v>
      </c>
      <c r="G66" s="12">
        <v>11</v>
      </c>
      <c r="H66" s="8">
        <v>1.34</v>
      </c>
      <c r="I66" s="12">
        <v>0</v>
      </c>
    </row>
    <row r="67" spans="2:9" ht="15" customHeight="1" x14ac:dyDescent="0.2">
      <c r="B67" t="s">
        <v>205</v>
      </c>
      <c r="C67" s="12">
        <v>19</v>
      </c>
      <c r="D67" s="8">
        <v>1.23</v>
      </c>
      <c r="E67" s="12">
        <v>9</v>
      </c>
      <c r="F67" s="8">
        <v>1.3</v>
      </c>
      <c r="G67" s="12">
        <v>10</v>
      </c>
      <c r="H67" s="8">
        <v>1.22</v>
      </c>
      <c r="I67" s="12">
        <v>0</v>
      </c>
    </row>
    <row r="69" spans="2:9" ht="15" customHeight="1" x14ac:dyDescent="0.2">
      <c r="B69" t="s">
        <v>366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82</vt:i4>
      </vt:variant>
      <vt:variant>
        <vt:lpstr>名前付き一覧</vt:lpstr>
      </vt:variant>
      <vt:variant>
        <vt:i4>3</vt:i4>
      </vt:variant>
    </vt:vector>
  </HeadingPairs>
  <TitlesOfParts>
    <vt:vector size="85" baseType="lpstr">
      <vt:lpstr>目次</vt:lpstr>
      <vt:lpstr>産業大分類</vt:lpstr>
      <vt:lpstr>産業中分類</vt:lpstr>
      <vt:lpstr>産業小分類</vt:lpstr>
      <vt:lpstr>長野県</vt:lpstr>
      <vt:lpstr>長野市</vt:lpstr>
      <vt:lpstr>松本市</vt:lpstr>
      <vt:lpstr>上田市</vt:lpstr>
      <vt:lpstr>岡谷市</vt:lpstr>
      <vt:lpstr>飯田市</vt:lpstr>
      <vt:lpstr>諏訪市</vt:lpstr>
      <vt:lpstr>須坂市</vt:lpstr>
      <vt:lpstr>小諸市</vt:lpstr>
      <vt:lpstr>伊那市</vt:lpstr>
      <vt:lpstr>駒ヶ根市</vt:lpstr>
      <vt:lpstr>中野市</vt:lpstr>
      <vt:lpstr>大町市</vt:lpstr>
      <vt:lpstr>飯山市</vt:lpstr>
      <vt:lpstr>茅野市</vt:lpstr>
      <vt:lpstr>塩尻市</vt:lpstr>
      <vt:lpstr>佐久市</vt:lpstr>
      <vt:lpstr>千曲市</vt:lpstr>
      <vt:lpstr>東御市</vt:lpstr>
      <vt:lpstr>安曇野市</vt:lpstr>
      <vt:lpstr>南佐久郡小海町</vt:lpstr>
      <vt:lpstr>南佐久郡川上村</vt:lpstr>
      <vt:lpstr>南佐久郡南牧村</vt:lpstr>
      <vt:lpstr>南佐久郡南相木村</vt:lpstr>
      <vt:lpstr>南佐久郡北相木村</vt:lpstr>
      <vt:lpstr>南佐久郡佐久穂町</vt:lpstr>
      <vt:lpstr>北佐久郡軽井沢町</vt:lpstr>
      <vt:lpstr>北佐久郡御代田町</vt:lpstr>
      <vt:lpstr>北佐久郡立科町</vt:lpstr>
      <vt:lpstr>小県郡青木村</vt:lpstr>
      <vt:lpstr>小県郡長和町</vt:lpstr>
      <vt:lpstr>諏訪郡下諏訪町</vt:lpstr>
      <vt:lpstr>諏訪郡富士見町</vt:lpstr>
      <vt:lpstr>諏訪郡原村</vt:lpstr>
      <vt:lpstr>上伊那郡辰野町</vt:lpstr>
      <vt:lpstr>上伊那郡箕輪町</vt:lpstr>
      <vt:lpstr>上伊那郡飯島町</vt:lpstr>
      <vt:lpstr>上伊那郡南箕輪村</vt:lpstr>
      <vt:lpstr>上伊那郡中川村</vt:lpstr>
      <vt:lpstr>上伊那郡宮田村</vt:lpstr>
      <vt:lpstr>下伊那郡松川町</vt:lpstr>
      <vt:lpstr>下伊那郡高森町</vt:lpstr>
      <vt:lpstr>下伊那郡阿南町</vt:lpstr>
      <vt:lpstr>下伊那郡阿智村</vt:lpstr>
      <vt:lpstr>下伊那郡平谷村</vt:lpstr>
      <vt:lpstr>下伊那郡根羽村</vt:lpstr>
      <vt:lpstr>下伊那郡下條村</vt:lpstr>
      <vt:lpstr>下伊那郡売木村</vt:lpstr>
      <vt:lpstr>下伊那郡天龍村</vt:lpstr>
      <vt:lpstr>下伊那郡泰阜村</vt:lpstr>
      <vt:lpstr>下伊那郡喬木村</vt:lpstr>
      <vt:lpstr>下伊那郡豊丘村</vt:lpstr>
      <vt:lpstr>下伊那郡大鹿村</vt:lpstr>
      <vt:lpstr>木曽郡上松町</vt:lpstr>
      <vt:lpstr>木曽郡南木曽町</vt:lpstr>
      <vt:lpstr>木曽郡木祖村</vt:lpstr>
      <vt:lpstr>木曽郡王滝村</vt:lpstr>
      <vt:lpstr>木曽郡大桑村</vt:lpstr>
      <vt:lpstr>木曽郡木曽町</vt:lpstr>
      <vt:lpstr>東筑摩郡麻績村</vt:lpstr>
      <vt:lpstr>東筑摩郡生坂村</vt:lpstr>
      <vt:lpstr>東筑摩郡山形村</vt:lpstr>
      <vt:lpstr>東筑摩郡朝日村</vt:lpstr>
      <vt:lpstr>東筑摩郡筑北村</vt:lpstr>
      <vt:lpstr>北安曇郡池田町</vt:lpstr>
      <vt:lpstr>北安曇郡松川村</vt:lpstr>
      <vt:lpstr>北安曇郡白馬村</vt:lpstr>
      <vt:lpstr>北安曇郡小谷村</vt:lpstr>
      <vt:lpstr>埴科郡坂城町</vt:lpstr>
      <vt:lpstr>上高井郡小布施町</vt:lpstr>
      <vt:lpstr>上高井郡高山村</vt:lpstr>
      <vt:lpstr>下高井郡山ノ内町</vt:lpstr>
      <vt:lpstr>下高井郡木島平村</vt:lpstr>
      <vt:lpstr>下高井郡野沢温泉村</vt:lpstr>
      <vt:lpstr>上水内郡信濃町</vt:lpstr>
      <vt:lpstr>上水内郡小川村</vt:lpstr>
      <vt:lpstr>上水内郡飯綱町</vt:lpstr>
      <vt:lpstr>下水内郡栄村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2023-08-17T02:22:28Z</dcterms:created>
  <dcterms:modified xsi:type="dcterms:W3CDTF">2023-08-17T02:22:28Z</dcterms:modified>
</cp:coreProperties>
</file>